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fileSharing readOnlyRecommended="1"/>
  <workbookPr filterPrivacy="1" codeName="ThisWorkbook" hidePivotFieldList="1" defaultThemeVersion="124226"/>
  <xr:revisionPtr revIDLastSave="0" documentId="13_ncr:1_{E987A404-D987-436A-8E98-71A2D598440E}" xr6:coauthVersionLast="46" xr6:coauthVersionMax="46" xr10:uidLastSave="{00000000-0000-0000-0000-000000000000}"/>
  <bookViews>
    <workbookView xWindow="6045" yWindow="930" windowWidth="21600" windowHeight="14205" tabRatio="898" activeTab="7" xr2:uid="{00000000-000D-0000-FFFF-FFFF00000000}"/>
  </bookViews>
  <sheets>
    <sheet name="Proposed Accrual 2021" sheetId="164" r:id="rId1"/>
    <sheet name="2021 B-7" sheetId="160" r:id="rId2"/>
    <sheet name="2021 B-9" sheetId="161" r:id="rId3"/>
    <sheet name="Proposed Accrual 2020" sheetId="159" r:id="rId4"/>
    <sheet name="2020 B-7" sheetId="162" r:id="rId5"/>
    <sheet name="2020 B-9" sheetId="163" r:id="rId6"/>
    <sheet name="Proposed Rates" sheetId="76" r:id="rId7"/>
    <sheet name="Plant &amp; Reserve" sheetId="149" r:id="rId8"/>
    <sheet name="Proposed Accrual 2019" sheetId="150" r:id="rId9"/>
    <sheet name="Change in Plant &amp; Reserve" sheetId="152" state="hidden" r:id="rId10"/>
    <sheet name="2019 B-7" sheetId="112" r:id="rId11"/>
    <sheet name="2019 B-9" sheetId="113" r:id="rId12"/>
    <sheet name="Comparison" sheetId="115" r:id="rId13"/>
    <sheet name="TEC Plant In-Service" sheetId="158" r:id="rId14"/>
    <sheet name="PP DS Query" sheetId="143" r:id="rId15"/>
    <sheet name="Big Bend Common" sheetId="1" r:id="rId16"/>
    <sheet name="Big Bend #1" sheetId="41" r:id="rId17"/>
    <sheet name="Big Bend #2" sheetId="44" r:id="rId18"/>
    <sheet name="Big Bend #3" sheetId="45" r:id="rId19"/>
    <sheet name="Big Bend #4" sheetId="47" r:id="rId20"/>
    <sheet name="BB 3&amp;4 FGD" sheetId="48" r:id="rId21"/>
    <sheet name="BB 1&amp;2 FGD" sheetId="67" r:id="rId22"/>
    <sheet name="BB SCR 1" sheetId="99" r:id="rId23"/>
    <sheet name="BB SCR 2" sheetId="98" r:id="rId24"/>
    <sheet name="BB SCR 3" sheetId="97" r:id="rId25"/>
    <sheet name="BB SCR 4" sheetId="95" r:id="rId26"/>
    <sheet name="Big Bend CT #4" sheetId="84" r:id="rId27"/>
    <sheet name="Bayside Common" sheetId="49" r:id="rId28"/>
    <sheet name="Bayside #1" sheetId="60" r:id="rId29"/>
    <sheet name="Bayside #2" sheetId="61" r:id="rId30"/>
    <sheet name="Bayside CT #3" sheetId="86" r:id="rId31"/>
    <sheet name="Bayside CT #4" sheetId="87" r:id="rId32"/>
    <sheet name="Bayside CT #5" sheetId="88" r:id="rId33"/>
    <sheet name="Bayside CT #6" sheetId="89" r:id="rId34"/>
    <sheet name="Polk Common" sheetId="62" r:id="rId35"/>
    <sheet name="Polk #1" sheetId="64" r:id="rId36"/>
    <sheet name="Polk #2" sheetId="66" r:id="rId37"/>
    <sheet name="Polk #3" sheetId="70" r:id="rId38"/>
    <sheet name="Polk #4" sheetId="90" r:id="rId39"/>
    <sheet name="Polk #5" sheetId="91" r:id="rId40"/>
    <sheet name="Polk CCST" sheetId="157" r:id="rId41"/>
    <sheet name="Solar" sheetId="125" r:id="rId42"/>
    <sheet name="Polk CCST for CT 2-5" sheetId="119" state="hidden" r:id="rId43"/>
    <sheet name="Solar Sites" sheetId="123" state="hidden" r:id="rId44"/>
  </sheets>
  <definedNames>
    <definedName name="_xlnm._FilterDatabase" localSheetId="15" hidden="1">'Big Bend Common'!#REF!</definedName>
    <definedName name="_xlnm._FilterDatabase" localSheetId="14" hidden="1">'PP DS Query'!$A$1:$Q$438</definedName>
    <definedName name="_Key1" localSheetId="42" hidden="1">#REF!</definedName>
    <definedName name="_Key1" localSheetId="13" hidden="1">#REF!</definedName>
    <definedName name="_Key1" hidden="1">#REF!</definedName>
    <definedName name="_Order1" hidden="1">255</definedName>
    <definedName name="_Regression_Int" localSheetId="13" hidden="1">1</definedName>
    <definedName name="_Sort" localSheetId="42" hidden="1">#REF!</definedName>
    <definedName name="_Sort" localSheetId="13" hidden="1">#REF!</definedName>
    <definedName name="_Sort" hidden="1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40402.3283680556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4">'2020 B-7'!$T$1:$AK$53</definedName>
    <definedName name="_xlnm.Print_Area" localSheetId="5">'2020 B-9'!$A$1:$T$503,'2020 B-9'!$V$1:$AO$51</definedName>
    <definedName name="_xlnm.Print_Area" localSheetId="1">'2021 B-7'!$T$1:$AK$53</definedName>
    <definedName name="_xlnm.Print_Area" localSheetId="2">'2021 B-9'!$A$1:$T$503,'2021 B-9'!$V$1:$AO$51</definedName>
    <definedName name="_xlnm.Print_Area" localSheetId="28">'Bayside #1'!$C$1:$Q$53</definedName>
    <definedName name="_xlnm.Print_Area" localSheetId="29">'Bayside #2'!$C$1:$Q$53</definedName>
    <definedName name="_xlnm.Print_Area" localSheetId="27">'Bayside Common'!$C$1:$Q$53</definedName>
    <definedName name="_xlnm.Print_Area" localSheetId="30">'Bayside CT #3'!$C$1:$Q$53</definedName>
    <definedName name="_xlnm.Print_Area" localSheetId="31">'Bayside CT #4'!$C$1:$Q$53</definedName>
    <definedName name="_xlnm.Print_Area" localSheetId="32">'Bayside CT #5'!$C$1:$Q$53</definedName>
    <definedName name="_xlnm.Print_Area" localSheetId="33">'Bayside CT #6'!$C$1:$Q$53</definedName>
    <definedName name="_xlnm.Print_Area" localSheetId="21">'BB 1&amp;2 FGD'!$C$1:$Q$47</definedName>
    <definedName name="_xlnm.Print_Area" localSheetId="20">'BB 3&amp;4 FGD'!$C$1:$Q$47</definedName>
    <definedName name="_xlnm.Print_Area" localSheetId="22">'BB SCR 1'!$C$1:$Q$47</definedName>
    <definedName name="_xlnm.Print_Area" localSheetId="23">'BB SCR 2'!$C$1:$Q$47</definedName>
    <definedName name="_xlnm.Print_Area" localSheetId="24">'BB SCR 3'!$C$1:$Q$47</definedName>
    <definedName name="_xlnm.Print_Area" localSheetId="25">'BB SCR 4'!$C$1:$Q$47</definedName>
    <definedName name="_xlnm.Print_Area" localSheetId="16">'Big Bend #1'!$C$1:$Q$47</definedName>
    <definedName name="_xlnm.Print_Area" localSheetId="17">'Big Bend #2'!$C$1:$Q$47</definedName>
    <definedName name="_xlnm.Print_Area" localSheetId="18">'Big Bend #3'!$C$1:$Q$47</definedName>
    <definedName name="_xlnm.Print_Area" localSheetId="19">'Big Bend #4'!$C$1:$Q$47</definedName>
    <definedName name="_xlnm.Print_Area" localSheetId="15">'Big Bend Common'!$C$1:$Q$47</definedName>
    <definedName name="_xlnm.Print_Area" localSheetId="26">'Big Bend CT #4'!$C$1:$Q$47</definedName>
    <definedName name="_xlnm.Print_Area" localSheetId="9">'Change in Plant &amp; Reserve'!$A$1:$K$280</definedName>
    <definedName name="_xlnm.Print_Area" localSheetId="12">Comparison!$A$1:$S$153</definedName>
    <definedName name="_xlnm.Print_Area" localSheetId="7">'Plant &amp; Reserve'!$A$1:$J$269,'Plant &amp; Reserve'!$L$1:$S$269</definedName>
    <definedName name="_xlnm.Print_Area" localSheetId="35">'Polk #1'!$C$1:$Q$53</definedName>
    <definedName name="_xlnm.Print_Area" localSheetId="36">'Polk #2'!$C$1:$Q$53</definedName>
    <definedName name="_xlnm.Print_Area" localSheetId="37">'Polk #3'!$C$1:$Q$53</definedName>
    <definedName name="_xlnm.Print_Area" localSheetId="38">'Polk #4'!$C$1:$Q$53</definedName>
    <definedName name="_xlnm.Print_Area" localSheetId="39">'Polk #5'!$C$1:$Q$53</definedName>
    <definedName name="_xlnm.Print_Area" localSheetId="40">'Polk CCST'!$B$1:$K$18</definedName>
    <definedName name="_xlnm.Print_Area" localSheetId="42">'Polk CCST for CT 2-5'!$C$1:$P$53</definedName>
    <definedName name="_xlnm.Print_Area" localSheetId="34">'Polk Common'!$C$1:$Q$53</definedName>
    <definedName name="_xlnm.Print_Area" localSheetId="8">'Proposed Accrual 2019'!$A$1:$L$269</definedName>
    <definedName name="_xlnm.Print_Area" localSheetId="3">'Proposed Accrual 2020'!$A$1:$L$269</definedName>
    <definedName name="_xlnm.Print_Area" localSheetId="0">'Proposed Accrual 2021'!$A$1:$L$269</definedName>
    <definedName name="_xlnm.Print_Area" localSheetId="6">'Proposed Rates'!$A$1:$V$269</definedName>
    <definedName name="_xlnm.Print_Area" localSheetId="41">Solar!$B$1:$K$19</definedName>
    <definedName name="_xlnm.Print_Area" localSheetId="43">'Solar Sites'!$C$1:$P$54</definedName>
    <definedName name="_xlnm.Print_Area" localSheetId="13">'TEC Plant In-Service'!$A$1:$S$96</definedName>
    <definedName name="_xlnm.Print_Titles" localSheetId="9">'Change in Plant &amp; Reserve'!$1:$13</definedName>
    <definedName name="_xlnm.Print_Titles" localSheetId="12">Comparison!$5:$11</definedName>
    <definedName name="_xlnm.Print_Titles" localSheetId="7">'Plant &amp; Reserve'!$1:$13</definedName>
    <definedName name="_xlnm.Print_Titles" localSheetId="8">'Proposed Accrual 2019'!$1:$13</definedName>
    <definedName name="_xlnm.Print_Titles" localSheetId="3">'Proposed Accrual 2020'!$1:$13</definedName>
    <definedName name="_xlnm.Print_Titles" localSheetId="0">'Proposed Accrual 2021'!$1:$13</definedName>
    <definedName name="_xlnm.Print_Titles" localSheetId="6">'Proposed Rates'!$1:$13</definedName>
  </definedNames>
  <calcPr calcId="191029" iterate="1" iterateCount="20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1" i="149" l="1"/>
  <c r="I151" i="149"/>
  <c r="G129" i="164"/>
  <c r="G128" i="164"/>
  <c r="G127" i="164"/>
  <c r="G126" i="164"/>
  <c r="G125" i="164"/>
  <c r="G124" i="164"/>
  <c r="G122" i="164"/>
  <c r="G121" i="164"/>
  <c r="G120" i="164"/>
  <c r="G119" i="164"/>
  <c r="G118" i="164"/>
  <c r="G117" i="164"/>
  <c r="G115" i="164"/>
  <c r="G114" i="164"/>
  <c r="G113" i="164"/>
  <c r="G112" i="164"/>
  <c r="G111" i="164"/>
  <c r="G110" i="164"/>
  <c r="L286" i="164" l="1"/>
  <c r="L285" i="164"/>
  <c r="L284" i="164"/>
  <c r="L283" i="164"/>
  <c r="L282" i="164"/>
  <c r="L281" i="164"/>
  <c r="L280" i="164"/>
  <c r="L293" i="164"/>
  <c r="L292" i="164"/>
  <c r="L291" i="164"/>
  <c r="L290" i="164"/>
  <c r="L289" i="164"/>
  <c r="L288" i="164"/>
  <c r="L287" i="164"/>
  <c r="L279" i="164"/>
  <c r="N25" i="164"/>
  <c r="N32" i="164"/>
  <c r="N39" i="164"/>
  <c r="N46" i="164"/>
  <c r="N53" i="164"/>
  <c r="N59" i="164"/>
  <c r="N65" i="164"/>
  <c r="N71" i="164"/>
  <c r="N77" i="164"/>
  <c r="N83" i="164"/>
  <c r="N89" i="164"/>
  <c r="N91" i="164"/>
  <c r="N93" i="164"/>
  <c r="N95" i="164"/>
  <c r="N96" i="164"/>
  <c r="N98" i="164"/>
  <c r="N99" i="164"/>
  <c r="N100" i="164"/>
  <c r="N101" i="164"/>
  <c r="N102" i="164"/>
  <c r="N109" i="164"/>
  <c r="N116" i="164"/>
  <c r="N123" i="164"/>
  <c r="N130" i="164"/>
  <c r="N132" i="164"/>
  <c r="N133" i="164"/>
  <c r="N134" i="164"/>
  <c r="N141" i="164"/>
  <c r="N148" i="164"/>
  <c r="N155" i="164"/>
  <c r="N162" i="164"/>
  <c r="N169" i="164"/>
  <c r="N176" i="164"/>
  <c r="N183" i="164"/>
  <c r="N185" i="164"/>
  <c r="N187" i="164"/>
  <c r="N188" i="164"/>
  <c r="N189" i="164"/>
  <c r="N196" i="164"/>
  <c r="N203" i="164"/>
  <c r="N210" i="164"/>
  <c r="N217" i="164"/>
  <c r="N224" i="164"/>
  <c r="N231" i="164"/>
  <c r="N238" i="164"/>
  <c r="N240" i="164"/>
  <c r="N242" i="164"/>
  <c r="N244" i="164"/>
  <c r="N245" i="164"/>
  <c r="N246" i="164"/>
  <c r="N254" i="164"/>
  <c r="N256" i="164"/>
  <c r="N257" i="164"/>
  <c r="N259" i="164"/>
  <c r="N260" i="164"/>
  <c r="N261" i="164"/>
  <c r="N265" i="164"/>
  <c r="N267" i="164"/>
  <c r="N268" i="164"/>
  <c r="N20" i="159"/>
  <c r="N21" i="159"/>
  <c r="N22" i="159"/>
  <c r="N23" i="159"/>
  <c r="N24" i="159"/>
  <c r="N25" i="159"/>
  <c r="N26" i="159"/>
  <c r="N27" i="159"/>
  <c r="N28" i="159"/>
  <c r="N29" i="159"/>
  <c r="N30" i="159"/>
  <c r="N31" i="159"/>
  <c r="N32" i="159"/>
  <c r="N33" i="159"/>
  <c r="N34" i="159"/>
  <c r="N35" i="159"/>
  <c r="N36" i="159"/>
  <c r="N37" i="159"/>
  <c r="N38" i="159"/>
  <c r="N39" i="159"/>
  <c r="N40" i="159"/>
  <c r="N41" i="159"/>
  <c r="N42" i="159"/>
  <c r="N43" i="159"/>
  <c r="N44" i="159"/>
  <c r="N45" i="159"/>
  <c r="N46" i="159"/>
  <c r="N47" i="159"/>
  <c r="N48" i="159"/>
  <c r="N49" i="159"/>
  <c r="N50" i="159"/>
  <c r="N51" i="159"/>
  <c r="N52" i="159"/>
  <c r="N53" i="159"/>
  <c r="N54" i="159"/>
  <c r="N55" i="159"/>
  <c r="N56" i="159"/>
  <c r="N57" i="159"/>
  <c r="N58" i="159"/>
  <c r="N59" i="159"/>
  <c r="N60" i="159"/>
  <c r="N61" i="159"/>
  <c r="N62" i="159"/>
  <c r="N63" i="159"/>
  <c r="N64" i="159"/>
  <c r="N65" i="159"/>
  <c r="N66" i="159"/>
  <c r="N67" i="159"/>
  <c r="N68" i="159"/>
  <c r="N69" i="159"/>
  <c r="N70" i="159"/>
  <c r="N71" i="159"/>
  <c r="N72" i="159"/>
  <c r="N73" i="159"/>
  <c r="N74" i="159"/>
  <c r="N75" i="159"/>
  <c r="N76" i="159"/>
  <c r="N77" i="159"/>
  <c r="N78" i="159"/>
  <c r="N79" i="159"/>
  <c r="N80" i="159"/>
  <c r="N81" i="159"/>
  <c r="N82" i="159"/>
  <c r="N83" i="159"/>
  <c r="N84" i="159"/>
  <c r="N85" i="159"/>
  <c r="N86" i="159"/>
  <c r="N87" i="159"/>
  <c r="N88" i="159"/>
  <c r="N89" i="159"/>
  <c r="N90" i="159"/>
  <c r="N91" i="159"/>
  <c r="N92" i="159"/>
  <c r="N93" i="159"/>
  <c r="N94" i="159"/>
  <c r="N95" i="159"/>
  <c r="N96" i="159"/>
  <c r="N97" i="159"/>
  <c r="N98" i="159"/>
  <c r="N99" i="159"/>
  <c r="N100" i="159"/>
  <c r="N101" i="159"/>
  <c r="N102" i="159"/>
  <c r="N103" i="159"/>
  <c r="N104" i="159"/>
  <c r="N105" i="159"/>
  <c r="N106" i="159"/>
  <c r="N107" i="159"/>
  <c r="N108" i="159"/>
  <c r="N109" i="159"/>
  <c r="N110" i="159"/>
  <c r="N111" i="159"/>
  <c r="N112" i="159"/>
  <c r="N113" i="159"/>
  <c r="N114" i="159"/>
  <c r="N115" i="159"/>
  <c r="N116" i="159"/>
  <c r="N117" i="159"/>
  <c r="N118" i="159"/>
  <c r="N119" i="159"/>
  <c r="N120" i="159"/>
  <c r="N121" i="159"/>
  <c r="N122" i="159"/>
  <c r="N123" i="159"/>
  <c r="N124" i="159"/>
  <c r="N125" i="159"/>
  <c r="N126" i="159"/>
  <c r="N127" i="159"/>
  <c r="N128" i="159"/>
  <c r="N129" i="159"/>
  <c r="N130" i="159"/>
  <c r="N131" i="159"/>
  <c r="N132" i="159"/>
  <c r="N133" i="159"/>
  <c r="N134" i="159"/>
  <c r="N135" i="159"/>
  <c r="N136" i="159"/>
  <c r="N137" i="159"/>
  <c r="N138" i="159"/>
  <c r="N139" i="159"/>
  <c r="N140" i="159"/>
  <c r="N141" i="159"/>
  <c r="N142" i="159"/>
  <c r="N143" i="159"/>
  <c r="N144" i="159"/>
  <c r="N145" i="159"/>
  <c r="N146" i="159"/>
  <c r="N147" i="159"/>
  <c r="N148" i="159"/>
  <c r="N149" i="159"/>
  <c r="N150" i="159"/>
  <c r="N151" i="159"/>
  <c r="N152" i="159"/>
  <c r="N153" i="159"/>
  <c r="N154" i="159"/>
  <c r="N155" i="159"/>
  <c r="N156" i="159"/>
  <c r="N157" i="159"/>
  <c r="N158" i="159"/>
  <c r="N159" i="159"/>
  <c r="N160" i="159"/>
  <c r="N161" i="159"/>
  <c r="N162" i="159"/>
  <c r="N163" i="159"/>
  <c r="N164" i="159"/>
  <c r="N165" i="159"/>
  <c r="N166" i="159"/>
  <c r="N167" i="159"/>
  <c r="N168" i="159"/>
  <c r="N169" i="159"/>
  <c r="N170" i="159"/>
  <c r="N171" i="159"/>
  <c r="N172" i="159"/>
  <c r="N173" i="159"/>
  <c r="N174" i="159"/>
  <c r="N175" i="159"/>
  <c r="N176" i="159"/>
  <c r="N177" i="159"/>
  <c r="N178" i="159"/>
  <c r="N179" i="159"/>
  <c r="N180" i="159"/>
  <c r="N181" i="159"/>
  <c r="N182" i="159"/>
  <c r="N183" i="159"/>
  <c r="N184" i="159"/>
  <c r="N185" i="159"/>
  <c r="N186" i="159"/>
  <c r="N187" i="159"/>
  <c r="N188" i="159"/>
  <c r="N189" i="159"/>
  <c r="N190" i="159"/>
  <c r="N191" i="159"/>
  <c r="N192" i="159"/>
  <c r="N193" i="159"/>
  <c r="N194" i="159"/>
  <c r="N195" i="159"/>
  <c r="N196" i="159"/>
  <c r="N197" i="159"/>
  <c r="N198" i="159"/>
  <c r="N199" i="159"/>
  <c r="N200" i="159"/>
  <c r="N201" i="159"/>
  <c r="N202" i="159"/>
  <c r="N203" i="159"/>
  <c r="N204" i="159"/>
  <c r="N205" i="159"/>
  <c r="N206" i="159"/>
  <c r="N207" i="159"/>
  <c r="N208" i="159"/>
  <c r="N209" i="159"/>
  <c r="N210" i="159"/>
  <c r="N211" i="159"/>
  <c r="N212" i="159"/>
  <c r="N213" i="159"/>
  <c r="N214" i="159"/>
  <c r="N215" i="159"/>
  <c r="N216" i="159"/>
  <c r="N217" i="159"/>
  <c r="N218" i="159"/>
  <c r="N219" i="159"/>
  <c r="N220" i="159"/>
  <c r="N221" i="159"/>
  <c r="N222" i="159"/>
  <c r="N223" i="159"/>
  <c r="N224" i="159"/>
  <c r="N225" i="159"/>
  <c r="N226" i="159"/>
  <c r="N227" i="159"/>
  <c r="N228" i="159"/>
  <c r="N229" i="159"/>
  <c r="N230" i="159"/>
  <c r="N231" i="159"/>
  <c r="N232" i="159"/>
  <c r="N233" i="159"/>
  <c r="N234" i="159"/>
  <c r="N235" i="159"/>
  <c r="N236" i="159"/>
  <c r="N237" i="159"/>
  <c r="N238" i="159"/>
  <c r="N239" i="159"/>
  <c r="N240" i="159"/>
  <c r="N241" i="159"/>
  <c r="N242" i="159"/>
  <c r="N243" i="159"/>
  <c r="N244" i="159"/>
  <c r="N245" i="159"/>
  <c r="N246" i="159"/>
  <c r="N247" i="159"/>
  <c r="N248" i="159"/>
  <c r="N249" i="159"/>
  <c r="N250" i="159"/>
  <c r="N251" i="159"/>
  <c r="N252" i="159"/>
  <c r="N253" i="159"/>
  <c r="N254" i="159"/>
  <c r="N255" i="159"/>
  <c r="N256" i="159"/>
  <c r="N257" i="159"/>
  <c r="N258" i="159"/>
  <c r="N259" i="159"/>
  <c r="N260" i="159"/>
  <c r="N261" i="159"/>
  <c r="N262" i="159"/>
  <c r="N263" i="159"/>
  <c r="N264" i="159"/>
  <c r="N265" i="159"/>
  <c r="N266" i="159"/>
  <c r="N267" i="159"/>
  <c r="N268" i="159"/>
  <c r="N269" i="159"/>
  <c r="N19" i="159"/>
  <c r="L271" i="164" l="1"/>
  <c r="E271" i="164"/>
  <c r="D271" i="164"/>
  <c r="B263" i="164"/>
  <c r="A263" i="164"/>
  <c r="D263" i="164" s="1"/>
  <c r="B262" i="164"/>
  <c r="A262" i="164"/>
  <c r="E262" i="164" s="1"/>
  <c r="J253" i="164"/>
  <c r="G253" i="164"/>
  <c r="J252" i="164"/>
  <c r="G252" i="164"/>
  <c r="B252" i="164"/>
  <c r="A252" i="164"/>
  <c r="E252" i="164" s="1"/>
  <c r="J251" i="164"/>
  <c r="G251" i="164"/>
  <c r="B251" i="164"/>
  <c r="A251" i="164"/>
  <c r="E251" i="164" s="1"/>
  <c r="J250" i="164"/>
  <c r="G250" i="164"/>
  <c r="B250" i="164"/>
  <c r="A250" i="164"/>
  <c r="D250" i="164" s="1"/>
  <c r="J249" i="164"/>
  <c r="G249" i="164"/>
  <c r="B249" i="164"/>
  <c r="A249" i="164"/>
  <c r="E249" i="164" s="1"/>
  <c r="J248" i="164"/>
  <c r="G248" i="164"/>
  <c r="B248" i="164"/>
  <c r="A248" i="164"/>
  <c r="D248" i="164" s="1"/>
  <c r="K248" i="164" s="1"/>
  <c r="J247" i="164"/>
  <c r="G247" i="164"/>
  <c r="B247" i="164"/>
  <c r="A247" i="164"/>
  <c r="E247" i="164" s="1"/>
  <c r="J241" i="164"/>
  <c r="G241" i="164"/>
  <c r="B241" i="164"/>
  <c r="A241" i="164"/>
  <c r="D241" i="164" s="1"/>
  <c r="J239" i="164"/>
  <c r="G239" i="164"/>
  <c r="B239" i="164"/>
  <c r="A239" i="164"/>
  <c r="E239" i="164" s="1"/>
  <c r="J237" i="164"/>
  <c r="G237" i="164"/>
  <c r="J236" i="164"/>
  <c r="G236" i="164"/>
  <c r="B236" i="164"/>
  <c r="A236" i="164"/>
  <c r="D236" i="164" s="1"/>
  <c r="K236" i="164" s="1"/>
  <c r="J235" i="164"/>
  <c r="G235" i="164"/>
  <c r="B235" i="164"/>
  <c r="A235" i="164"/>
  <c r="E235" i="164" s="1"/>
  <c r="J234" i="164"/>
  <c r="G234" i="164"/>
  <c r="B234" i="164"/>
  <c r="A234" i="164"/>
  <c r="D234" i="164" s="1"/>
  <c r="J233" i="164"/>
  <c r="G233" i="164"/>
  <c r="B233" i="164"/>
  <c r="A233" i="164"/>
  <c r="E233" i="164" s="1"/>
  <c r="J232" i="164"/>
  <c r="G232" i="164"/>
  <c r="B232" i="164"/>
  <c r="A232" i="164"/>
  <c r="D232" i="164" s="1"/>
  <c r="J230" i="164"/>
  <c r="G230" i="164"/>
  <c r="J229" i="164"/>
  <c r="G229" i="164"/>
  <c r="B229" i="164"/>
  <c r="A229" i="164"/>
  <c r="E229" i="164" s="1"/>
  <c r="J228" i="164"/>
  <c r="G228" i="164"/>
  <c r="B228" i="164"/>
  <c r="A228" i="164"/>
  <c r="D228" i="164" s="1"/>
  <c r="J227" i="164"/>
  <c r="G227" i="164"/>
  <c r="B227" i="164"/>
  <c r="A227" i="164"/>
  <c r="D227" i="164" s="1"/>
  <c r="J226" i="164"/>
  <c r="G226" i="164"/>
  <c r="B226" i="164"/>
  <c r="A226" i="164"/>
  <c r="D226" i="164" s="1"/>
  <c r="J225" i="164"/>
  <c r="G225" i="164"/>
  <c r="B225" i="164"/>
  <c r="A225" i="164"/>
  <c r="E225" i="164" s="1"/>
  <c r="J223" i="164"/>
  <c r="G223" i="164"/>
  <c r="J222" i="164"/>
  <c r="G222" i="164"/>
  <c r="B222" i="164"/>
  <c r="A222" i="164"/>
  <c r="D222" i="164" s="1"/>
  <c r="J221" i="164"/>
  <c r="G221" i="164"/>
  <c r="B221" i="164"/>
  <c r="A221" i="164"/>
  <c r="E221" i="164" s="1"/>
  <c r="J220" i="164"/>
  <c r="G220" i="164"/>
  <c r="B220" i="164"/>
  <c r="A220" i="164"/>
  <c r="J219" i="164"/>
  <c r="G219" i="164"/>
  <c r="B219" i="164"/>
  <c r="A219" i="164"/>
  <c r="E219" i="164" s="1"/>
  <c r="J218" i="164"/>
  <c r="G218" i="164"/>
  <c r="B218" i="164"/>
  <c r="A218" i="164"/>
  <c r="D218" i="164" s="1"/>
  <c r="J216" i="164"/>
  <c r="G216" i="164"/>
  <c r="J215" i="164"/>
  <c r="G215" i="164"/>
  <c r="B215" i="164"/>
  <c r="A215" i="164"/>
  <c r="E215" i="164" s="1"/>
  <c r="J214" i="164"/>
  <c r="G214" i="164"/>
  <c r="B214" i="164"/>
  <c r="A214" i="164"/>
  <c r="D214" i="164" s="1"/>
  <c r="H214" i="164" s="1"/>
  <c r="J213" i="164"/>
  <c r="G213" i="164"/>
  <c r="B213" i="164"/>
  <c r="A213" i="164"/>
  <c r="D213" i="164" s="1"/>
  <c r="K213" i="164" s="1"/>
  <c r="J212" i="164"/>
  <c r="G212" i="164"/>
  <c r="B212" i="164"/>
  <c r="A212" i="164"/>
  <c r="D212" i="164" s="1"/>
  <c r="J211" i="164"/>
  <c r="G211" i="164"/>
  <c r="B211" i="164"/>
  <c r="A211" i="164"/>
  <c r="E211" i="164" s="1"/>
  <c r="J209" i="164"/>
  <c r="G209" i="164"/>
  <c r="J208" i="164"/>
  <c r="G208" i="164"/>
  <c r="B208" i="164"/>
  <c r="A208" i="164"/>
  <c r="D208" i="164" s="1"/>
  <c r="J207" i="164"/>
  <c r="G207" i="164"/>
  <c r="B207" i="164"/>
  <c r="A207" i="164"/>
  <c r="E207" i="164" s="1"/>
  <c r="J206" i="164"/>
  <c r="G206" i="164"/>
  <c r="B206" i="164"/>
  <c r="A206" i="164"/>
  <c r="D206" i="164" s="1"/>
  <c r="J205" i="164"/>
  <c r="G205" i="164"/>
  <c r="B205" i="164"/>
  <c r="A205" i="164"/>
  <c r="E205" i="164" s="1"/>
  <c r="J204" i="164"/>
  <c r="G204" i="164"/>
  <c r="B204" i="164"/>
  <c r="A204" i="164"/>
  <c r="D204" i="164" s="1"/>
  <c r="J202" i="164"/>
  <c r="G202" i="164"/>
  <c r="J201" i="164"/>
  <c r="G201" i="164"/>
  <c r="B201" i="164"/>
  <c r="A201" i="164"/>
  <c r="E201" i="164" s="1"/>
  <c r="J200" i="164"/>
  <c r="G200" i="164"/>
  <c r="B200" i="164"/>
  <c r="A200" i="164"/>
  <c r="D200" i="164" s="1"/>
  <c r="J199" i="164"/>
  <c r="G199" i="164"/>
  <c r="B199" i="164"/>
  <c r="A199" i="164"/>
  <c r="J198" i="164"/>
  <c r="G198" i="164"/>
  <c r="B198" i="164"/>
  <c r="A198" i="164"/>
  <c r="D198" i="164" s="1"/>
  <c r="J197" i="164"/>
  <c r="G197" i="164"/>
  <c r="B197" i="164"/>
  <c r="A197" i="164"/>
  <c r="E197" i="164" s="1"/>
  <c r="J195" i="164"/>
  <c r="G195" i="164"/>
  <c r="J194" i="164"/>
  <c r="G194" i="164"/>
  <c r="B194" i="164"/>
  <c r="A194" i="164"/>
  <c r="D194" i="164" s="1"/>
  <c r="H194" i="164" s="1"/>
  <c r="J193" i="164"/>
  <c r="G193" i="164"/>
  <c r="B193" i="164"/>
  <c r="A193" i="164"/>
  <c r="E193" i="164" s="1"/>
  <c r="J192" i="164"/>
  <c r="G192" i="164"/>
  <c r="B192" i="164"/>
  <c r="A192" i="164"/>
  <c r="J191" i="164"/>
  <c r="G191" i="164"/>
  <c r="B191" i="164"/>
  <c r="A191" i="164"/>
  <c r="E191" i="164" s="1"/>
  <c r="J190" i="164"/>
  <c r="G190" i="164"/>
  <c r="B190" i="164"/>
  <c r="A190" i="164"/>
  <c r="D190" i="164" s="1"/>
  <c r="K190" i="164" s="1"/>
  <c r="J184" i="164"/>
  <c r="G184" i="164"/>
  <c r="B184" i="164"/>
  <c r="A184" i="164"/>
  <c r="E184" i="164" s="1"/>
  <c r="J182" i="164"/>
  <c r="G182" i="164"/>
  <c r="J181" i="164"/>
  <c r="G181" i="164"/>
  <c r="B181" i="164"/>
  <c r="A181" i="164"/>
  <c r="D181" i="164" s="1"/>
  <c r="K181" i="164" s="1"/>
  <c r="J180" i="164"/>
  <c r="G180" i="164"/>
  <c r="B180" i="164"/>
  <c r="A180" i="164"/>
  <c r="E180" i="164" s="1"/>
  <c r="J179" i="164"/>
  <c r="G179" i="164"/>
  <c r="B179" i="164"/>
  <c r="A179" i="164"/>
  <c r="D179" i="164" s="1"/>
  <c r="J178" i="164"/>
  <c r="G178" i="164"/>
  <c r="B178" i="164"/>
  <c r="A178" i="164"/>
  <c r="E178" i="164" s="1"/>
  <c r="J177" i="164"/>
  <c r="G177" i="164"/>
  <c r="B177" i="164"/>
  <c r="A177" i="164"/>
  <c r="D177" i="164" s="1"/>
  <c r="J175" i="164"/>
  <c r="G175" i="164"/>
  <c r="J174" i="164"/>
  <c r="G174" i="164"/>
  <c r="B174" i="164"/>
  <c r="A174" i="164"/>
  <c r="D174" i="164" s="1"/>
  <c r="J173" i="164"/>
  <c r="G173" i="164"/>
  <c r="B173" i="164"/>
  <c r="A173" i="164"/>
  <c r="D173" i="164" s="1"/>
  <c r="J172" i="164"/>
  <c r="G172" i="164"/>
  <c r="B172" i="164"/>
  <c r="A172" i="164"/>
  <c r="E172" i="164" s="1"/>
  <c r="J171" i="164"/>
  <c r="G171" i="164"/>
  <c r="B171" i="164"/>
  <c r="A171" i="164"/>
  <c r="D171" i="164" s="1"/>
  <c r="J170" i="164"/>
  <c r="G170" i="164"/>
  <c r="B170" i="164"/>
  <c r="A170" i="164"/>
  <c r="E170" i="164" s="1"/>
  <c r="J168" i="164"/>
  <c r="G168" i="164"/>
  <c r="J167" i="164"/>
  <c r="G167" i="164"/>
  <c r="B167" i="164"/>
  <c r="A167" i="164"/>
  <c r="J166" i="164"/>
  <c r="G166" i="164"/>
  <c r="B166" i="164"/>
  <c r="A166" i="164"/>
  <c r="E166" i="164" s="1"/>
  <c r="J165" i="164"/>
  <c r="G165" i="164"/>
  <c r="H165" i="164"/>
  <c r="B165" i="164"/>
  <c r="A165" i="164"/>
  <c r="D165" i="164" s="1"/>
  <c r="K165" i="164" s="1"/>
  <c r="J164" i="164"/>
  <c r="G164" i="164"/>
  <c r="B164" i="164"/>
  <c r="A164" i="164"/>
  <c r="E164" i="164" s="1"/>
  <c r="J163" i="164"/>
  <c r="G163" i="164"/>
  <c r="B163" i="164"/>
  <c r="A163" i="164"/>
  <c r="D163" i="164" s="1"/>
  <c r="J161" i="164"/>
  <c r="G161" i="164"/>
  <c r="J160" i="164"/>
  <c r="G160" i="164"/>
  <c r="B160" i="164"/>
  <c r="A160" i="164"/>
  <c r="J159" i="164"/>
  <c r="G159" i="164"/>
  <c r="B159" i="164"/>
  <c r="A159" i="164"/>
  <c r="D159" i="164" s="1"/>
  <c r="J158" i="164"/>
  <c r="G158" i="164"/>
  <c r="B158" i="164"/>
  <c r="A158" i="164"/>
  <c r="E158" i="164" s="1"/>
  <c r="J157" i="164"/>
  <c r="G157" i="164"/>
  <c r="B157" i="164"/>
  <c r="A157" i="164"/>
  <c r="D157" i="164" s="1"/>
  <c r="J156" i="164"/>
  <c r="G156" i="164"/>
  <c r="B156" i="164"/>
  <c r="A156" i="164"/>
  <c r="E156" i="164" s="1"/>
  <c r="J154" i="164"/>
  <c r="G154" i="164"/>
  <c r="J153" i="164"/>
  <c r="G153" i="164"/>
  <c r="B153" i="164"/>
  <c r="A153" i="164"/>
  <c r="D153" i="164" s="1"/>
  <c r="J152" i="164"/>
  <c r="G152" i="164"/>
  <c r="B152" i="164"/>
  <c r="A152" i="164"/>
  <c r="E152" i="164" s="1"/>
  <c r="J151" i="164"/>
  <c r="G151" i="164"/>
  <c r="H151" i="164" s="1"/>
  <c r="B151" i="164"/>
  <c r="A151" i="164"/>
  <c r="D151" i="164" s="1"/>
  <c r="K151" i="164" s="1"/>
  <c r="J150" i="164"/>
  <c r="G150" i="164"/>
  <c r="B150" i="164"/>
  <c r="A150" i="164"/>
  <c r="E150" i="164" s="1"/>
  <c r="J149" i="164"/>
  <c r="G149" i="164"/>
  <c r="B149" i="164"/>
  <c r="A149" i="164"/>
  <c r="D149" i="164" s="1"/>
  <c r="J147" i="164"/>
  <c r="G147" i="164"/>
  <c r="J146" i="164"/>
  <c r="G146" i="164"/>
  <c r="B146" i="164"/>
  <c r="A146" i="164"/>
  <c r="J145" i="164"/>
  <c r="G145" i="164"/>
  <c r="B145" i="164"/>
  <c r="A145" i="164"/>
  <c r="D145" i="164" s="1"/>
  <c r="J144" i="164"/>
  <c r="G144" i="164"/>
  <c r="B144" i="164"/>
  <c r="A144" i="164"/>
  <c r="E144" i="164" s="1"/>
  <c r="J143" i="164"/>
  <c r="G143" i="164"/>
  <c r="B143" i="164"/>
  <c r="A143" i="164"/>
  <c r="D143" i="164" s="1"/>
  <c r="J142" i="164"/>
  <c r="G142" i="164"/>
  <c r="B142" i="164"/>
  <c r="A142" i="164"/>
  <c r="E142" i="164" s="1"/>
  <c r="J140" i="164"/>
  <c r="G140" i="164"/>
  <c r="J139" i="164"/>
  <c r="G139" i="164"/>
  <c r="B139" i="164"/>
  <c r="A139" i="164"/>
  <c r="D139" i="164" s="1"/>
  <c r="J138" i="164"/>
  <c r="G138" i="164"/>
  <c r="B138" i="164"/>
  <c r="A138" i="164"/>
  <c r="E138" i="164" s="1"/>
  <c r="J137" i="164"/>
  <c r="G137" i="164"/>
  <c r="B137" i="164"/>
  <c r="A137" i="164"/>
  <c r="D137" i="164" s="1"/>
  <c r="J136" i="164"/>
  <c r="G136" i="164"/>
  <c r="B136" i="164"/>
  <c r="A136" i="164"/>
  <c r="E136" i="164" s="1"/>
  <c r="J135" i="164"/>
  <c r="G135" i="164"/>
  <c r="B135" i="164"/>
  <c r="A135" i="164"/>
  <c r="D135" i="164" s="1"/>
  <c r="J129" i="164"/>
  <c r="J128" i="164"/>
  <c r="B128" i="164"/>
  <c r="A128" i="164"/>
  <c r="D128" i="164" s="1"/>
  <c r="J127" i="164"/>
  <c r="B127" i="164"/>
  <c r="A127" i="164"/>
  <c r="D127" i="164" s="1"/>
  <c r="J126" i="164"/>
  <c r="B126" i="164"/>
  <c r="A126" i="164"/>
  <c r="E126" i="164" s="1"/>
  <c r="J125" i="164"/>
  <c r="B125" i="164"/>
  <c r="A125" i="164"/>
  <c r="D125" i="164" s="1"/>
  <c r="H125" i="164" s="1"/>
  <c r="J124" i="164"/>
  <c r="B124" i="164"/>
  <c r="A124" i="164"/>
  <c r="E124" i="164" s="1"/>
  <c r="J122" i="164"/>
  <c r="J121" i="164"/>
  <c r="B121" i="164"/>
  <c r="A121" i="164"/>
  <c r="D121" i="164" s="1"/>
  <c r="J120" i="164"/>
  <c r="B120" i="164"/>
  <c r="A120" i="164"/>
  <c r="E120" i="164" s="1"/>
  <c r="J119" i="164"/>
  <c r="B119" i="164"/>
  <c r="A119" i="164"/>
  <c r="D119" i="164" s="1"/>
  <c r="J118" i="164"/>
  <c r="B118" i="164"/>
  <c r="A118" i="164"/>
  <c r="E118" i="164" s="1"/>
  <c r="J117" i="164"/>
  <c r="B117" i="164"/>
  <c r="A117" i="164"/>
  <c r="D117" i="164" s="1"/>
  <c r="J115" i="164"/>
  <c r="J114" i="164"/>
  <c r="B114" i="164"/>
  <c r="A114" i="164"/>
  <c r="E114" i="164" s="1"/>
  <c r="J113" i="164"/>
  <c r="B113" i="164"/>
  <c r="A113" i="164"/>
  <c r="D113" i="164" s="1"/>
  <c r="J112" i="164"/>
  <c r="B112" i="164"/>
  <c r="A112" i="164"/>
  <c r="E112" i="164" s="1"/>
  <c r="J111" i="164"/>
  <c r="B111" i="164"/>
  <c r="A111" i="164"/>
  <c r="D111" i="164" s="1"/>
  <c r="H111" i="164" s="1"/>
  <c r="J110" i="164"/>
  <c r="B110" i="164"/>
  <c r="A110" i="164"/>
  <c r="E110" i="164" s="1"/>
  <c r="J108" i="164"/>
  <c r="G108" i="164"/>
  <c r="J107" i="164"/>
  <c r="G107" i="164"/>
  <c r="B107" i="164"/>
  <c r="A107" i="164"/>
  <c r="D107" i="164" s="1"/>
  <c r="J106" i="164"/>
  <c r="G106" i="164"/>
  <c r="B106" i="164"/>
  <c r="A106" i="164"/>
  <c r="E106" i="164" s="1"/>
  <c r="J105" i="164"/>
  <c r="G105" i="164"/>
  <c r="B105" i="164"/>
  <c r="A105" i="164"/>
  <c r="D105" i="164" s="1"/>
  <c r="J104" i="164"/>
  <c r="G104" i="164"/>
  <c r="B104" i="164"/>
  <c r="A104" i="164"/>
  <c r="E104" i="164" s="1"/>
  <c r="J103" i="164"/>
  <c r="G103" i="164"/>
  <c r="B103" i="164"/>
  <c r="A103" i="164"/>
  <c r="D103" i="164" s="1"/>
  <c r="K103" i="164" s="1"/>
  <c r="J92" i="164"/>
  <c r="G92" i="164"/>
  <c r="B92" i="164"/>
  <c r="A92" i="164"/>
  <c r="E92" i="164" s="1"/>
  <c r="J90" i="164"/>
  <c r="G90" i="164"/>
  <c r="B90" i="164"/>
  <c r="A90" i="164"/>
  <c r="D90" i="164" s="1"/>
  <c r="J88" i="164"/>
  <c r="G88" i="164"/>
  <c r="J87" i="164"/>
  <c r="G87" i="164"/>
  <c r="B87" i="164"/>
  <c r="A87" i="164"/>
  <c r="E87" i="164" s="1"/>
  <c r="J86" i="164"/>
  <c r="G86" i="164"/>
  <c r="B86" i="164"/>
  <c r="A86" i="164"/>
  <c r="D86" i="164" s="1"/>
  <c r="K86" i="164" s="1"/>
  <c r="J85" i="164"/>
  <c r="G85" i="164"/>
  <c r="B85" i="164"/>
  <c r="A85" i="164"/>
  <c r="E85" i="164" s="1"/>
  <c r="J84" i="164"/>
  <c r="G84" i="164"/>
  <c r="B84" i="164"/>
  <c r="A84" i="164"/>
  <c r="D84" i="164" s="1"/>
  <c r="H84" i="164" s="1"/>
  <c r="J82" i="164"/>
  <c r="G82" i="164"/>
  <c r="J81" i="164"/>
  <c r="G81" i="164"/>
  <c r="B81" i="164"/>
  <c r="A81" i="164"/>
  <c r="E81" i="164" s="1"/>
  <c r="J80" i="164"/>
  <c r="G80" i="164"/>
  <c r="B80" i="164"/>
  <c r="A80" i="164"/>
  <c r="D80" i="164" s="1"/>
  <c r="J79" i="164"/>
  <c r="G79" i="164"/>
  <c r="B79" i="164"/>
  <c r="A79" i="164"/>
  <c r="J78" i="164"/>
  <c r="G78" i="164"/>
  <c r="B78" i="164"/>
  <c r="A78" i="164"/>
  <c r="D78" i="164" s="1"/>
  <c r="J76" i="164"/>
  <c r="G76" i="164"/>
  <c r="J75" i="164"/>
  <c r="G75" i="164"/>
  <c r="B75" i="164"/>
  <c r="A75" i="164"/>
  <c r="E75" i="164" s="1"/>
  <c r="J74" i="164"/>
  <c r="G74" i="164"/>
  <c r="B74" i="164"/>
  <c r="A74" i="164"/>
  <c r="D74" i="164" s="1"/>
  <c r="H74" i="164" s="1"/>
  <c r="J73" i="164"/>
  <c r="G73" i="164"/>
  <c r="B73" i="164"/>
  <c r="A73" i="164"/>
  <c r="E73" i="164" s="1"/>
  <c r="J72" i="164"/>
  <c r="G72" i="164"/>
  <c r="B72" i="164"/>
  <c r="A72" i="164"/>
  <c r="E72" i="164" s="1"/>
  <c r="J70" i="164"/>
  <c r="G70" i="164"/>
  <c r="J69" i="164"/>
  <c r="G69" i="164"/>
  <c r="B69" i="164"/>
  <c r="A69" i="164"/>
  <c r="E69" i="164" s="1"/>
  <c r="J68" i="164"/>
  <c r="G68" i="164"/>
  <c r="B68" i="164"/>
  <c r="A68" i="164"/>
  <c r="D68" i="164" s="1"/>
  <c r="J67" i="164"/>
  <c r="G67" i="164"/>
  <c r="B67" i="164"/>
  <c r="A67" i="164"/>
  <c r="E67" i="164" s="1"/>
  <c r="J66" i="164"/>
  <c r="G66" i="164"/>
  <c r="B66" i="164"/>
  <c r="A66" i="164"/>
  <c r="D66" i="164" s="1"/>
  <c r="H66" i="164" s="1"/>
  <c r="J64" i="164"/>
  <c r="G64" i="164"/>
  <c r="J63" i="164"/>
  <c r="G63" i="164"/>
  <c r="B63" i="164"/>
  <c r="A63" i="164"/>
  <c r="E63" i="164" s="1"/>
  <c r="J62" i="164"/>
  <c r="G62" i="164"/>
  <c r="B62" i="164"/>
  <c r="A62" i="164"/>
  <c r="D62" i="164" s="1"/>
  <c r="J61" i="164"/>
  <c r="G61" i="164"/>
  <c r="B61" i="164"/>
  <c r="A61" i="164"/>
  <c r="E61" i="164" s="1"/>
  <c r="J60" i="164"/>
  <c r="G60" i="164"/>
  <c r="B60" i="164"/>
  <c r="A60" i="164"/>
  <c r="D60" i="164" s="1"/>
  <c r="J58" i="164"/>
  <c r="G58" i="164"/>
  <c r="J57" i="164"/>
  <c r="G57" i="164"/>
  <c r="B57" i="164"/>
  <c r="A57" i="164"/>
  <c r="E57" i="164" s="1"/>
  <c r="J56" i="164"/>
  <c r="G56" i="164"/>
  <c r="B56" i="164"/>
  <c r="A56" i="164"/>
  <c r="D56" i="164" s="1"/>
  <c r="J55" i="164"/>
  <c r="G55" i="164"/>
  <c r="B55" i="164"/>
  <c r="A55" i="164"/>
  <c r="J54" i="164"/>
  <c r="G54" i="164"/>
  <c r="B54" i="164"/>
  <c r="A54" i="164"/>
  <c r="D54" i="164" s="1"/>
  <c r="J52" i="164"/>
  <c r="G52" i="164"/>
  <c r="J51" i="164"/>
  <c r="G51" i="164"/>
  <c r="B51" i="164"/>
  <c r="A51" i="164"/>
  <c r="E51" i="164" s="1"/>
  <c r="J50" i="164"/>
  <c r="G50" i="164"/>
  <c r="B50" i="164"/>
  <c r="A50" i="164"/>
  <c r="D50" i="164" s="1"/>
  <c r="H50" i="164" s="1"/>
  <c r="J49" i="164"/>
  <c r="G49" i="164"/>
  <c r="B49" i="164"/>
  <c r="A49" i="164"/>
  <c r="E49" i="164" s="1"/>
  <c r="J48" i="164"/>
  <c r="G48" i="164"/>
  <c r="B48" i="164"/>
  <c r="A48" i="164"/>
  <c r="J47" i="164"/>
  <c r="G47" i="164"/>
  <c r="B47" i="164"/>
  <c r="A47" i="164"/>
  <c r="E47" i="164" s="1"/>
  <c r="J45" i="164"/>
  <c r="G45" i="164"/>
  <c r="J44" i="164"/>
  <c r="G44" i="164"/>
  <c r="B44" i="164"/>
  <c r="A44" i="164"/>
  <c r="D44" i="164" s="1"/>
  <c r="J43" i="164"/>
  <c r="G43" i="164"/>
  <c r="B43" i="164"/>
  <c r="A43" i="164"/>
  <c r="E43" i="164" s="1"/>
  <c r="J42" i="164"/>
  <c r="G42" i="164"/>
  <c r="B42" i="164"/>
  <c r="A42" i="164"/>
  <c r="D42" i="164" s="1"/>
  <c r="J41" i="164"/>
  <c r="G41" i="164"/>
  <c r="B41" i="164"/>
  <c r="A41" i="164"/>
  <c r="E41" i="164" s="1"/>
  <c r="J40" i="164"/>
  <c r="G40" i="164"/>
  <c r="B40" i="164"/>
  <c r="A40" i="164"/>
  <c r="D40" i="164" s="1"/>
  <c r="K40" i="164" s="1"/>
  <c r="J38" i="164"/>
  <c r="G38" i="164"/>
  <c r="J37" i="164"/>
  <c r="G37" i="164"/>
  <c r="B37" i="164"/>
  <c r="A37" i="164"/>
  <c r="J36" i="164"/>
  <c r="G36" i="164"/>
  <c r="B36" i="164"/>
  <c r="A36" i="164"/>
  <c r="D36" i="164" s="1"/>
  <c r="H36" i="164" s="1"/>
  <c r="J35" i="164"/>
  <c r="G35" i="164"/>
  <c r="B35" i="164"/>
  <c r="A35" i="164"/>
  <c r="E35" i="164" s="1"/>
  <c r="J34" i="164"/>
  <c r="G34" i="164"/>
  <c r="B34" i="164"/>
  <c r="A34" i="164"/>
  <c r="D34" i="164" s="1"/>
  <c r="J33" i="164"/>
  <c r="G33" i="164"/>
  <c r="B33" i="164"/>
  <c r="A33" i="164"/>
  <c r="J31" i="164"/>
  <c r="G31" i="164"/>
  <c r="J30" i="164"/>
  <c r="G30" i="164"/>
  <c r="B30" i="164"/>
  <c r="A30" i="164"/>
  <c r="D30" i="164" s="1"/>
  <c r="K30" i="164" s="1"/>
  <c r="J29" i="164"/>
  <c r="G29" i="164"/>
  <c r="B29" i="164"/>
  <c r="A29" i="164"/>
  <c r="E29" i="164" s="1"/>
  <c r="J28" i="164"/>
  <c r="G28" i="164"/>
  <c r="B28" i="164"/>
  <c r="A28" i="164"/>
  <c r="D28" i="164" s="1"/>
  <c r="K28" i="164" s="1"/>
  <c r="J27" i="164"/>
  <c r="G27" i="164"/>
  <c r="B27" i="164"/>
  <c r="A27" i="164"/>
  <c r="E27" i="164" s="1"/>
  <c r="J26" i="164"/>
  <c r="G26" i="164"/>
  <c r="B26" i="164"/>
  <c r="A26" i="164"/>
  <c r="D26" i="164" s="1"/>
  <c r="K26" i="164" s="1"/>
  <c r="J24" i="164"/>
  <c r="G24" i="164"/>
  <c r="J23" i="164"/>
  <c r="G23" i="164"/>
  <c r="B23" i="164"/>
  <c r="A23" i="164"/>
  <c r="D23" i="164" s="1"/>
  <c r="K23" i="164" s="1"/>
  <c r="J22" i="164"/>
  <c r="G22" i="164"/>
  <c r="B22" i="164"/>
  <c r="A22" i="164"/>
  <c r="D22" i="164" s="1"/>
  <c r="H22" i="164" s="1"/>
  <c r="J21" i="164"/>
  <c r="G21" i="164"/>
  <c r="B21" i="164"/>
  <c r="A21" i="164"/>
  <c r="E21" i="164" s="1"/>
  <c r="J20" i="164"/>
  <c r="G20" i="164"/>
  <c r="K20" i="164"/>
  <c r="B20" i="164"/>
  <c r="A20" i="164"/>
  <c r="D20" i="164" s="1"/>
  <c r="J19" i="164"/>
  <c r="G19" i="164"/>
  <c r="B19" i="164"/>
  <c r="A19" i="164"/>
  <c r="E19" i="164" s="1"/>
  <c r="E12" i="164"/>
  <c r="J6" i="164"/>
  <c r="L271" i="159"/>
  <c r="L272" i="159" s="1"/>
  <c r="H56" i="164" l="1"/>
  <c r="D142" i="164"/>
  <c r="D205" i="164"/>
  <c r="K205" i="164" s="1"/>
  <c r="D247" i="164"/>
  <c r="E56" i="164"/>
  <c r="E151" i="164"/>
  <c r="E200" i="164"/>
  <c r="E226" i="164"/>
  <c r="E248" i="164"/>
  <c r="E253" i="164" s="1"/>
  <c r="E255" i="164" s="1"/>
  <c r="H107" i="164"/>
  <c r="H119" i="164"/>
  <c r="K121" i="164"/>
  <c r="H137" i="164"/>
  <c r="H190" i="164"/>
  <c r="D47" i="164"/>
  <c r="D164" i="164"/>
  <c r="D229" i="164"/>
  <c r="D251" i="164"/>
  <c r="E68" i="164"/>
  <c r="E163" i="164"/>
  <c r="E212" i="164"/>
  <c r="E228" i="164"/>
  <c r="E250" i="164"/>
  <c r="K117" i="164"/>
  <c r="H60" i="164"/>
  <c r="K60" i="164"/>
  <c r="K208" i="164"/>
  <c r="D57" i="164"/>
  <c r="D221" i="164"/>
  <c r="K221" i="164" s="1"/>
  <c r="D233" i="164"/>
  <c r="K233" i="164" s="1"/>
  <c r="D262" i="164"/>
  <c r="G262" i="164" s="1"/>
  <c r="J262" i="164" s="1"/>
  <c r="E103" i="164"/>
  <c r="E173" i="164"/>
  <c r="E214" i="164"/>
  <c r="E232" i="164"/>
  <c r="E237" i="164" s="1"/>
  <c r="H181" i="164"/>
  <c r="D69" i="164"/>
  <c r="D201" i="164"/>
  <c r="D225" i="164"/>
  <c r="K225" i="164" s="1"/>
  <c r="L225" i="164" s="1"/>
  <c r="N225" i="164" s="1"/>
  <c r="D239" i="164"/>
  <c r="E139" i="164"/>
  <c r="E190" i="164"/>
  <c r="E222" i="164"/>
  <c r="E241" i="164"/>
  <c r="D192" i="164"/>
  <c r="K192" i="164" s="1"/>
  <c r="K250" i="164"/>
  <c r="H250" i="164"/>
  <c r="L250" i="164" s="1"/>
  <c r="N250" i="164" s="1"/>
  <c r="D35" i="164"/>
  <c r="D81" i="164"/>
  <c r="H81" i="164" s="1"/>
  <c r="D104" i="164"/>
  <c r="D114" i="164"/>
  <c r="K114" i="164" s="1"/>
  <c r="D126" i="164"/>
  <c r="D152" i="164"/>
  <c r="D191" i="164"/>
  <c r="H225" i="164"/>
  <c r="D235" i="164"/>
  <c r="E22" i="164"/>
  <c r="E34" i="164"/>
  <c r="E44" i="164"/>
  <c r="E80" i="164"/>
  <c r="E113" i="164"/>
  <c r="E125" i="164"/>
  <c r="E234" i="164"/>
  <c r="E33" i="164"/>
  <c r="E37" i="164"/>
  <c r="H34" i="164"/>
  <c r="K50" i="164"/>
  <c r="L50" i="164" s="1"/>
  <c r="N50" i="164" s="1"/>
  <c r="E79" i="164"/>
  <c r="E146" i="164"/>
  <c r="E160" i="164"/>
  <c r="D167" i="164"/>
  <c r="H167" i="164" s="1"/>
  <c r="H23" i="164"/>
  <c r="E23" i="164"/>
  <c r="H42" i="164"/>
  <c r="H48" i="164"/>
  <c r="D48" i="164"/>
  <c r="K48" i="164" s="1"/>
  <c r="E55" i="164"/>
  <c r="K68" i="164"/>
  <c r="K194" i="164"/>
  <c r="L194" i="164" s="1"/>
  <c r="N194" i="164" s="1"/>
  <c r="E199" i="164"/>
  <c r="H204" i="164"/>
  <c r="K204" i="164"/>
  <c r="H208" i="164"/>
  <c r="L208" i="164" s="1"/>
  <c r="N208" i="164" s="1"/>
  <c r="D27" i="164"/>
  <c r="H27" i="164" s="1"/>
  <c r="D37" i="164"/>
  <c r="K37" i="164" s="1"/>
  <c r="D49" i="164"/>
  <c r="H49" i="164" s="1"/>
  <c r="D61" i="164"/>
  <c r="D73" i="164"/>
  <c r="H73" i="164" s="1"/>
  <c r="D85" i="164"/>
  <c r="H85" i="164" s="1"/>
  <c r="D106" i="164"/>
  <c r="K106" i="164" s="1"/>
  <c r="D118" i="164"/>
  <c r="H118" i="164" s="1"/>
  <c r="D144" i="164"/>
  <c r="H144" i="164" s="1"/>
  <c r="D156" i="164"/>
  <c r="D166" i="164"/>
  <c r="D178" i="164"/>
  <c r="D193" i="164"/>
  <c r="D215" i="164"/>
  <c r="E26" i="164"/>
  <c r="E36" i="164"/>
  <c r="E48" i="164"/>
  <c r="E60" i="164"/>
  <c r="E84" i="164"/>
  <c r="E105" i="164"/>
  <c r="E117" i="164"/>
  <c r="E127" i="164"/>
  <c r="E143" i="164"/>
  <c r="E153" i="164"/>
  <c r="E165" i="164"/>
  <c r="E177" i="164"/>
  <c r="E192" i="164"/>
  <c r="E204" i="164"/>
  <c r="E236" i="164"/>
  <c r="H128" i="164"/>
  <c r="E128" i="164"/>
  <c r="H213" i="164"/>
  <c r="L213" i="164" s="1"/>
  <c r="N213" i="164" s="1"/>
  <c r="E213" i="164"/>
  <c r="H218" i="164"/>
  <c r="K218" i="164"/>
  <c r="H220" i="164"/>
  <c r="L220" i="164" s="1"/>
  <c r="N220" i="164" s="1"/>
  <c r="D220" i="164"/>
  <c r="K220" i="164" s="1"/>
  <c r="D19" i="164"/>
  <c r="H19" i="164" s="1"/>
  <c r="D29" i="164"/>
  <c r="H29" i="164" s="1"/>
  <c r="D41" i="164"/>
  <c r="H41" i="164" s="1"/>
  <c r="D51" i="164"/>
  <c r="H51" i="164" s="1"/>
  <c r="D63" i="164"/>
  <c r="D75" i="164"/>
  <c r="K75" i="164" s="1"/>
  <c r="D87" i="164"/>
  <c r="H87" i="164" s="1"/>
  <c r="D110" i="164"/>
  <c r="K110" i="164" s="1"/>
  <c r="D120" i="164"/>
  <c r="D136" i="164"/>
  <c r="H136" i="164" s="1"/>
  <c r="D146" i="164"/>
  <c r="H146" i="164" s="1"/>
  <c r="D158" i="164"/>
  <c r="D170" i="164"/>
  <c r="D180" i="164"/>
  <c r="H180" i="164" s="1"/>
  <c r="D197" i="164"/>
  <c r="D207" i="164"/>
  <c r="D219" i="164"/>
  <c r="E28" i="164"/>
  <c r="E31" i="164" s="1"/>
  <c r="E40" i="164"/>
  <c r="E50" i="164"/>
  <c r="E52" i="164" s="1"/>
  <c r="E62" i="164"/>
  <c r="E74" i="164"/>
  <c r="E76" i="164" s="1"/>
  <c r="E86" i="164"/>
  <c r="E107" i="164"/>
  <c r="E119" i="164"/>
  <c r="E122" i="164" s="1"/>
  <c r="E135" i="164"/>
  <c r="E145" i="164"/>
  <c r="E157" i="164"/>
  <c r="E167" i="164"/>
  <c r="E179" i="164"/>
  <c r="E194" i="164"/>
  <c r="E206" i="164"/>
  <c r="E218" i="164"/>
  <c r="E263" i="164"/>
  <c r="E264" i="164" s="1"/>
  <c r="E266" i="164" s="1"/>
  <c r="D72" i="164"/>
  <c r="K72" i="164" s="1"/>
  <c r="K143" i="164"/>
  <c r="H174" i="164"/>
  <c r="E174" i="164"/>
  <c r="H232" i="164"/>
  <c r="K232" i="164"/>
  <c r="D21" i="164"/>
  <c r="D33" i="164"/>
  <c r="K33" i="164" s="1"/>
  <c r="D43" i="164"/>
  <c r="D55" i="164"/>
  <c r="K55" i="164" s="1"/>
  <c r="D67" i="164"/>
  <c r="H67" i="164" s="1"/>
  <c r="D79" i="164"/>
  <c r="H79" i="164" s="1"/>
  <c r="D92" i="164"/>
  <c r="D112" i="164"/>
  <c r="K112" i="164" s="1"/>
  <c r="D124" i="164"/>
  <c r="K124" i="164" s="1"/>
  <c r="D138" i="164"/>
  <c r="H138" i="164" s="1"/>
  <c r="D150" i="164"/>
  <c r="D160" i="164"/>
  <c r="H160" i="164" s="1"/>
  <c r="D172" i="164"/>
  <c r="K172" i="164" s="1"/>
  <c r="D184" i="164"/>
  <c r="H184" i="164" s="1"/>
  <c r="D199" i="164"/>
  <c r="H199" i="164" s="1"/>
  <c r="D211" i="164"/>
  <c r="H221" i="164"/>
  <c r="D249" i="164"/>
  <c r="H249" i="164" s="1"/>
  <c r="E20" i="164"/>
  <c r="E30" i="164"/>
  <c r="E42" i="164"/>
  <c r="E54" i="164"/>
  <c r="E58" i="164" s="1"/>
  <c r="E66" i="164"/>
  <c r="E70" i="164" s="1"/>
  <c r="E78" i="164"/>
  <c r="E82" i="164" s="1"/>
  <c r="E90" i="164"/>
  <c r="E111" i="164"/>
  <c r="E121" i="164"/>
  <c r="E137" i="164"/>
  <c r="E149" i="164"/>
  <c r="E159" i="164"/>
  <c r="E171" i="164"/>
  <c r="E181" i="164"/>
  <c r="E198" i="164"/>
  <c r="E202" i="164" s="1"/>
  <c r="E208" i="164"/>
  <c r="E220" i="164"/>
  <c r="H227" i="164"/>
  <c r="E227" i="164"/>
  <c r="D252" i="164"/>
  <c r="H252" i="164" s="1"/>
  <c r="L221" i="164"/>
  <c r="N221" i="164" s="1"/>
  <c r="H30" i="164"/>
  <c r="L30" i="164" s="1"/>
  <c r="N30" i="164" s="1"/>
  <c r="H40" i="164"/>
  <c r="L40" i="164" s="1"/>
  <c r="N40" i="164" s="1"/>
  <c r="K62" i="164"/>
  <c r="H153" i="164"/>
  <c r="L23" i="164"/>
  <c r="N23" i="164" s="1"/>
  <c r="D24" i="164"/>
  <c r="H80" i="164"/>
  <c r="K80" i="164"/>
  <c r="H20" i="164"/>
  <c r="L20" i="164" s="1"/>
  <c r="N20" i="164" s="1"/>
  <c r="H26" i="164"/>
  <c r="E64" i="164"/>
  <c r="E88" i="164"/>
  <c r="K87" i="164"/>
  <c r="L87" i="164" s="1"/>
  <c r="N87" i="164" s="1"/>
  <c r="H112" i="164"/>
  <c r="L112" i="164" s="1"/>
  <c r="N112" i="164" s="1"/>
  <c r="E24" i="164"/>
  <c r="H28" i="164"/>
  <c r="L28" i="164" s="1"/>
  <c r="N28" i="164" s="1"/>
  <c r="H62" i="164"/>
  <c r="K107" i="164"/>
  <c r="L107" i="164" s="1"/>
  <c r="N107" i="164" s="1"/>
  <c r="H124" i="164"/>
  <c r="K22" i="164"/>
  <c r="L22" i="164" s="1"/>
  <c r="N22" i="164" s="1"/>
  <c r="K27" i="164"/>
  <c r="L27" i="164" s="1"/>
  <c r="N27" i="164" s="1"/>
  <c r="K34" i="164"/>
  <c r="K36" i="164"/>
  <c r="L36" i="164" s="1"/>
  <c r="N36" i="164" s="1"/>
  <c r="K41" i="164"/>
  <c r="L41" i="164" s="1"/>
  <c r="N41" i="164" s="1"/>
  <c r="K42" i="164"/>
  <c r="K44" i="164"/>
  <c r="H44" i="164"/>
  <c r="K49" i="164"/>
  <c r="L49" i="164" s="1"/>
  <c r="N49" i="164" s="1"/>
  <c r="K56" i="164"/>
  <c r="L56" i="164" s="1"/>
  <c r="N56" i="164" s="1"/>
  <c r="K66" i="164"/>
  <c r="K67" i="164"/>
  <c r="L67" i="164" s="1"/>
  <c r="N67" i="164" s="1"/>
  <c r="K73" i="164"/>
  <c r="L73" i="164" s="1"/>
  <c r="N73" i="164" s="1"/>
  <c r="K74" i="164"/>
  <c r="L74" i="164" s="1"/>
  <c r="N74" i="164" s="1"/>
  <c r="K78" i="164"/>
  <c r="H78" i="164"/>
  <c r="H90" i="164"/>
  <c r="K90" i="164"/>
  <c r="L90" i="164" s="1"/>
  <c r="N90" i="164" s="1"/>
  <c r="H103" i="164"/>
  <c r="L103" i="164" s="1"/>
  <c r="N103" i="164" s="1"/>
  <c r="L26" i="164"/>
  <c r="N26" i="164" s="1"/>
  <c r="L60" i="164"/>
  <c r="N60" i="164" s="1"/>
  <c r="H68" i="164"/>
  <c r="L68" i="164" s="1"/>
  <c r="N68" i="164" s="1"/>
  <c r="K84" i="164"/>
  <c r="H86" i="164"/>
  <c r="L86" i="164" s="1"/>
  <c r="N86" i="164" s="1"/>
  <c r="D108" i="164"/>
  <c r="K111" i="164"/>
  <c r="L111" i="164" s="1"/>
  <c r="N111" i="164" s="1"/>
  <c r="D64" i="164"/>
  <c r="H121" i="164"/>
  <c r="L121" i="164" s="1"/>
  <c r="N121" i="164" s="1"/>
  <c r="K125" i="164"/>
  <c r="L125" i="164" s="1"/>
  <c r="N125" i="164" s="1"/>
  <c r="K138" i="164"/>
  <c r="L138" i="164" s="1"/>
  <c r="N138" i="164" s="1"/>
  <c r="H143" i="164"/>
  <c r="K145" i="164"/>
  <c r="E230" i="164"/>
  <c r="H117" i="164"/>
  <c r="K119" i="164"/>
  <c r="K128" i="164"/>
  <c r="K136" i="164"/>
  <c r="K137" i="164"/>
  <c r="K144" i="164"/>
  <c r="L144" i="164" s="1"/>
  <c r="N144" i="164" s="1"/>
  <c r="K241" i="164"/>
  <c r="H241" i="164"/>
  <c r="H145" i="164"/>
  <c r="H211" i="164"/>
  <c r="K211" i="164"/>
  <c r="E216" i="164"/>
  <c r="K146" i="164"/>
  <c r="K153" i="164"/>
  <c r="L153" i="164" s="1"/>
  <c r="N153" i="164" s="1"/>
  <c r="K160" i="164"/>
  <c r="K167" i="164"/>
  <c r="K174" i="164"/>
  <c r="K180" i="164"/>
  <c r="E195" i="164"/>
  <c r="K212" i="164"/>
  <c r="H212" i="164"/>
  <c r="H239" i="164"/>
  <c r="K239" i="164"/>
  <c r="L151" i="164"/>
  <c r="N151" i="164" s="1"/>
  <c r="L165" i="164"/>
  <c r="N165" i="164" s="1"/>
  <c r="K184" i="164"/>
  <c r="L184" i="164" s="1"/>
  <c r="N184" i="164" s="1"/>
  <c r="H222" i="164"/>
  <c r="K222" i="164"/>
  <c r="L232" i="164"/>
  <c r="N232" i="164" s="1"/>
  <c r="K247" i="164"/>
  <c r="H247" i="164"/>
  <c r="H248" i="164"/>
  <c r="L248" i="164" s="1"/>
  <c r="N248" i="164" s="1"/>
  <c r="K199" i="164"/>
  <c r="H205" i="164"/>
  <c r="K227" i="164"/>
  <c r="H233" i="164"/>
  <c r="L233" i="164" s="1"/>
  <c r="N233" i="164" s="1"/>
  <c r="H236" i="164"/>
  <c r="L236" i="164" s="1"/>
  <c r="N236" i="164" s="1"/>
  <c r="L181" i="164"/>
  <c r="N181" i="164" s="1"/>
  <c r="L190" i="164"/>
  <c r="N190" i="164" s="1"/>
  <c r="L218" i="164"/>
  <c r="N218" i="164" s="1"/>
  <c r="K214" i="164"/>
  <c r="L214" i="164" s="1"/>
  <c r="N214" i="164" s="1"/>
  <c r="K249" i="164"/>
  <c r="L249" i="164" s="1"/>
  <c r="N249" i="164" s="1"/>
  <c r="H262" i="164"/>
  <c r="D264" i="164"/>
  <c r="D266" i="164" s="1"/>
  <c r="K262" i="164"/>
  <c r="E271" i="159"/>
  <c r="D271" i="159"/>
  <c r="E263" i="159"/>
  <c r="D263" i="159"/>
  <c r="E262" i="159"/>
  <c r="D262" i="159"/>
  <c r="G262" i="159" s="1"/>
  <c r="D248" i="159"/>
  <c r="E248" i="159"/>
  <c r="D249" i="159"/>
  <c r="E249" i="159"/>
  <c r="D250" i="159"/>
  <c r="K250" i="159" s="1"/>
  <c r="E250" i="159"/>
  <c r="D251" i="159"/>
  <c r="E251" i="159"/>
  <c r="D252" i="159"/>
  <c r="E252" i="159"/>
  <c r="D253" i="159"/>
  <c r="D255" i="159" s="1"/>
  <c r="E247" i="159"/>
  <c r="D247" i="159"/>
  <c r="K247" i="159" s="1"/>
  <c r="E241" i="159"/>
  <c r="D241" i="159"/>
  <c r="E239" i="159"/>
  <c r="D239" i="159"/>
  <c r="E236" i="159"/>
  <c r="D236" i="159"/>
  <c r="E235" i="159"/>
  <c r="D235" i="159"/>
  <c r="K235" i="159" s="1"/>
  <c r="E234" i="159"/>
  <c r="D234" i="159"/>
  <c r="E233" i="159"/>
  <c r="D233" i="159"/>
  <c r="K233" i="159" s="1"/>
  <c r="E232" i="159"/>
  <c r="D232" i="159"/>
  <c r="E229" i="159"/>
  <c r="D229" i="159"/>
  <c r="E228" i="159"/>
  <c r="D228" i="159"/>
  <c r="K228" i="159" s="1"/>
  <c r="E227" i="159"/>
  <c r="D227" i="159"/>
  <c r="E226" i="159"/>
  <c r="D226" i="159"/>
  <c r="K226" i="159" s="1"/>
  <c r="E225" i="159"/>
  <c r="D225" i="159"/>
  <c r="E222" i="159"/>
  <c r="D222" i="159"/>
  <c r="E221" i="159"/>
  <c r="D221" i="159"/>
  <c r="K221" i="159" s="1"/>
  <c r="E220" i="159"/>
  <c r="D220" i="159"/>
  <c r="E219" i="159"/>
  <c r="E223" i="159" s="1"/>
  <c r="D219" i="159"/>
  <c r="K219" i="159" s="1"/>
  <c r="E218" i="159"/>
  <c r="D218" i="159"/>
  <c r="E215" i="159"/>
  <c r="D215" i="159"/>
  <c r="E214" i="159"/>
  <c r="D214" i="159"/>
  <c r="K214" i="159" s="1"/>
  <c r="E213" i="159"/>
  <c r="D213" i="159"/>
  <c r="E212" i="159"/>
  <c r="D212" i="159"/>
  <c r="K212" i="159" s="1"/>
  <c r="E211" i="159"/>
  <c r="D211" i="159"/>
  <c r="E208" i="159"/>
  <c r="D208" i="159"/>
  <c r="E207" i="159"/>
  <c r="D207" i="159"/>
  <c r="K207" i="159" s="1"/>
  <c r="E206" i="159"/>
  <c r="D206" i="159"/>
  <c r="E205" i="159"/>
  <c r="D205" i="159"/>
  <c r="K205" i="159" s="1"/>
  <c r="E204" i="159"/>
  <c r="D204" i="159"/>
  <c r="E201" i="159"/>
  <c r="D201" i="159"/>
  <c r="E200" i="159"/>
  <c r="D200" i="159"/>
  <c r="K200" i="159" s="1"/>
  <c r="E199" i="159"/>
  <c r="D199" i="159"/>
  <c r="E198" i="159"/>
  <c r="D198" i="159"/>
  <c r="K198" i="159" s="1"/>
  <c r="E197" i="159"/>
  <c r="D197" i="159"/>
  <c r="E194" i="159"/>
  <c r="D194" i="159"/>
  <c r="E193" i="159"/>
  <c r="E195" i="159" s="1"/>
  <c r="D193" i="159"/>
  <c r="K193" i="159" s="1"/>
  <c r="E192" i="159"/>
  <c r="D192" i="159"/>
  <c r="E191" i="159"/>
  <c r="D191" i="159"/>
  <c r="H191" i="159" s="1"/>
  <c r="E190" i="159"/>
  <c r="D190" i="159"/>
  <c r="K190" i="159" s="1"/>
  <c r="E184" i="159"/>
  <c r="D184" i="159"/>
  <c r="E181" i="159"/>
  <c r="D181" i="159"/>
  <c r="E180" i="159"/>
  <c r="D180" i="159"/>
  <c r="H180" i="159" s="1"/>
  <c r="E179" i="159"/>
  <c r="D179" i="159"/>
  <c r="E178" i="159"/>
  <c r="E182" i="159" s="1"/>
  <c r="D178" i="159"/>
  <c r="K178" i="159" s="1"/>
  <c r="E177" i="159"/>
  <c r="D177" i="159"/>
  <c r="E174" i="159"/>
  <c r="D174" i="159"/>
  <c r="E173" i="159"/>
  <c r="D173" i="159"/>
  <c r="K173" i="159" s="1"/>
  <c r="E172" i="159"/>
  <c r="D172" i="159"/>
  <c r="E171" i="159"/>
  <c r="D171" i="159"/>
  <c r="H171" i="159" s="1"/>
  <c r="E170" i="159"/>
  <c r="D170" i="159"/>
  <c r="E167" i="159"/>
  <c r="D167" i="159"/>
  <c r="E166" i="159"/>
  <c r="D166" i="159"/>
  <c r="H166" i="159" s="1"/>
  <c r="E165" i="159"/>
  <c r="D165" i="159"/>
  <c r="E164" i="159"/>
  <c r="D164" i="159"/>
  <c r="K164" i="159" s="1"/>
  <c r="E163" i="159"/>
  <c r="D163" i="159"/>
  <c r="E160" i="159"/>
  <c r="D160" i="159"/>
  <c r="E159" i="159"/>
  <c r="D159" i="159"/>
  <c r="H159" i="159" s="1"/>
  <c r="E158" i="159"/>
  <c r="D158" i="159"/>
  <c r="E157" i="159"/>
  <c r="D157" i="159"/>
  <c r="K157" i="159" s="1"/>
  <c r="E156" i="159"/>
  <c r="D156" i="159"/>
  <c r="E153" i="159"/>
  <c r="D153" i="159"/>
  <c r="E152" i="159"/>
  <c r="D152" i="159"/>
  <c r="H152" i="159" s="1"/>
  <c r="E151" i="159"/>
  <c r="D151" i="159"/>
  <c r="E150" i="159"/>
  <c r="D150" i="159"/>
  <c r="K150" i="159" s="1"/>
  <c r="E149" i="159"/>
  <c r="D149" i="159"/>
  <c r="E146" i="159"/>
  <c r="D146" i="159"/>
  <c r="E145" i="159"/>
  <c r="D145" i="159"/>
  <c r="H145" i="159" s="1"/>
  <c r="E144" i="159"/>
  <c r="D144" i="159"/>
  <c r="E143" i="159"/>
  <c r="D143" i="159"/>
  <c r="K143" i="159" s="1"/>
  <c r="E142" i="159"/>
  <c r="D142" i="159"/>
  <c r="H142" i="159" s="1"/>
  <c r="E139" i="159"/>
  <c r="D139" i="159"/>
  <c r="E138" i="159"/>
  <c r="D138" i="159"/>
  <c r="H138" i="159" s="1"/>
  <c r="E137" i="159"/>
  <c r="D137" i="159"/>
  <c r="E136" i="159"/>
  <c r="D136" i="159"/>
  <c r="K136" i="159" s="1"/>
  <c r="E135" i="159"/>
  <c r="D135" i="159"/>
  <c r="E128" i="159"/>
  <c r="D128" i="159"/>
  <c r="E127" i="159"/>
  <c r="D127" i="159"/>
  <c r="K127" i="159" s="1"/>
  <c r="E126" i="159"/>
  <c r="D126" i="159"/>
  <c r="E125" i="159"/>
  <c r="E129" i="159" s="1"/>
  <c r="D125" i="159"/>
  <c r="K125" i="159" s="1"/>
  <c r="E124" i="159"/>
  <c r="D124" i="159"/>
  <c r="E121" i="159"/>
  <c r="D121" i="159"/>
  <c r="E120" i="159"/>
  <c r="D120" i="159"/>
  <c r="K120" i="159" s="1"/>
  <c r="E119" i="159"/>
  <c r="D119" i="159"/>
  <c r="E118" i="159"/>
  <c r="E122" i="159" s="1"/>
  <c r="D118" i="159"/>
  <c r="K118" i="159" s="1"/>
  <c r="L118" i="159" s="1"/>
  <c r="E117" i="159"/>
  <c r="D117" i="159"/>
  <c r="E114" i="159"/>
  <c r="D114" i="159"/>
  <c r="E113" i="159"/>
  <c r="D113" i="159"/>
  <c r="K113" i="159" s="1"/>
  <c r="E112" i="159"/>
  <c r="D112" i="159"/>
  <c r="E111" i="159"/>
  <c r="D111" i="159"/>
  <c r="H111" i="159" s="1"/>
  <c r="E110" i="159"/>
  <c r="D110" i="159"/>
  <c r="E107" i="159"/>
  <c r="D107" i="159"/>
  <c r="E106" i="159"/>
  <c r="D106" i="159"/>
  <c r="K106" i="159" s="1"/>
  <c r="E105" i="159"/>
  <c r="D105" i="159"/>
  <c r="E104" i="159"/>
  <c r="D104" i="159"/>
  <c r="H104" i="159" s="1"/>
  <c r="E103" i="159"/>
  <c r="D103" i="159"/>
  <c r="E92" i="159"/>
  <c r="D92" i="159"/>
  <c r="E90" i="159"/>
  <c r="D90" i="159"/>
  <c r="E87" i="159"/>
  <c r="D87" i="159"/>
  <c r="E86" i="159"/>
  <c r="D86" i="159"/>
  <c r="H86" i="159" s="1"/>
  <c r="E85" i="159"/>
  <c r="D85" i="159"/>
  <c r="E84" i="159"/>
  <c r="E88" i="159" s="1"/>
  <c r="D84" i="159"/>
  <c r="E81" i="159"/>
  <c r="D81" i="159"/>
  <c r="E80" i="159"/>
  <c r="D80" i="159"/>
  <c r="K80" i="159" s="1"/>
  <c r="E79" i="159"/>
  <c r="D79" i="159"/>
  <c r="E78" i="159"/>
  <c r="D78" i="159"/>
  <c r="H78" i="159" s="1"/>
  <c r="E75" i="159"/>
  <c r="D75" i="159"/>
  <c r="E74" i="159"/>
  <c r="D74" i="159"/>
  <c r="H74" i="159" s="1"/>
  <c r="E73" i="159"/>
  <c r="D73" i="159"/>
  <c r="E72" i="159"/>
  <c r="D72" i="159"/>
  <c r="E69" i="159"/>
  <c r="D69" i="159"/>
  <c r="E68" i="159"/>
  <c r="D68" i="159"/>
  <c r="H68" i="159" s="1"/>
  <c r="E67" i="159"/>
  <c r="D67" i="159"/>
  <c r="E66" i="159"/>
  <c r="D66" i="159"/>
  <c r="H66" i="159" s="1"/>
  <c r="E63" i="159"/>
  <c r="D63" i="159"/>
  <c r="E62" i="159"/>
  <c r="D62" i="159"/>
  <c r="E61" i="159"/>
  <c r="D61" i="159"/>
  <c r="E60" i="159"/>
  <c r="D60" i="159"/>
  <c r="H60" i="159" s="1"/>
  <c r="E57" i="159"/>
  <c r="D57" i="159"/>
  <c r="E56" i="159"/>
  <c r="D56" i="159"/>
  <c r="K56" i="159" s="1"/>
  <c r="E55" i="159"/>
  <c r="D55" i="159"/>
  <c r="E54" i="159"/>
  <c r="E58" i="159" s="1"/>
  <c r="D54" i="159"/>
  <c r="H54" i="159" s="1"/>
  <c r="H58" i="159" s="1"/>
  <c r="E51" i="159"/>
  <c r="D51" i="159"/>
  <c r="E50" i="159"/>
  <c r="D50" i="159"/>
  <c r="H50" i="159" s="1"/>
  <c r="E49" i="159"/>
  <c r="D49" i="159"/>
  <c r="E48" i="159"/>
  <c r="D48" i="159"/>
  <c r="E47" i="159"/>
  <c r="D47" i="159"/>
  <c r="E44" i="159"/>
  <c r="D44" i="159"/>
  <c r="E43" i="159"/>
  <c r="D43" i="159"/>
  <c r="H43" i="159" s="1"/>
  <c r="E42" i="159"/>
  <c r="D42" i="159"/>
  <c r="E41" i="159"/>
  <c r="D41" i="159"/>
  <c r="K41" i="159" s="1"/>
  <c r="E40" i="159"/>
  <c r="D40" i="159"/>
  <c r="E37" i="159"/>
  <c r="D37" i="159"/>
  <c r="E36" i="159"/>
  <c r="D36" i="159"/>
  <c r="H36" i="159" s="1"/>
  <c r="E35" i="159"/>
  <c r="D35" i="159"/>
  <c r="E34" i="159"/>
  <c r="E38" i="159" s="1"/>
  <c r="D34" i="159"/>
  <c r="K34" i="159" s="1"/>
  <c r="E33" i="159"/>
  <c r="D33" i="159"/>
  <c r="E30" i="159"/>
  <c r="D30" i="159"/>
  <c r="E29" i="159"/>
  <c r="D29" i="159"/>
  <c r="E28" i="159"/>
  <c r="D28" i="159"/>
  <c r="E27" i="159"/>
  <c r="D27" i="159"/>
  <c r="E26" i="159"/>
  <c r="D26" i="159"/>
  <c r="E23" i="159"/>
  <c r="D23" i="159"/>
  <c r="E22" i="159"/>
  <c r="D22" i="159"/>
  <c r="H22" i="159" s="1"/>
  <c r="E21" i="159"/>
  <c r="D21" i="159"/>
  <c r="E20" i="159"/>
  <c r="D20" i="159"/>
  <c r="K20" i="159" s="1"/>
  <c r="E19" i="159"/>
  <c r="D19" i="159"/>
  <c r="H19" i="159" s="1"/>
  <c r="E12" i="159"/>
  <c r="G263" i="159"/>
  <c r="J263" i="159" s="1"/>
  <c r="K263" i="159" s="1"/>
  <c r="B263" i="159"/>
  <c r="A263" i="159"/>
  <c r="E264" i="159"/>
  <c r="E266" i="159" s="1"/>
  <c r="B262" i="159"/>
  <c r="A262" i="159"/>
  <c r="J253" i="159"/>
  <c r="G253" i="159"/>
  <c r="J252" i="159"/>
  <c r="G252" i="159"/>
  <c r="B252" i="159"/>
  <c r="A252" i="159"/>
  <c r="K251" i="159"/>
  <c r="J251" i="159"/>
  <c r="G251" i="159"/>
  <c r="H251" i="159" s="1"/>
  <c r="B251" i="159"/>
  <c r="A251" i="159"/>
  <c r="J250" i="159"/>
  <c r="G250" i="159"/>
  <c r="B250" i="159"/>
  <c r="A250" i="159"/>
  <c r="J249" i="159"/>
  <c r="H249" i="159"/>
  <c r="G249" i="159"/>
  <c r="K249" i="159"/>
  <c r="B249" i="159"/>
  <c r="A249" i="159"/>
  <c r="J248" i="159"/>
  <c r="G248" i="159"/>
  <c r="B248" i="159"/>
  <c r="A248" i="159"/>
  <c r="J247" i="159"/>
  <c r="G247" i="159"/>
  <c r="H247" i="159" s="1"/>
  <c r="B247" i="159"/>
  <c r="A247" i="159"/>
  <c r="K241" i="159"/>
  <c r="J241" i="159"/>
  <c r="G241" i="159"/>
  <c r="H241" i="159" s="1"/>
  <c r="B241" i="159"/>
  <c r="A241" i="159"/>
  <c r="J239" i="159"/>
  <c r="G239" i="159"/>
  <c r="H239" i="159" s="1"/>
  <c r="K239" i="159"/>
  <c r="L239" i="159" s="1"/>
  <c r="B239" i="159"/>
  <c r="A239" i="159"/>
  <c r="J237" i="159"/>
  <c r="G237" i="159"/>
  <c r="J236" i="159"/>
  <c r="G236" i="159"/>
  <c r="H236" i="159" s="1"/>
  <c r="K236" i="159"/>
  <c r="B236" i="159"/>
  <c r="A236" i="159"/>
  <c r="J235" i="159"/>
  <c r="G235" i="159"/>
  <c r="B235" i="159"/>
  <c r="A235" i="159"/>
  <c r="J234" i="159"/>
  <c r="G234" i="159"/>
  <c r="B234" i="159"/>
  <c r="A234" i="159"/>
  <c r="J233" i="159"/>
  <c r="G233" i="159"/>
  <c r="E237" i="159"/>
  <c r="B233" i="159"/>
  <c r="A233" i="159"/>
  <c r="J232" i="159"/>
  <c r="G232" i="159"/>
  <c r="K232" i="159"/>
  <c r="B232" i="159"/>
  <c r="A232" i="159"/>
  <c r="J230" i="159"/>
  <c r="G230" i="159"/>
  <c r="J229" i="159"/>
  <c r="G229" i="159"/>
  <c r="H229" i="159" s="1"/>
  <c r="K229" i="159"/>
  <c r="L229" i="159" s="1"/>
  <c r="B229" i="159"/>
  <c r="A229" i="159"/>
  <c r="J228" i="159"/>
  <c r="G228" i="159"/>
  <c r="B228" i="159"/>
  <c r="A228" i="159"/>
  <c r="J227" i="159"/>
  <c r="G227" i="159"/>
  <c r="B227" i="159"/>
  <c r="A227" i="159"/>
  <c r="J226" i="159"/>
  <c r="G226" i="159"/>
  <c r="E230" i="159"/>
  <c r="B226" i="159"/>
  <c r="A226" i="159"/>
  <c r="J225" i="159"/>
  <c r="G225" i="159"/>
  <c r="K225" i="159"/>
  <c r="B225" i="159"/>
  <c r="A225" i="159"/>
  <c r="J223" i="159"/>
  <c r="G223" i="159"/>
  <c r="J222" i="159"/>
  <c r="G222" i="159"/>
  <c r="K222" i="159"/>
  <c r="B222" i="159"/>
  <c r="A222" i="159"/>
  <c r="J221" i="159"/>
  <c r="G221" i="159"/>
  <c r="B221" i="159"/>
  <c r="A221" i="159"/>
  <c r="J220" i="159"/>
  <c r="G220" i="159"/>
  <c r="B220" i="159"/>
  <c r="A220" i="159"/>
  <c r="J219" i="159"/>
  <c r="G219" i="159"/>
  <c r="B219" i="159"/>
  <c r="A219" i="159"/>
  <c r="J218" i="159"/>
  <c r="G218" i="159"/>
  <c r="K218" i="159"/>
  <c r="B218" i="159"/>
  <c r="A218" i="159"/>
  <c r="J216" i="159"/>
  <c r="G216" i="159"/>
  <c r="J215" i="159"/>
  <c r="G215" i="159"/>
  <c r="K215" i="159"/>
  <c r="B215" i="159"/>
  <c r="A215" i="159"/>
  <c r="J214" i="159"/>
  <c r="G214" i="159"/>
  <c r="B214" i="159"/>
  <c r="A214" i="159"/>
  <c r="J213" i="159"/>
  <c r="G213" i="159"/>
  <c r="B213" i="159"/>
  <c r="A213" i="159"/>
  <c r="J212" i="159"/>
  <c r="G212" i="159"/>
  <c r="E216" i="159"/>
  <c r="B212" i="159"/>
  <c r="A212" i="159"/>
  <c r="J211" i="159"/>
  <c r="G211" i="159"/>
  <c r="K211" i="159"/>
  <c r="B211" i="159"/>
  <c r="A211" i="159"/>
  <c r="J209" i="159"/>
  <c r="G209" i="159"/>
  <c r="J208" i="159"/>
  <c r="G208" i="159"/>
  <c r="K208" i="159"/>
  <c r="B208" i="159"/>
  <c r="A208" i="159"/>
  <c r="J207" i="159"/>
  <c r="G207" i="159"/>
  <c r="B207" i="159"/>
  <c r="A207" i="159"/>
  <c r="J206" i="159"/>
  <c r="G206" i="159"/>
  <c r="B206" i="159"/>
  <c r="A206" i="159"/>
  <c r="J205" i="159"/>
  <c r="G205" i="159"/>
  <c r="E209" i="159"/>
  <c r="B205" i="159"/>
  <c r="A205" i="159"/>
  <c r="J204" i="159"/>
  <c r="G204" i="159"/>
  <c r="K204" i="159"/>
  <c r="B204" i="159"/>
  <c r="A204" i="159"/>
  <c r="J202" i="159"/>
  <c r="G202" i="159"/>
  <c r="J201" i="159"/>
  <c r="G201" i="159"/>
  <c r="K201" i="159"/>
  <c r="B201" i="159"/>
  <c r="A201" i="159"/>
  <c r="J200" i="159"/>
  <c r="G200" i="159"/>
  <c r="B200" i="159"/>
  <c r="A200" i="159"/>
  <c r="J199" i="159"/>
  <c r="G199" i="159"/>
  <c r="B199" i="159"/>
  <c r="A199" i="159"/>
  <c r="J198" i="159"/>
  <c r="G198" i="159"/>
  <c r="E202" i="159"/>
  <c r="B198" i="159"/>
  <c r="A198" i="159"/>
  <c r="J197" i="159"/>
  <c r="G197" i="159"/>
  <c r="K197" i="159"/>
  <c r="B197" i="159"/>
  <c r="A197" i="159"/>
  <c r="J195" i="159"/>
  <c r="G195" i="159"/>
  <c r="J194" i="159"/>
  <c r="G194" i="159"/>
  <c r="K194" i="159"/>
  <c r="B194" i="159"/>
  <c r="A194" i="159"/>
  <c r="J193" i="159"/>
  <c r="G193" i="159"/>
  <c r="B193" i="159"/>
  <c r="A193" i="159"/>
  <c r="J192" i="159"/>
  <c r="G192" i="159"/>
  <c r="B192" i="159"/>
  <c r="A192" i="159"/>
  <c r="K191" i="159"/>
  <c r="J191" i="159"/>
  <c r="G191" i="159"/>
  <c r="B191" i="159"/>
  <c r="A191" i="159"/>
  <c r="J190" i="159"/>
  <c r="G190" i="159"/>
  <c r="B190" i="159"/>
  <c r="A190" i="159"/>
  <c r="J184" i="159"/>
  <c r="G184" i="159"/>
  <c r="K184" i="159"/>
  <c r="B184" i="159"/>
  <c r="A184" i="159"/>
  <c r="J182" i="159"/>
  <c r="G182" i="159"/>
  <c r="J181" i="159"/>
  <c r="G181" i="159"/>
  <c r="K181" i="159"/>
  <c r="B181" i="159"/>
  <c r="A181" i="159"/>
  <c r="J180" i="159"/>
  <c r="G180" i="159"/>
  <c r="B180" i="159"/>
  <c r="A180" i="159"/>
  <c r="J179" i="159"/>
  <c r="G179" i="159"/>
  <c r="B179" i="159"/>
  <c r="A179" i="159"/>
  <c r="J178" i="159"/>
  <c r="G178" i="159"/>
  <c r="B178" i="159"/>
  <c r="A178" i="159"/>
  <c r="J177" i="159"/>
  <c r="G177" i="159"/>
  <c r="K177" i="159"/>
  <c r="B177" i="159"/>
  <c r="A177" i="159"/>
  <c r="J175" i="159"/>
  <c r="G175" i="159"/>
  <c r="J174" i="159"/>
  <c r="G174" i="159"/>
  <c r="K174" i="159"/>
  <c r="B174" i="159"/>
  <c r="A174" i="159"/>
  <c r="J173" i="159"/>
  <c r="G173" i="159"/>
  <c r="B173" i="159"/>
  <c r="A173" i="159"/>
  <c r="J172" i="159"/>
  <c r="G172" i="159"/>
  <c r="B172" i="159"/>
  <c r="A172" i="159"/>
  <c r="J171" i="159"/>
  <c r="G171" i="159"/>
  <c r="E175" i="159"/>
  <c r="B171" i="159"/>
  <c r="A171" i="159"/>
  <c r="J170" i="159"/>
  <c r="G170" i="159"/>
  <c r="K170" i="159"/>
  <c r="B170" i="159"/>
  <c r="A170" i="159"/>
  <c r="J168" i="159"/>
  <c r="G168" i="159"/>
  <c r="J167" i="159"/>
  <c r="G167" i="159"/>
  <c r="K167" i="159"/>
  <c r="B167" i="159"/>
  <c r="A167" i="159"/>
  <c r="J166" i="159"/>
  <c r="G166" i="159"/>
  <c r="B166" i="159"/>
  <c r="A166" i="159"/>
  <c r="J165" i="159"/>
  <c r="G165" i="159"/>
  <c r="B165" i="159"/>
  <c r="A165" i="159"/>
  <c r="J164" i="159"/>
  <c r="G164" i="159"/>
  <c r="E168" i="159"/>
  <c r="B164" i="159"/>
  <c r="A164" i="159"/>
  <c r="J163" i="159"/>
  <c r="G163" i="159"/>
  <c r="K163" i="159"/>
  <c r="B163" i="159"/>
  <c r="A163" i="159"/>
  <c r="J161" i="159"/>
  <c r="G161" i="159"/>
  <c r="J160" i="159"/>
  <c r="G160" i="159"/>
  <c r="B160" i="159"/>
  <c r="A160" i="159"/>
  <c r="K159" i="159"/>
  <c r="J159" i="159"/>
  <c r="G159" i="159"/>
  <c r="B159" i="159"/>
  <c r="A159" i="159"/>
  <c r="J158" i="159"/>
  <c r="G158" i="159"/>
  <c r="B158" i="159"/>
  <c r="A158" i="159"/>
  <c r="J157" i="159"/>
  <c r="H157" i="159"/>
  <c r="G157" i="159"/>
  <c r="B157" i="159"/>
  <c r="A157" i="159"/>
  <c r="J156" i="159"/>
  <c r="G156" i="159"/>
  <c r="H156" i="159" s="1"/>
  <c r="B156" i="159"/>
  <c r="A156" i="159"/>
  <c r="J154" i="159"/>
  <c r="G154" i="159"/>
  <c r="J153" i="159"/>
  <c r="G153" i="159"/>
  <c r="B153" i="159"/>
  <c r="A153" i="159"/>
  <c r="J152" i="159"/>
  <c r="G152" i="159"/>
  <c r="B152" i="159"/>
  <c r="A152" i="159"/>
  <c r="J151" i="159"/>
  <c r="G151" i="159"/>
  <c r="H151" i="159"/>
  <c r="B151" i="159"/>
  <c r="A151" i="159"/>
  <c r="J150" i="159"/>
  <c r="G150" i="159"/>
  <c r="E154" i="159"/>
  <c r="B150" i="159"/>
  <c r="A150" i="159"/>
  <c r="J149" i="159"/>
  <c r="G149" i="159"/>
  <c r="H149" i="159" s="1"/>
  <c r="K149" i="159"/>
  <c r="L149" i="159" s="1"/>
  <c r="B149" i="159"/>
  <c r="A149" i="159"/>
  <c r="J147" i="159"/>
  <c r="G147" i="159"/>
  <c r="J146" i="159"/>
  <c r="H146" i="159"/>
  <c r="G146" i="159"/>
  <c r="K146" i="159"/>
  <c r="B146" i="159"/>
  <c r="A146" i="159"/>
  <c r="J145" i="159"/>
  <c r="G145" i="159"/>
  <c r="B145" i="159"/>
  <c r="A145" i="159"/>
  <c r="K144" i="159"/>
  <c r="J144" i="159"/>
  <c r="G144" i="159"/>
  <c r="E147" i="159"/>
  <c r="B144" i="159"/>
  <c r="A144" i="159"/>
  <c r="J143" i="159"/>
  <c r="G143" i="159"/>
  <c r="B143" i="159"/>
  <c r="A143" i="159"/>
  <c r="J142" i="159"/>
  <c r="G142" i="159"/>
  <c r="B142" i="159"/>
  <c r="A142" i="159"/>
  <c r="J140" i="159"/>
  <c r="G140" i="159"/>
  <c r="J139" i="159"/>
  <c r="H139" i="159"/>
  <c r="G139" i="159"/>
  <c r="K139" i="159"/>
  <c r="B139" i="159"/>
  <c r="A139" i="159"/>
  <c r="J138" i="159"/>
  <c r="G138" i="159"/>
  <c r="B138" i="159"/>
  <c r="A138" i="159"/>
  <c r="K137" i="159"/>
  <c r="J137" i="159"/>
  <c r="G137" i="159"/>
  <c r="E140" i="159"/>
  <c r="H137" i="159"/>
  <c r="B137" i="159"/>
  <c r="A137" i="159"/>
  <c r="J136" i="159"/>
  <c r="G136" i="159"/>
  <c r="B136" i="159"/>
  <c r="A136" i="159"/>
  <c r="J135" i="159"/>
  <c r="G135" i="159"/>
  <c r="K135" i="159"/>
  <c r="B135" i="159"/>
  <c r="A135" i="159"/>
  <c r="J129" i="159"/>
  <c r="G129" i="159"/>
  <c r="K128" i="159"/>
  <c r="J128" i="159"/>
  <c r="G128" i="159"/>
  <c r="H128" i="159" s="1"/>
  <c r="L128" i="159" s="1"/>
  <c r="B128" i="159"/>
  <c r="A128" i="159"/>
  <c r="J127" i="159"/>
  <c r="G127" i="159"/>
  <c r="B127" i="159"/>
  <c r="A127" i="159"/>
  <c r="J126" i="159"/>
  <c r="G126" i="159"/>
  <c r="H126" i="159"/>
  <c r="B126" i="159"/>
  <c r="A126" i="159"/>
  <c r="J125" i="159"/>
  <c r="G125" i="159"/>
  <c r="B125" i="159"/>
  <c r="A125" i="159"/>
  <c r="K124" i="159"/>
  <c r="J124" i="159"/>
  <c r="G124" i="159"/>
  <c r="H124" i="159" s="1"/>
  <c r="B124" i="159"/>
  <c r="A124" i="159"/>
  <c r="J122" i="159"/>
  <c r="G122" i="159"/>
  <c r="K121" i="159"/>
  <c r="J121" i="159"/>
  <c r="G121" i="159"/>
  <c r="H121" i="159" s="1"/>
  <c r="L121" i="159" s="1"/>
  <c r="B121" i="159"/>
  <c r="A121" i="159"/>
  <c r="J120" i="159"/>
  <c r="G120" i="159"/>
  <c r="B120" i="159"/>
  <c r="A120" i="159"/>
  <c r="J119" i="159"/>
  <c r="G119" i="159"/>
  <c r="H119" i="159"/>
  <c r="B119" i="159"/>
  <c r="A119" i="159"/>
  <c r="J118" i="159"/>
  <c r="G118" i="159"/>
  <c r="H118" i="159"/>
  <c r="B118" i="159"/>
  <c r="A118" i="159"/>
  <c r="K117" i="159"/>
  <c r="J117" i="159"/>
  <c r="G117" i="159"/>
  <c r="H117" i="159" s="1"/>
  <c r="B117" i="159"/>
  <c r="A117" i="159"/>
  <c r="J115" i="159"/>
  <c r="G115" i="159"/>
  <c r="K114" i="159"/>
  <c r="J114" i="159"/>
  <c r="G114" i="159"/>
  <c r="H114" i="159" s="1"/>
  <c r="L114" i="159" s="1"/>
  <c r="B114" i="159"/>
  <c r="A114" i="159"/>
  <c r="J113" i="159"/>
  <c r="G113" i="159"/>
  <c r="B113" i="159"/>
  <c r="A113" i="159"/>
  <c r="J112" i="159"/>
  <c r="G112" i="159"/>
  <c r="H112" i="159"/>
  <c r="B112" i="159"/>
  <c r="A112" i="159"/>
  <c r="J111" i="159"/>
  <c r="G111" i="159"/>
  <c r="B111" i="159"/>
  <c r="A111" i="159"/>
  <c r="K110" i="159"/>
  <c r="J110" i="159"/>
  <c r="G110" i="159"/>
  <c r="H110" i="159" s="1"/>
  <c r="E115" i="159"/>
  <c r="B110" i="159"/>
  <c r="A110" i="159"/>
  <c r="J108" i="159"/>
  <c r="G108" i="159"/>
  <c r="K107" i="159"/>
  <c r="J107" i="159"/>
  <c r="G107" i="159"/>
  <c r="H107" i="159" s="1"/>
  <c r="B107" i="159"/>
  <c r="A107" i="159"/>
  <c r="J106" i="159"/>
  <c r="G106" i="159"/>
  <c r="B106" i="159"/>
  <c r="A106" i="159"/>
  <c r="J105" i="159"/>
  <c r="G105" i="159"/>
  <c r="H105" i="159"/>
  <c r="B105" i="159"/>
  <c r="A105" i="159"/>
  <c r="J104" i="159"/>
  <c r="G104" i="159"/>
  <c r="B104" i="159"/>
  <c r="A104" i="159"/>
  <c r="K103" i="159"/>
  <c r="J103" i="159"/>
  <c r="G103" i="159"/>
  <c r="H103" i="159" s="1"/>
  <c r="E108" i="159"/>
  <c r="B103" i="159"/>
  <c r="A103" i="159"/>
  <c r="K92" i="159"/>
  <c r="J92" i="159"/>
  <c r="G92" i="159"/>
  <c r="B92" i="159"/>
  <c r="A92" i="159"/>
  <c r="K90" i="159"/>
  <c r="J90" i="159"/>
  <c r="H90" i="159"/>
  <c r="G90" i="159"/>
  <c r="B90" i="159"/>
  <c r="A90" i="159"/>
  <c r="J88" i="159"/>
  <c r="G88" i="159"/>
  <c r="K87" i="159"/>
  <c r="J87" i="159"/>
  <c r="G87" i="159"/>
  <c r="H87" i="159" s="1"/>
  <c r="B87" i="159"/>
  <c r="A87" i="159"/>
  <c r="J86" i="159"/>
  <c r="G86" i="159"/>
  <c r="K86" i="159"/>
  <c r="B86" i="159"/>
  <c r="A86" i="159"/>
  <c r="J85" i="159"/>
  <c r="G85" i="159"/>
  <c r="H85" i="159"/>
  <c r="B85" i="159"/>
  <c r="A85" i="159"/>
  <c r="J84" i="159"/>
  <c r="G84" i="159"/>
  <c r="B84" i="159"/>
  <c r="A84" i="159"/>
  <c r="J82" i="159"/>
  <c r="G82" i="159"/>
  <c r="J81" i="159"/>
  <c r="G81" i="159"/>
  <c r="H81" i="159"/>
  <c r="B81" i="159"/>
  <c r="A81" i="159"/>
  <c r="J80" i="159"/>
  <c r="G80" i="159"/>
  <c r="B80" i="159"/>
  <c r="A80" i="159"/>
  <c r="J79" i="159"/>
  <c r="G79" i="159"/>
  <c r="H79" i="159" s="1"/>
  <c r="K79" i="159"/>
  <c r="B79" i="159"/>
  <c r="A79" i="159"/>
  <c r="J78" i="159"/>
  <c r="G78" i="159"/>
  <c r="E82" i="159"/>
  <c r="B78" i="159"/>
  <c r="A78" i="159"/>
  <c r="J76" i="159"/>
  <c r="G76" i="159"/>
  <c r="E76" i="159"/>
  <c r="J75" i="159"/>
  <c r="H75" i="159"/>
  <c r="G75" i="159"/>
  <c r="K75" i="159"/>
  <c r="L75" i="159" s="1"/>
  <c r="B75" i="159"/>
  <c r="A75" i="159"/>
  <c r="J74" i="159"/>
  <c r="G74" i="159"/>
  <c r="B74" i="159"/>
  <c r="A74" i="159"/>
  <c r="K73" i="159"/>
  <c r="J73" i="159"/>
  <c r="G73" i="159"/>
  <c r="H73" i="159" s="1"/>
  <c r="B73" i="159"/>
  <c r="A73" i="159"/>
  <c r="J72" i="159"/>
  <c r="G72" i="159"/>
  <c r="K72" i="159"/>
  <c r="B72" i="159"/>
  <c r="A72" i="159"/>
  <c r="J70" i="159"/>
  <c r="G70" i="159"/>
  <c r="E70" i="159"/>
  <c r="J69" i="159"/>
  <c r="G69" i="159"/>
  <c r="H69" i="159" s="1"/>
  <c r="K69" i="159"/>
  <c r="B69" i="159"/>
  <c r="A69" i="159"/>
  <c r="J68" i="159"/>
  <c r="G68" i="159"/>
  <c r="K68" i="159"/>
  <c r="B68" i="159"/>
  <c r="A68" i="159"/>
  <c r="J67" i="159"/>
  <c r="G67" i="159"/>
  <c r="B67" i="159"/>
  <c r="A67" i="159"/>
  <c r="J66" i="159"/>
  <c r="G66" i="159"/>
  <c r="B66" i="159"/>
  <c r="A66" i="159"/>
  <c r="J64" i="159"/>
  <c r="G64" i="159"/>
  <c r="K63" i="159"/>
  <c r="J63" i="159"/>
  <c r="G63" i="159"/>
  <c r="H63" i="159" s="1"/>
  <c r="B63" i="159"/>
  <c r="A63" i="159"/>
  <c r="J62" i="159"/>
  <c r="G62" i="159"/>
  <c r="K62" i="159"/>
  <c r="B62" i="159"/>
  <c r="A62" i="159"/>
  <c r="J61" i="159"/>
  <c r="H61" i="159"/>
  <c r="G61" i="159"/>
  <c r="K61" i="159"/>
  <c r="B61" i="159"/>
  <c r="A61" i="159"/>
  <c r="J60" i="159"/>
  <c r="G60" i="159"/>
  <c r="B60" i="159"/>
  <c r="A60" i="159"/>
  <c r="J58" i="159"/>
  <c r="G58" i="159"/>
  <c r="J57" i="159"/>
  <c r="G57" i="159"/>
  <c r="H57" i="159"/>
  <c r="B57" i="159"/>
  <c r="A57" i="159"/>
  <c r="J56" i="159"/>
  <c r="G56" i="159"/>
  <c r="H56" i="159" s="1"/>
  <c r="B56" i="159"/>
  <c r="A56" i="159"/>
  <c r="J55" i="159"/>
  <c r="G55" i="159"/>
  <c r="H55" i="159" s="1"/>
  <c r="K55" i="159"/>
  <c r="L55" i="159" s="1"/>
  <c r="B55" i="159"/>
  <c r="A55" i="159"/>
  <c r="J54" i="159"/>
  <c r="G54" i="159"/>
  <c r="D58" i="159"/>
  <c r="B54" i="159"/>
  <c r="A54" i="159"/>
  <c r="J52" i="159"/>
  <c r="G52" i="159"/>
  <c r="J51" i="159"/>
  <c r="H51" i="159"/>
  <c r="G51" i="159"/>
  <c r="K51" i="159"/>
  <c r="L51" i="159" s="1"/>
  <c r="B51" i="159"/>
  <c r="A51" i="159"/>
  <c r="J50" i="159"/>
  <c r="G50" i="159"/>
  <c r="B50" i="159"/>
  <c r="A50" i="159"/>
  <c r="K49" i="159"/>
  <c r="J49" i="159"/>
  <c r="G49" i="159"/>
  <c r="H49" i="159" s="1"/>
  <c r="E52" i="159"/>
  <c r="B49" i="159"/>
  <c r="A49" i="159"/>
  <c r="J48" i="159"/>
  <c r="G48" i="159"/>
  <c r="K48" i="159"/>
  <c r="B48" i="159"/>
  <c r="A48" i="159"/>
  <c r="J47" i="159"/>
  <c r="H47" i="159"/>
  <c r="G47" i="159"/>
  <c r="K47" i="159"/>
  <c r="B47" i="159"/>
  <c r="A47" i="159"/>
  <c r="J45" i="159"/>
  <c r="G45" i="159"/>
  <c r="J44" i="159"/>
  <c r="H44" i="159"/>
  <c r="G44" i="159"/>
  <c r="K44" i="159"/>
  <c r="B44" i="159"/>
  <c r="A44" i="159"/>
  <c r="J43" i="159"/>
  <c r="G43" i="159"/>
  <c r="B43" i="159"/>
  <c r="A43" i="159"/>
  <c r="K42" i="159"/>
  <c r="J42" i="159"/>
  <c r="G42" i="159"/>
  <c r="H42" i="159" s="1"/>
  <c r="E45" i="159"/>
  <c r="B42" i="159"/>
  <c r="A42" i="159"/>
  <c r="J41" i="159"/>
  <c r="G41" i="159"/>
  <c r="H41" i="159" s="1"/>
  <c r="B41" i="159"/>
  <c r="A41" i="159"/>
  <c r="J40" i="159"/>
  <c r="H40" i="159"/>
  <c r="G40" i="159"/>
  <c r="K40" i="159"/>
  <c r="B40" i="159"/>
  <c r="A40" i="159"/>
  <c r="J38" i="159"/>
  <c r="G38" i="159"/>
  <c r="J37" i="159"/>
  <c r="H37" i="159"/>
  <c r="G37" i="159"/>
  <c r="K37" i="159"/>
  <c r="B37" i="159"/>
  <c r="A37" i="159"/>
  <c r="J36" i="159"/>
  <c r="G36" i="159"/>
  <c r="B36" i="159"/>
  <c r="A36" i="159"/>
  <c r="K35" i="159"/>
  <c r="J35" i="159"/>
  <c r="G35" i="159"/>
  <c r="H35" i="159" s="1"/>
  <c r="B35" i="159"/>
  <c r="A35" i="159"/>
  <c r="J34" i="159"/>
  <c r="G34" i="159"/>
  <c r="B34" i="159"/>
  <c r="A34" i="159"/>
  <c r="J33" i="159"/>
  <c r="H33" i="159"/>
  <c r="G33" i="159"/>
  <c r="K33" i="159"/>
  <c r="B33" i="159"/>
  <c r="A33" i="159"/>
  <c r="J31" i="159"/>
  <c r="G31" i="159"/>
  <c r="J30" i="159"/>
  <c r="H30" i="159"/>
  <c r="G30" i="159"/>
  <c r="K30" i="159"/>
  <c r="L30" i="159" s="1"/>
  <c r="B30" i="159"/>
  <c r="A30" i="159"/>
  <c r="J29" i="159"/>
  <c r="G29" i="159"/>
  <c r="H29" i="159"/>
  <c r="B29" i="159"/>
  <c r="A29" i="159"/>
  <c r="K28" i="159"/>
  <c r="J28" i="159"/>
  <c r="G28" i="159"/>
  <c r="H28" i="159" s="1"/>
  <c r="E31" i="159"/>
  <c r="B28" i="159"/>
  <c r="A28" i="159"/>
  <c r="J27" i="159"/>
  <c r="G27" i="159"/>
  <c r="H27" i="159" s="1"/>
  <c r="K27" i="159"/>
  <c r="B27" i="159"/>
  <c r="A27" i="159"/>
  <c r="J26" i="159"/>
  <c r="H26" i="159"/>
  <c r="G26" i="159"/>
  <c r="K26" i="159"/>
  <c r="B26" i="159"/>
  <c r="A26" i="159"/>
  <c r="J24" i="159"/>
  <c r="G24" i="159"/>
  <c r="J23" i="159"/>
  <c r="H23" i="159"/>
  <c r="G23" i="159"/>
  <c r="K23" i="159"/>
  <c r="L23" i="159" s="1"/>
  <c r="B23" i="159"/>
  <c r="A23" i="159"/>
  <c r="J22" i="159"/>
  <c r="G22" i="159"/>
  <c r="B22" i="159"/>
  <c r="A22" i="159"/>
  <c r="K21" i="159"/>
  <c r="J21" i="159"/>
  <c r="G21" i="159"/>
  <c r="H21" i="159" s="1"/>
  <c r="B21" i="159"/>
  <c r="A21" i="159"/>
  <c r="J20" i="159"/>
  <c r="G20" i="159"/>
  <c r="B20" i="159"/>
  <c r="A20" i="159"/>
  <c r="J19" i="159"/>
  <c r="G19" i="159"/>
  <c r="B19" i="159"/>
  <c r="A19" i="159"/>
  <c r="J6" i="159"/>
  <c r="L119" i="164" l="1"/>
  <c r="N119" i="164" s="1"/>
  <c r="L174" i="164"/>
  <c r="N174" i="164" s="1"/>
  <c r="H114" i="164"/>
  <c r="K79" i="164"/>
  <c r="K19" i="164"/>
  <c r="D31" i="164"/>
  <c r="E209" i="164"/>
  <c r="D216" i="164"/>
  <c r="L204" i="164"/>
  <c r="N204" i="164" s="1"/>
  <c r="K229" i="164"/>
  <c r="L229" i="164" s="1"/>
  <c r="N229" i="164" s="1"/>
  <c r="H229" i="164"/>
  <c r="L227" i="164"/>
  <c r="N227" i="164" s="1"/>
  <c r="H172" i="164"/>
  <c r="L172" i="164" s="1"/>
  <c r="N172" i="164" s="1"/>
  <c r="L137" i="164"/>
  <c r="N137" i="164" s="1"/>
  <c r="L143" i="164"/>
  <c r="N143" i="164" s="1"/>
  <c r="H75" i="164"/>
  <c r="L75" i="164" s="1"/>
  <c r="N75" i="164" s="1"/>
  <c r="D38" i="164"/>
  <c r="K51" i="164"/>
  <c r="L42" i="164"/>
  <c r="N42" i="164" s="1"/>
  <c r="K29" i="164"/>
  <c r="L29" i="164" s="1"/>
  <c r="N29" i="164" s="1"/>
  <c r="H106" i="164"/>
  <c r="L106" i="164" s="1"/>
  <c r="N106" i="164" s="1"/>
  <c r="E223" i="164"/>
  <c r="E175" i="164"/>
  <c r="E38" i="164"/>
  <c r="H57" i="164"/>
  <c r="K57" i="164"/>
  <c r="K201" i="164"/>
  <c r="H201" i="164"/>
  <c r="K118" i="164"/>
  <c r="L118" i="164" s="1"/>
  <c r="N118" i="164" s="1"/>
  <c r="K252" i="164"/>
  <c r="L34" i="164"/>
  <c r="N34" i="164" s="1"/>
  <c r="E108" i="164"/>
  <c r="H43" i="164"/>
  <c r="K43" i="164"/>
  <c r="K158" i="164"/>
  <c r="H158" i="164"/>
  <c r="L222" i="164"/>
  <c r="N222" i="164" s="1"/>
  <c r="L160" i="164"/>
  <c r="N160" i="164" s="1"/>
  <c r="D88" i="164"/>
  <c r="D76" i="164"/>
  <c r="K81" i="164"/>
  <c r="L81" i="164" s="1"/>
  <c r="N81" i="164" s="1"/>
  <c r="H72" i="164"/>
  <c r="L72" i="164" s="1"/>
  <c r="E45" i="164"/>
  <c r="H197" i="164"/>
  <c r="K197" i="164"/>
  <c r="L197" i="164" s="1"/>
  <c r="N197" i="164" s="1"/>
  <c r="H193" i="164"/>
  <c r="K193" i="164"/>
  <c r="H33" i="164"/>
  <c r="K126" i="164"/>
  <c r="H126" i="164"/>
  <c r="H35" i="164"/>
  <c r="K35" i="164"/>
  <c r="H192" i="164"/>
  <c r="L192" i="164" s="1"/>
  <c r="N192" i="164" s="1"/>
  <c r="L252" i="164"/>
  <c r="N252" i="164" s="1"/>
  <c r="L199" i="164"/>
  <c r="N199" i="164" s="1"/>
  <c r="L167" i="164"/>
  <c r="N167" i="164" s="1"/>
  <c r="K92" i="164"/>
  <c r="H92" i="164"/>
  <c r="L114" i="164"/>
  <c r="N114" i="164" s="1"/>
  <c r="K85" i="164"/>
  <c r="L85" i="164" s="1"/>
  <c r="N85" i="164" s="1"/>
  <c r="D45" i="164"/>
  <c r="L62" i="164"/>
  <c r="N62" i="164" s="1"/>
  <c r="H110" i="164"/>
  <c r="L110" i="164" s="1"/>
  <c r="N110" i="164" s="1"/>
  <c r="L79" i="164"/>
  <c r="N79" i="164" s="1"/>
  <c r="K21" i="164"/>
  <c r="H21" i="164"/>
  <c r="H55" i="164"/>
  <c r="K215" i="164"/>
  <c r="H215" i="164"/>
  <c r="L146" i="164"/>
  <c r="N146" i="164" s="1"/>
  <c r="L128" i="164"/>
  <c r="N128" i="164" s="1"/>
  <c r="H82" i="164"/>
  <c r="D82" i="164"/>
  <c r="L55" i="164"/>
  <c r="N55" i="164" s="1"/>
  <c r="H63" i="164"/>
  <c r="K63" i="164"/>
  <c r="L48" i="164"/>
  <c r="N48" i="164" s="1"/>
  <c r="H37" i="164"/>
  <c r="L37" i="164" s="1"/>
  <c r="N37" i="164" s="1"/>
  <c r="K104" i="164"/>
  <c r="H104" i="164"/>
  <c r="H45" i="164"/>
  <c r="L239" i="164"/>
  <c r="N239" i="164" s="1"/>
  <c r="L51" i="164"/>
  <c r="N51" i="164" s="1"/>
  <c r="L44" i="164"/>
  <c r="H76" i="164"/>
  <c r="L80" i="164"/>
  <c r="N80" i="164" s="1"/>
  <c r="K191" i="164"/>
  <c r="D195" i="164"/>
  <c r="H191" i="164"/>
  <c r="H195" i="164" s="1"/>
  <c r="E243" i="164"/>
  <c r="E154" i="164"/>
  <c r="K139" i="164"/>
  <c r="H139" i="164"/>
  <c r="D175" i="164"/>
  <c r="K170" i="164"/>
  <c r="H170" i="164"/>
  <c r="L78" i="164"/>
  <c r="K82" i="164"/>
  <c r="K31" i="164"/>
  <c r="E94" i="164"/>
  <c r="E97" i="164" s="1"/>
  <c r="K113" i="164"/>
  <c r="H113" i="164"/>
  <c r="D115" i="164"/>
  <c r="E140" i="164"/>
  <c r="K54" i="164"/>
  <c r="D58" i="164"/>
  <c r="H54" i="164"/>
  <c r="H58" i="164" s="1"/>
  <c r="K38" i="164"/>
  <c r="H24" i="164"/>
  <c r="H228" i="164"/>
  <c r="K228" i="164"/>
  <c r="L205" i="164"/>
  <c r="N205" i="164" s="1"/>
  <c r="K251" i="164"/>
  <c r="K253" i="164" s="1"/>
  <c r="K255" i="164" s="1"/>
  <c r="H251" i="164"/>
  <c r="D161" i="164"/>
  <c r="K156" i="164"/>
  <c r="H156" i="164"/>
  <c r="K127" i="164"/>
  <c r="H127" i="164"/>
  <c r="H129" i="164" s="1"/>
  <c r="L66" i="164"/>
  <c r="N66" i="164" s="1"/>
  <c r="L124" i="164"/>
  <c r="N124" i="164" s="1"/>
  <c r="K24" i="164"/>
  <c r="L19" i="164"/>
  <c r="N19" i="164" s="1"/>
  <c r="H200" i="164"/>
  <c r="K200" i="164"/>
  <c r="L200" i="164" s="1"/>
  <c r="N200" i="164" s="1"/>
  <c r="L211" i="164"/>
  <c r="N211" i="164" s="1"/>
  <c r="K216" i="164"/>
  <c r="H157" i="164"/>
  <c r="K157" i="164"/>
  <c r="L157" i="164" s="1"/>
  <c r="N157" i="164" s="1"/>
  <c r="E182" i="164"/>
  <c r="H171" i="164"/>
  <c r="K171" i="164"/>
  <c r="L171" i="164" s="1"/>
  <c r="N171" i="164" s="1"/>
  <c r="L262" i="164"/>
  <c r="N262" i="164" s="1"/>
  <c r="D253" i="164"/>
  <c r="D255" i="164" s="1"/>
  <c r="H207" i="164"/>
  <c r="K207" i="164"/>
  <c r="L207" i="164" s="1"/>
  <c r="N207" i="164" s="1"/>
  <c r="G263" i="164"/>
  <c r="J263" i="164" s="1"/>
  <c r="K263" i="164" s="1"/>
  <c r="K173" i="164"/>
  <c r="L173" i="164" s="1"/>
  <c r="N173" i="164" s="1"/>
  <c r="H173" i="164"/>
  <c r="D154" i="164"/>
  <c r="K149" i="164"/>
  <c r="H149" i="164"/>
  <c r="D182" i="164"/>
  <c r="K177" i="164"/>
  <c r="H177" i="164"/>
  <c r="K120" i="164"/>
  <c r="H120" i="164"/>
  <c r="H122" i="164" s="1"/>
  <c r="D122" i="164"/>
  <c r="D168" i="164"/>
  <c r="K163" i="164"/>
  <c r="H163" i="164"/>
  <c r="H150" i="164"/>
  <c r="K150" i="164"/>
  <c r="L150" i="164" s="1"/>
  <c r="N150" i="164" s="1"/>
  <c r="L31" i="164"/>
  <c r="N31" i="164" s="1"/>
  <c r="K69" i="164"/>
  <c r="H69" i="164"/>
  <c r="H70" i="164" s="1"/>
  <c r="D129" i="164"/>
  <c r="D147" i="164"/>
  <c r="K142" i="164"/>
  <c r="H142" i="164"/>
  <c r="H147" i="164" s="1"/>
  <c r="D70" i="164"/>
  <c r="K47" i="164"/>
  <c r="D52" i="164"/>
  <c r="H47" i="164"/>
  <c r="H52" i="164" s="1"/>
  <c r="H88" i="164"/>
  <c r="K179" i="164"/>
  <c r="H179" i="164"/>
  <c r="K198" i="164"/>
  <c r="D202" i="164"/>
  <c r="H198" i="164"/>
  <c r="H202" i="164" s="1"/>
  <c r="K178" i="164"/>
  <c r="H178" i="164"/>
  <c r="K105" i="164"/>
  <c r="H105" i="164"/>
  <c r="H108" i="164" s="1"/>
  <c r="K135" i="164"/>
  <c r="H135" i="164"/>
  <c r="D140" i="164"/>
  <c r="H253" i="164"/>
  <c r="H255" i="164" s="1"/>
  <c r="L212" i="164"/>
  <c r="N212" i="164" s="1"/>
  <c r="K234" i="164"/>
  <c r="D237" i="164"/>
  <c r="H234" i="164"/>
  <c r="L241" i="164"/>
  <c r="N241" i="164" s="1"/>
  <c r="K159" i="164"/>
  <c r="H159" i="164"/>
  <c r="E168" i="164"/>
  <c r="K219" i="164"/>
  <c r="H219" i="164"/>
  <c r="H223" i="164" s="1"/>
  <c r="D223" i="164"/>
  <c r="L247" i="164"/>
  <c r="N247" i="164" s="1"/>
  <c r="H235" i="164"/>
  <c r="K235" i="164"/>
  <c r="K206" i="164"/>
  <c r="D209" i="164"/>
  <c r="H206" i="164"/>
  <c r="H209" i="164" s="1"/>
  <c r="L180" i="164"/>
  <c r="N180" i="164" s="1"/>
  <c r="H216" i="164"/>
  <c r="K152" i="164"/>
  <c r="H152" i="164"/>
  <c r="H164" i="164"/>
  <c r="K164" i="164"/>
  <c r="E161" i="164"/>
  <c r="L136" i="164"/>
  <c r="N136" i="164" s="1"/>
  <c r="K226" i="164"/>
  <c r="D230" i="164"/>
  <c r="H226" i="164"/>
  <c r="K166" i="164"/>
  <c r="H166" i="164"/>
  <c r="L145" i="164"/>
  <c r="N145" i="164" s="1"/>
  <c r="E129" i="164"/>
  <c r="L84" i="164"/>
  <c r="K88" i="164"/>
  <c r="K45" i="164"/>
  <c r="L117" i="164"/>
  <c r="N117" i="164" s="1"/>
  <c r="E147" i="164"/>
  <c r="E115" i="164"/>
  <c r="E131" i="164" s="1"/>
  <c r="K61" i="164"/>
  <c r="H61" i="164"/>
  <c r="H64" i="164" s="1"/>
  <c r="H31" i="164"/>
  <c r="K76" i="164"/>
  <c r="H250" i="159"/>
  <c r="L250" i="159" s="1"/>
  <c r="H232" i="159"/>
  <c r="H235" i="159"/>
  <c r="L236" i="159"/>
  <c r="H233" i="159"/>
  <c r="L233" i="159" s="1"/>
  <c r="H228" i="159"/>
  <c r="H226" i="159"/>
  <c r="L226" i="159" s="1"/>
  <c r="H221" i="159"/>
  <c r="H219" i="159"/>
  <c r="L219" i="159" s="1"/>
  <c r="H214" i="159"/>
  <c r="L214" i="159" s="1"/>
  <c r="H212" i="159"/>
  <c r="H207" i="159"/>
  <c r="H205" i="159"/>
  <c r="H200" i="159"/>
  <c r="H198" i="159"/>
  <c r="L198" i="159" s="1"/>
  <c r="E243" i="159"/>
  <c r="L191" i="159"/>
  <c r="H193" i="159"/>
  <c r="H178" i="159"/>
  <c r="L178" i="159" s="1"/>
  <c r="K180" i="159"/>
  <c r="L180" i="159" s="1"/>
  <c r="K171" i="159"/>
  <c r="L171" i="159" s="1"/>
  <c r="H173" i="159"/>
  <c r="L173" i="159" s="1"/>
  <c r="H164" i="159"/>
  <c r="L164" i="159" s="1"/>
  <c r="K166" i="159"/>
  <c r="L166" i="159" s="1"/>
  <c r="H150" i="159"/>
  <c r="L150" i="159" s="1"/>
  <c r="H143" i="159"/>
  <c r="L143" i="159" s="1"/>
  <c r="L137" i="159"/>
  <c r="H136" i="159"/>
  <c r="L136" i="159" s="1"/>
  <c r="H125" i="159"/>
  <c r="L125" i="159" s="1"/>
  <c r="E131" i="159"/>
  <c r="K111" i="159"/>
  <c r="L111" i="159" s="1"/>
  <c r="K104" i="159"/>
  <c r="L104" i="159" s="1"/>
  <c r="L107" i="159"/>
  <c r="L90" i="159"/>
  <c r="L87" i="159"/>
  <c r="K78" i="159"/>
  <c r="L78" i="159" s="1"/>
  <c r="H80" i="159"/>
  <c r="H82" i="159" s="1"/>
  <c r="K66" i="159"/>
  <c r="L66" i="159" s="1"/>
  <c r="D70" i="159"/>
  <c r="L68" i="159"/>
  <c r="H62" i="159"/>
  <c r="L61" i="159"/>
  <c r="L63" i="159"/>
  <c r="H48" i="159"/>
  <c r="L48" i="159"/>
  <c r="L42" i="159"/>
  <c r="L44" i="159"/>
  <c r="L34" i="159"/>
  <c r="L37" i="159"/>
  <c r="H34" i="159"/>
  <c r="L27" i="159"/>
  <c r="H20" i="159"/>
  <c r="L20" i="159" s="1"/>
  <c r="E24" i="159"/>
  <c r="K19" i="159"/>
  <c r="L19" i="159" s="1"/>
  <c r="L26" i="159"/>
  <c r="L35" i="159"/>
  <c r="H52" i="159"/>
  <c r="H64" i="159"/>
  <c r="L117" i="159"/>
  <c r="H31" i="159"/>
  <c r="L33" i="159"/>
  <c r="H45" i="159"/>
  <c r="L41" i="159"/>
  <c r="L47" i="159"/>
  <c r="L56" i="159"/>
  <c r="L62" i="159"/>
  <c r="L69" i="159"/>
  <c r="L73" i="159"/>
  <c r="L110" i="159"/>
  <c r="H115" i="159"/>
  <c r="L124" i="159"/>
  <c r="L28" i="159"/>
  <c r="L21" i="159"/>
  <c r="H38" i="159"/>
  <c r="L40" i="159"/>
  <c r="L49" i="159"/>
  <c r="L79" i="159"/>
  <c r="L80" i="159"/>
  <c r="L103" i="159"/>
  <c r="D38" i="159"/>
  <c r="D45" i="159"/>
  <c r="D24" i="159"/>
  <c r="L113" i="159"/>
  <c r="K138" i="159"/>
  <c r="L138" i="159" s="1"/>
  <c r="L86" i="159"/>
  <c r="K105" i="159"/>
  <c r="L105" i="159" s="1"/>
  <c r="K112" i="159"/>
  <c r="L112" i="159" s="1"/>
  <c r="K126" i="159"/>
  <c r="L126" i="159" s="1"/>
  <c r="L247" i="159"/>
  <c r="K140" i="159"/>
  <c r="K151" i="159"/>
  <c r="L151" i="159" s="1"/>
  <c r="K152" i="159"/>
  <c r="L152" i="159" s="1"/>
  <c r="K22" i="159"/>
  <c r="L22" i="159" s="1"/>
  <c r="K43" i="159"/>
  <c r="L43" i="159" s="1"/>
  <c r="K57" i="159"/>
  <c r="L57" i="159" s="1"/>
  <c r="K60" i="159"/>
  <c r="K74" i="159"/>
  <c r="L74" i="159" s="1"/>
  <c r="K119" i="159"/>
  <c r="L119" i="159" s="1"/>
  <c r="K54" i="159"/>
  <c r="H67" i="159"/>
  <c r="H70" i="159" s="1"/>
  <c r="K67" i="159"/>
  <c r="H84" i="159"/>
  <c r="H88" i="159" s="1"/>
  <c r="K84" i="159"/>
  <c r="K85" i="159"/>
  <c r="L85" i="159" s="1"/>
  <c r="H92" i="159"/>
  <c r="L92" i="159" s="1"/>
  <c r="D108" i="159"/>
  <c r="D115" i="159"/>
  <c r="D122" i="159"/>
  <c r="D129" i="159"/>
  <c r="L146" i="159"/>
  <c r="H227" i="159"/>
  <c r="K227" i="159"/>
  <c r="L227" i="159" s="1"/>
  <c r="E253" i="159"/>
  <c r="E255" i="159" s="1"/>
  <c r="D31" i="159"/>
  <c r="D52" i="159"/>
  <c r="K81" i="159"/>
  <c r="L81" i="159" s="1"/>
  <c r="D140" i="159"/>
  <c r="K29" i="159"/>
  <c r="L29" i="159" s="1"/>
  <c r="K36" i="159"/>
  <c r="L36" i="159" s="1"/>
  <c r="K50" i="159"/>
  <c r="L50" i="159" s="1"/>
  <c r="E64" i="159"/>
  <c r="E94" i="159" s="1"/>
  <c r="E97" i="159" s="1"/>
  <c r="D64" i="159"/>
  <c r="H72" i="159"/>
  <c r="H76" i="159" s="1"/>
  <c r="D76" i="159"/>
  <c r="D82" i="159"/>
  <c r="D88" i="159"/>
  <c r="H106" i="159"/>
  <c r="L106" i="159" s="1"/>
  <c r="H113" i="159"/>
  <c r="H120" i="159"/>
  <c r="H122" i="159" s="1"/>
  <c r="H127" i="159"/>
  <c r="L127" i="159" s="1"/>
  <c r="H135" i="159"/>
  <c r="L139" i="159"/>
  <c r="D147" i="159"/>
  <c r="K142" i="159"/>
  <c r="H144" i="159"/>
  <c r="L144" i="159" s="1"/>
  <c r="K145" i="159"/>
  <c r="L145" i="159" s="1"/>
  <c r="K153" i="159"/>
  <c r="H153" i="159"/>
  <c r="H154" i="159" s="1"/>
  <c r="H179" i="159"/>
  <c r="K179" i="159"/>
  <c r="L179" i="159" s="1"/>
  <c r="H199" i="159"/>
  <c r="K199" i="159"/>
  <c r="L199" i="159" s="1"/>
  <c r="K160" i="159"/>
  <c r="H160" i="159"/>
  <c r="H172" i="159"/>
  <c r="K172" i="159"/>
  <c r="L172" i="159" s="1"/>
  <c r="L193" i="159"/>
  <c r="H206" i="159"/>
  <c r="K206" i="159"/>
  <c r="L221" i="159"/>
  <c r="H234" i="159"/>
  <c r="K234" i="159"/>
  <c r="L234" i="159" s="1"/>
  <c r="L249" i="159"/>
  <c r="J262" i="159"/>
  <c r="H262" i="159"/>
  <c r="D154" i="159"/>
  <c r="K156" i="159"/>
  <c r="D161" i="159"/>
  <c r="H158" i="159"/>
  <c r="H161" i="159" s="1"/>
  <c r="K158" i="159"/>
  <c r="L158" i="159" s="1"/>
  <c r="L159" i="159"/>
  <c r="H165" i="159"/>
  <c r="K165" i="159"/>
  <c r="L165" i="159" s="1"/>
  <c r="L200" i="159"/>
  <c r="L205" i="159"/>
  <c r="H213" i="159"/>
  <c r="K213" i="159"/>
  <c r="L213" i="159" s="1"/>
  <c r="K230" i="159"/>
  <c r="L228" i="159"/>
  <c r="H252" i="159"/>
  <c r="K252" i="159"/>
  <c r="L252" i="159" s="1"/>
  <c r="E161" i="159"/>
  <c r="E186" i="159" s="1"/>
  <c r="L157" i="159"/>
  <c r="H192" i="159"/>
  <c r="K192" i="159"/>
  <c r="L192" i="159" s="1"/>
  <c r="K209" i="159"/>
  <c r="L207" i="159"/>
  <c r="L212" i="159"/>
  <c r="H220" i="159"/>
  <c r="K220" i="159"/>
  <c r="L220" i="159" s="1"/>
  <c r="L232" i="159"/>
  <c r="L235" i="159"/>
  <c r="L241" i="159"/>
  <c r="H248" i="159"/>
  <c r="K248" i="159"/>
  <c r="L251" i="159"/>
  <c r="K262" i="159"/>
  <c r="H163" i="159"/>
  <c r="L163" i="159" s="1"/>
  <c r="H167" i="159"/>
  <c r="L167" i="159" s="1"/>
  <c r="D168" i="159"/>
  <c r="H170" i="159"/>
  <c r="H174" i="159"/>
  <c r="L174" i="159" s="1"/>
  <c r="D175" i="159"/>
  <c r="H177" i="159"/>
  <c r="H182" i="159" s="1"/>
  <c r="H181" i="159"/>
  <c r="L181" i="159" s="1"/>
  <c r="D182" i="159"/>
  <c r="H184" i="159"/>
  <c r="L184" i="159" s="1"/>
  <c r="H190" i="159"/>
  <c r="H194" i="159"/>
  <c r="L194" i="159" s="1"/>
  <c r="D195" i="159"/>
  <c r="H197" i="159"/>
  <c r="L197" i="159" s="1"/>
  <c r="H201" i="159"/>
  <c r="L201" i="159" s="1"/>
  <c r="D202" i="159"/>
  <c r="H204" i="159"/>
  <c r="L204" i="159" s="1"/>
  <c r="H208" i="159"/>
  <c r="L208" i="159" s="1"/>
  <c r="D209" i="159"/>
  <c r="H211" i="159"/>
  <c r="L211" i="159" s="1"/>
  <c r="H215" i="159"/>
  <c r="L215" i="159" s="1"/>
  <c r="D216" i="159"/>
  <c r="H218" i="159"/>
  <c r="H222" i="159"/>
  <c r="L222" i="159" s="1"/>
  <c r="D223" i="159"/>
  <c r="H225" i="159"/>
  <c r="H230" i="159" s="1"/>
  <c r="D230" i="159"/>
  <c r="D237" i="159"/>
  <c r="H263" i="159"/>
  <c r="L263" i="159" s="1"/>
  <c r="D264" i="159"/>
  <c r="D266" i="159" s="1"/>
  <c r="L127" i="164" l="1"/>
  <c r="N127" i="164" s="1"/>
  <c r="L120" i="164"/>
  <c r="N120" i="164" s="1"/>
  <c r="H115" i="164"/>
  <c r="H131" i="164" s="1"/>
  <c r="G131" i="164" s="1"/>
  <c r="L82" i="164"/>
  <c r="N82" i="164" s="1"/>
  <c r="N78" i="164"/>
  <c r="N44" i="164"/>
  <c r="L88" i="164"/>
  <c r="N88" i="164" s="1"/>
  <c r="N84" i="164"/>
  <c r="D94" i="164"/>
  <c r="L104" i="164"/>
  <c r="N104" i="164" s="1"/>
  <c r="L158" i="164"/>
  <c r="N158" i="164" s="1"/>
  <c r="L201" i="164"/>
  <c r="N201" i="164" s="1"/>
  <c r="L76" i="164"/>
  <c r="N76" i="164" s="1"/>
  <c r="N72" i="164"/>
  <c r="L43" i="164"/>
  <c r="N43" i="164" s="1"/>
  <c r="L57" i="164"/>
  <c r="N57" i="164" s="1"/>
  <c r="L178" i="164"/>
  <c r="N178" i="164" s="1"/>
  <c r="D131" i="164"/>
  <c r="L21" i="164"/>
  <c r="N21" i="164" s="1"/>
  <c r="L92" i="164"/>
  <c r="N92" i="164" s="1"/>
  <c r="L126" i="164"/>
  <c r="N126" i="164" s="1"/>
  <c r="L152" i="164"/>
  <c r="N152" i="164" s="1"/>
  <c r="L24" i="164"/>
  <c r="N24" i="164" s="1"/>
  <c r="L63" i="164"/>
  <c r="N63" i="164" s="1"/>
  <c r="L215" i="164"/>
  <c r="N215" i="164" s="1"/>
  <c r="L35" i="164"/>
  <c r="N35" i="164" s="1"/>
  <c r="H38" i="164"/>
  <c r="L33" i="164"/>
  <c r="N33" i="164" s="1"/>
  <c r="L164" i="164"/>
  <c r="N164" i="164" s="1"/>
  <c r="L193" i="164"/>
  <c r="N193" i="164" s="1"/>
  <c r="H237" i="164"/>
  <c r="L69" i="164"/>
  <c r="N69" i="164" s="1"/>
  <c r="L235" i="164"/>
  <c r="N235" i="164" s="1"/>
  <c r="H154" i="164"/>
  <c r="H175" i="164"/>
  <c r="K264" i="164"/>
  <c r="K168" i="164"/>
  <c r="L163" i="164"/>
  <c r="N163" i="164" s="1"/>
  <c r="H182" i="164"/>
  <c r="L70" i="164"/>
  <c r="N70" i="164" s="1"/>
  <c r="H161" i="164"/>
  <c r="L251" i="164"/>
  <c r="N251" i="164" s="1"/>
  <c r="H94" i="164"/>
  <c r="H97" i="164" s="1"/>
  <c r="K58" i="164"/>
  <c r="L54" i="164"/>
  <c r="L113" i="164"/>
  <c r="K115" i="164"/>
  <c r="L139" i="164"/>
  <c r="N139" i="164" s="1"/>
  <c r="L219" i="164"/>
  <c r="K223" i="164"/>
  <c r="K140" i="164"/>
  <c r="L135" i="164"/>
  <c r="D97" i="164"/>
  <c r="K147" i="164"/>
  <c r="L142" i="164"/>
  <c r="L122" i="164"/>
  <c r="L275" i="164" s="1"/>
  <c r="L226" i="164"/>
  <c r="N226" i="164" s="1"/>
  <c r="K230" i="164"/>
  <c r="L206" i="164"/>
  <c r="K209" i="164"/>
  <c r="K154" i="164"/>
  <c r="L149" i="164"/>
  <c r="L61" i="164"/>
  <c r="K64" i="164"/>
  <c r="L166" i="164"/>
  <c r="N166" i="164" s="1"/>
  <c r="L159" i="164"/>
  <c r="N159" i="164" s="1"/>
  <c r="L234" i="164"/>
  <c r="K237" i="164"/>
  <c r="D186" i="164"/>
  <c r="L105" i="164"/>
  <c r="K108" i="164"/>
  <c r="K182" i="164"/>
  <c r="L177" i="164"/>
  <c r="N177" i="164" s="1"/>
  <c r="H263" i="164"/>
  <c r="H264" i="164" s="1"/>
  <c r="G255" i="164"/>
  <c r="J255" i="164"/>
  <c r="K122" i="164"/>
  <c r="K70" i="164"/>
  <c r="K161" i="164"/>
  <c r="L156" i="164"/>
  <c r="N156" i="164" s="1"/>
  <c r="E186" i="164"/>
  <c r="E258" i="164" s="1"/>
  <c r="E269" i="164" s="1"/>
  <c r="E272" i="164" s="1"/>
  <c r="K175" i="164"/>
  <c r="L170" i="164"/>
  <c r="D243" i="164"/>
  <c r="L253" i="164"/>
  <c r="K52" i="164"/>
  <c r="K94" i="164" s="1"/>
  <c r="K97" i="164" s="1"/>
  <c r="L47" i="164"/>
  <c r="K129" i="164"/>
  <c r="L179" i="164"/>
  <c r="N179" i="164" s="1"/>
  <c r="H230" i="164"/>
  <c r="H243" i="164" s="1"/>
  <c r="H140" i="164"/>
  <c r="L198" i="164"/>
  <c r="K202" i="164"/>
  <c r="H168" i="164"/>
  <c r="L216" i="164"/>
  <c r="N216" i="164" s="1"/>
  <c r="L129" i="164"/>
  <c r="L276" i="164" s="1"/>
  <c r="L228" i="164"/>
  <c r="N228" i="164" s="1"/>
  <c r="L191" i="164"/>
  <c r="K195" i="164"/>
  <c r="H253" i="159"/>
  <c r="H255" i="159" s="1"/>
  <c r="G255" i="159" s="1"/>
  <c r="L248" i="159"/>
  <c r="H237" i="159"/>
  <c r="H223" i="159"/>
  <c r="L206" i="159"/>
  <c r="L202" i="159"/>
  <c r="H195" i="159"/>
  <c r="K182" i="159"/>
  <c r="K175" i="159"/>
  <c r="H140" i="159"/>
  <c r="E258" i="159"/>
  <c r="E269" i="159" s="1"/>
  <c r="E272" i="159" s="1"/>
  <c r="D131" i="159"/>
  <c r="K108" i="159"/>
  <c r="L82" i="159"/>
  <c r="K31" i="159"/>
  <c r="L24" i="159"/>
  <c r="H24" i="159"/>
  <c r="K264" i="159"/>
  <c r="L262" i="159"/>
  <c r="L264" i="159" s="1"/>
  <c r="L266" i="159" s="1"/>
  <c r="K223" i="159"/>
  <c r="L177" i="159"/>
  <c r="L182" i="159" s="1"/>
  <c r="H147" i="159"/>
  <c r="L54" i="159"/>
  <c r="L58" i="159" s="1"/>
  <c r="K58" i="159"/>
  <c r="K64" i="159"/>
  <c r="L60" i="159"/>
  <c r="L64" i="159" s="1"/>
  <c r="L120" i="159"/>
  <c r="L122" i="159" s="1"/>
  <c r="L135" i="159"/>
  <c r="L140" i="159" s="1"/>
  <c r="H108" i="159"/>
  <c r="L52" i="159"/>
  <c r="K38" i="159"/>
  <c r="L209" i="159"/>
  <c r="L168" i="159"/>
  <c r="H264" i="159"/>
  <c r="L160" i="159"/>
  <c r="L153" i="159"/>
  <c r="L154" i="159" s="1"/>
  <c r="L142" i="159"/>
  <c r="L147" i="159" s="1"/>
  <c r="K147" i="159"/>
  <c r="D186" i="159"/>
  <c r="K82" i="159"/>
  <c r="K195" i="159"/>
  <c r="K122" i="159"/>
  <c r="L72" i="159"/>
  <c r="L76" i="159" s="1"/>
  <c r="L108" i="159"/>
  <c r="H129" i="159"/>
  <c r="L38" i="159"/>
  <c r="L31" i="159"/>
  <c r="H202" i="159"/>
  <c r="H209" i="159"/>
  <c r="H168" i="159"/>
  <c r="K168" i="159"/>
  <c r="L67" i="159"/>
  <c r="L70" i="159" s="1"/>
  <c r="K70" i="159"/>
  <c r="K154" i="159"/>
  <c r="K253" i="159"/>
  <c r="K255" i="159" s="1"/>
  <c r="J255" i="159" s="1"/>
  <c r="D94" i="159"/>
  <c r="K45" i="159"/>
  <c r="L129" i="159"/>
  <c r="L115" i="159"/>
  <c r="H94" i="159"/>
  <c r="H97" i="159" s="1"/>
  <c r="D243" i="159"/>
  <c r="L237" i="159"/>
  <c r="K202" i="159"/>
  <c r="L216" i="159"/>
  <c r="L190" i="159"/>
  <c r="L195" i="159" s="1"/>
  <c r="H216" i="159"/>
  <c r="H175" i="159"/>
  <c r="K237" i="159"/>
  <c r="L225" i="159"/>
  <c r="L230" i="159" s="1"/>
  <c r="L170" i="159"/>
  <c r="L175" i="159" s="1"/>
  <c r="K161" i="159"/>
  <c r="L156" i="159"/>
  <c r="L218" i="159"/>
  <c r="L223" i="159" s="1"/>
  <c r="K216" i="159"/>
  <c r="K115" i="159"/>
  <c r="K88" i="159"/>
  <c r="L84" i="159"/>
  <c r="L88" i="159" s="1"/>
  <c r="K129" i="159"/>
  <c r="L253" i="159"/>
  <c r="L255" i="159" s="1"/>
  <c r="L45" i="159"/>
  <c r="K24" i="159"/>
  <c r="K52" i="159"/>
  <c r="K76" i="159"/>
  <c r="N129" i="164" l="1"/>
  <c r="L202" i="164"/>
  <c r="N202" i="164" s="1"/>
  <c r="N198" i="164"/>
  <c r="N122" i="164"/>
  <c r="L223" i="164"/>
  <c r="N223" i="164" s="1"/>
  <c r="N219" i="164"/>
  <c r="L58" i="164"/>
  <c r="N58" i="164" s="1"/>
  <c r="N54" i="164"/>
  <c r="L52" i="164"/>
  <c r="N52" i="164" s="1"/>
  <c r="N47" i="164"/>
  <c r="L175" i="164"/>
  <c r="N175" i="164" s="1"/>
  <c r="N170" i="164"/>
  <c r="L237" i="164"/>
  <c r="N237" i="164" s="1"/>
  <c r="N234" i="164"/>
  <c r="L64" i="164"/>
  <c r="N64" i="164" s="1"/>
  <c r="N61" i="164"/>
  <c r="L209" i="164"/>
  <c r="N209" i="164" s="1"/>
  <c r="N206" i="164"/>
  <c r="L140" i="164"/>
  <c r="N140" i="164" s="1"/>
  <c r="N135" i="164"/>
  <c r="L45" i="164"/>
  <c r="N45" i="164" s="1"/>
  <c r="L195" i="164"/>
  <c r="N195" i="164" s="1"/>
  <c r="N191" i="164"/>
  <c r="L108" i="164"/>
  <c r="N108" i="164" s="1"/>
  <c r="N105" i="164"/>
  <c r="L154" i="164"/>
  <c r="N154" i="164" s="1"/>
  <c r="N149" i="164"/>
  <c r="L147" i="164"/>
  <c r="N147" i="164" s="1"/>
  <c r="N142" i="164"/>
  <c r="L255" i="164"/>
  <c r="N255" i="164" s="1"/>
  <c r="N253" i="164"/>
  <c r="L115" i="164"/>
  <c r="L274" i="164" s="1"/>
  <c r="L277" i="164" s="1"/>
  <c r="N113" i="164"/>
  <c r="L38" i="164"/>
  <c r="N38" i="164" s="1"/>
  <c r="L182" i="164"/>
  <c r="N182" i="164" s="1"/>
  <c r="L94" i="164"/>
  <c r="L230" i="164"/>
  <c r="H186" i="164"/>
  <c r="L161" i="164"/>
  <c r="N161" i="164" s="1"/>
  <c r="G94" i="164"/>
  <c r="J97" i="164"/>
  <c r="G97" i="164"/>
  <c r="H258" i="164"/>
  <c r="K131" i="164"/>
  <c r="L168" i="164"/>
  <c r="N168" i="164" s="1"/>
  <c r="K266" i="164"/>
  <c r="J266" i="164" s="1"/>
  <c r="J264" i="164"/>
  <c r="G243" i="164"/>
  <c r="G186" i="164"/>
  <c r="K243" i="164"/>
  <c r="J243" i="164" s="1"/>
  <c r="H266" i="164"/>
  <c r="G266" i="164" s="1"/>
  <c r="G264" i="164"/>
  <c r="D258" i="164"/>
  <c r="D269" i="164" s="1"/>
  <c r="J94" i="164"/>
  <c r="K186" i="164"/>
  <c r="J186" i="164" s="1"/>
  <c r="L263" i="164"/>
  <c r="H243" i="159"/>
  <c r="G243" i="159" s="1"/>
  <c r="H186" i="159"/>
  <c r="L161" i="159"/>
  <c r="K186" i="159"/>
  <c r="J186" i="159" s="1"/>
  <c r="K131" i="159"/>
  <c r="L94" i="159"/>
  <c r="L97" i="159" s="1"/>
  <c r="J131" i="159"/>
  <c r="D97" i="159"/>
  <c r="G94" i="159"/>
  <c r="L131" i="159"/>
  <c r="K266" i="159"/>
  <c r="J266" i="159" s="1"/>
  <c r="J264" i="159"/>
  <c r="K243" i="159"/>
  <c r="J243" i="159" s="1"/>
  <c r="G186" i="159"/>
  <c r="H131" i="159"/>
  <c r="K94" i="159"/>
  <c r="K97" i="159" s="1"/>
  <c r="L243" i="159"/>
  <c r="H266" i="159"/>
  <c r="G266" i="159" s="1"/>
  <c r="G264" i="159"/>
  <c r="L186" i="159"/>
  <c r="D258" i="159"/>
  <c r="L131" i="164" l="1"/>
  <c r="N131" i="164" s="1"/>
  <c r="L264" i="164"/>
  <c r="N263" i="164"/>
  <c r="L243" i="164"/>
  <c r="N243" i="164" s="1"/>
  <c r="N230" i="164"/>
  <c r="L97" i="164"/>
  <c r="N97" i="164" s="1"/>
  <c r="N94" i="164"/>
  <c r="N115" i="164"/>
  <c r="H269" i="164"/>
  <c r="G269" i="164" s="1"/>
  <c r="L186" i="164"/>
  <c r="N186" i="164" s="1"/>
  <c r="D272" i="164"/>
  <c r="K258" i="164"/>
  <c r="K269" i="164" s="1"/>
  <c r="J269" i="164" s="1"/>
  <c r="J131" i="164"/>
  <c r="G258" i="164"/>
  <c r="K258" i="159"/>
  <c r="K269" i="159" s="1"/>
  <c r="J94" i="159"/>
  <c r="L258" i="159"/>
  <c r="L269" i="159" s="1"/>
  <c r="J258" i="159"/>
  <c r="H258" i="159"/>
  <c r="H269" i="159" s="1"/>
  <c r="G131" i="159"/>
  <c r="G97" i="159"/>
  <c r="J97" i="159"/>
  <c r="D269" i="159"/>
  <c r="L258" i="164" l="1"/>
  <c r="N258" i="164" s="1"/>
  <c r="L266" i="164"/>
  <c r="N266" i="164" s="1"/>
  <c r="N264" i="164"/>
  <c r="J258" i="164"/>
  <c r="G258" i="159"/>
  <c r="G269" i="159"/>
  <c r="J269" i="159"/>
  <c r="D272" i="159"/>
  <c r="L269" i="164" l="1"/>
  <c r="E83" i="158"/>
  <c r="D83" i="158"/>
  <c r="C83" i="158"/>
  <c r="E78" i="158"/>
  <c r="E84" i="158" s="1"/>
  <c r="R76" i="158"/>
  <c r="P76" i="158"/>
  <c r="Q76" i="158" s="1"/>
  <c r="E76" i="158"/>
  <c r="D76" i="158"/>
  <c r="C76" i="158"/>
  <c r="R75" i="158"/>
  <c r="P75" i="158"/>
  <c r="Q75" i="158" s="1"/>
  <c r="S75" i="158" s="1"/>
  <c r="E75" i="158"/>
  <c r="D75" i="158"/>
  <c r="C75" i="158"/>
  <c r="C78" i="158" s="1"/>
  <c r="C84" i="158" s="1"/>
  <c r="E72" i="158"/>
  <c r="D72" i="158"/>
  <c r="C72" i="158"/>
  <c r="R70" i="158"/>
  <c r="Q70" i="158"/>
  <c r="S70" i="158" s="1"/>
  <c r="P70" i="158"/>
  <c r="R69" i="158"/>
  <c r="Q69" i="158"/>
  <c r="S69" i="158" s="1"/>
  <c r="P69" i="158"/>
  <c r="R68" i="158"/>
  <c r="P68" i="158"/>
  <c r="Q68" i="158" s="1"/>
  <c r="R67" i="158"/>
  <c r="P67" i="158"/>
  <c r="Q67" i="158" s="1"/>
  <c r="S67" i="158" s="1"/>
  <c r="R66" i="158"/>
  <c r="P66" i="158"/>
  <c r="Q66" i="158" s="1"/>
  <c r="S66" i="158" s="1"/>
  <c r="R65" i="158"/>
  <c r="P65" i="158"/>
  <c r="Q65" i="158" s="1"/>
  <c r="S65" i="158" s="1"/>
  <c r="R64" i="158"/>
  <c r="P64" i="158"/>
  <c r="Q64" i="158" s="1"/>
  <c r="S64" i="158" s="1"/>
  <c r="R63" i="158"/>
  <c r="S63" i="158" s="1"/>
  <c r="Q63" i="158"/>
  <c r="R62" i="158"/>
  <c r="Q62" i="158"/>
  <c r="S62" i="158" s="1"/>
  <c r="R61" i="158"/>
  <c r="Q61" i="158"/>
  <c r="R60" i="158"/>
  <c r="Q60" i="158"/>
  <c r="S59" i="158"/>
  <c r="R59" i="158"/>
  <c r="Q59" i="158"/>
  <c r="R58" i="158"/>
  <c r="Q58" i="158"/>
  <c r="R57" i="158"/>
  <c r="Q57" i="158"/>
  <c r="R56" i="158"/>
  <c r="Q56" i="158"/>
  <c r="R55" i="158"/>
  <c r="Q55" i="158"/>
  <c r="S55" i="158" s="1"/>
  <c r="R54" i="158"/>
  <c r="S54" i="158" s="1"/>
  <c r="Q54" i="158"/>
  <c r="R53" i="158"/>
  <c r="Q53" i="158"/>
  <c r="R52" i="158"/>
  <c r="Q52" i="158"/>
  <c r="R47" i="158"/>
  <c r="Q47" i="158"/>
  <c r="E47" i="158"/>
  <c r="E49" i="158" s="1"/>
  <c r="D47" i="158"/>
  <c r="D49" i="158" s="1"/>
  <c r="C47" i="158"/>
  <c r="C49" i="158" s="1"/>
  <c r="R46" i="158"/>
  <c r="Q46" i="158"/>
  <c r="O46" i="158"/>
  <c r="R45" i="158"/>
  <c r="Q45" i="158"/>
  <c r="S45" i="158" s="1"/>
  <c r="O45" i="158"/>
  <c r="R44" i="158"/>
  <c r="Q44" i="158"/>
  <c r="O44" i="158"/>
  <c r="M44" i="158"/>
  <c r="K44" i="158"/>
  <c r="R43" i="158"/>
  <c r="Q43" i="158"/>
  <c r="O43" i="158"/>
  <c r="M43" i="158"/>
  <c r="K43" i="158"/>
  <c r="R42" i="158"/>
  <c r="Q42" i="158"/>
  <c r="O42" i="158"/>
  <c r="M42" i="158"/>
  <c r="K42" i="158"/>
  <c r="R41" i="158"/>
  <c r="P41" i="158"/>
  <c r="I41" i="158"/>
  <c r="K41" i="158" s="1"/>
  <c r="H41" i="158"/>
  <c r="E38" i="158"/>
  <c r="D38" i="158"/>
  <c r="C38" i="158"/>
  <c r="R36" i="158"/>
  <c r="S36" i="158" s="1"/>
  <c r="Q36" i="158"/>
  <c r="O36" i="158"/>
  <c r="R35" i="158"/>
  <c r="Q35" i="158"/>
  <c r="O35" i="158"/>
  <c r="R34" i="158"/>
  <c r="Q34" i="158"/>
  <c r="S34" i="158" s="1"/>
  <c r="O34" i="158"/>
  <c r="R33" i="158"/>
  <c r="Q33" i="158"/>
  <c r="O33" i="158"/>
  <c r="R32" i="158"/>
  <c r="Q32" i="158"/>
  <c r="O32" i="158"/>
  <c r="M32" i="158"/>
  <c r="K32" i="158"/>
  <c r="R31" i="158"/>
  <c r="S31" i="158" s="1"/>
  <c r="Q31" i="158"/>
  <c r="O31" i="158"/>
  <c r="M31" i="158"/>
  <c r="K31" i="158"/>
  <c r="P30" i="158"/>
  <c r="I30" i="158"/>
  <c r="O30" i="158" s="1"/>
  <c r="H30" i="158"/>
  <c r="E27" i="158"/>
  <c r="D27" i="158"/>
  <c r="C27" i="158"/>
  <c r="C82" i="158" s="1"/>
  <c r="C86" i="158" s="1"/>
  <c r="C87" i="158" s="1"/>
  <c r="R25" i="158"/>
  <c r="P25" i="158"/>
  <c r="Q25" i="158" s="1"/>
  <c r="R24" i="158"/>
  <c r="P24" i="158"/>
  <c r="Q24" i="158" s="1"/>
  <c r="R23" i="158"/>
  <c r="P23" i="158"/>
  <c r="Q23" i="158" s="1"/>
  <c r="R22" i="158"/>
  <c r="Q22" i="158"/>
  <c r="S22" i="158" s="1"/>
  <c r="O22" i="158"/>
  <c r="R21" i="158"/>
  <c r="P21" i="158"/>
  <c r="Q21" i="158" s="1"/>
  <c r="O21" i="158"/>
  <c r="R20" i="158"/>
  <c r="Q20" i="158"/>
  <c r="P20" i="158"/>
  <c r="O20" i="158"/>
  <c r="R19" i="158"/>
  <c r="P19" i="158"/>
  <c r="Q19" i="158" s="1"/>
  <c r="O19" i="158"/>
  <c r="R18" i="158"/>
  <c r="S18" i="158" s="1"/>
  <c r="Q18" i="158"/>
  <c r="P18" i="158"/>
  <c r="O18" i="158"/>
  <c r="R17" i="158"/>
  <c r="P17" i="158"/>
  <c r="I17" i="158"/>
  <c r="K17" i="158" s="1"/>
  <c r="R16" i="158"/>
  <c r="P16" i="158"/>
  <c r="Q16" i="158" s="1"/>
  <c r="O16" i="158"/>
  <c r="M16" i="158"/>
  <c r="K16" i="158"/>
  <c r="R15" i="158"/>
  <c r="Q15" i="158"/>
  <c r="O15" i="158"/>
  <c r="M15" i="158"/>
  <c r="K15" i="158"/>
  <c r="R14" i="158"/>
  <c r="Q14" i="158"/>
  <c r="S14" i="158" s="1"/>
  <c r="O14" i="158"/>
  <c r="M14" i="158"/>
  <c r="K14" i="158"/>
  <c r="R13" i="158"/>
  <c r="Q13" i="158"/>
  <c r="S13" i="158" s="1"/>
  <c r="O13" i="158"/>
  <c r="M13" i="158"/>
  <c r="K13" i="158"/>
  <c r="R12" i="158"/>
  <c r="Q12" i="158"/>
  <c r="O12" i="158"/>
  <c r="M12" i="158"/>
  <c r="K12" i="158"/>
  <c r="P11" i="158"/>
  <c r="O11" i="158"/>
  <c r="K11" i="158"/>
  <c r="I11" i="158"/>
  <c r="Q11" i="158" s="1"/>
  <c r="H11" i="158"/>
  <c r="L272" i="164" l="1"/>
  <c r="N269" i="164"/>
  <c r="S46" i="158"/>
  <c r="S58" i="158"/>
  <c r="S15" i="158"/>
  <c r="M17" i="158"/>
  <c r="Q30" i="158"/>
  <c r="M41" i="158"/>
  <c r="S43" i="158"/>
  <c r="S47" i="158"/>
  <c r="D78" i="158"/>
  <c r="D84" i="158" s="1"/>
  <c r="S12" i="158"/>
  <c r="Q17" i="158"/>
  <c r="S20" i="158"/>
  <c r="S32" i="158"/>
  <c r="Q41" i="158"/>
  <c r="S44" i="158"/>
  <c r="S61" i="158"/>
  <c r="S21" i="158"/>
  <c r="S41" i="158"/>
  <c r="S16" i="158"/>
  <c r="S25" i="158"/>
  <c r="D82" i="158"/>
  <c r="D86" i="158" s="1"/>
  <c r="D87" i="158" s="1"/>
  <c r="S76" i="158"/>
  <c r="S17" i="158"/>
  <c r="S24" i="158"/>
  <c r="E82" i="158"/>
  <c r="E86" i="158" s="1"/>
  <c r="E87" i="158" s="1"/>
  <c r="S19" i="158"/>
  <c r="S23" i="158"/>
  <c r="M11" i="158"/>
  <c r="R11" i="158"/>
  <c r="S11" i="158" s="1"/>
  <c r="O17" i="158"/>
  <c r="K30" i="158"/>
  <c r="S33" i="158"/>
  <c r="S35" i="158"/>
  <c r="O41" i="158"/>
  <c r="S42" i="158"/>
  <c r="S52" i="158"/>
  <c r="S56" i="158"/>
  <c r="S60" i="158"/>
  <c r="M30" i="158"/>
  <c r="R30" i="158"/>
  <c r="S30" i="158" s="1"/>
  <c r="S53" i="158"/>
  <c r="S57" i="158"/>
  <c r="S68" i="158"/>
  <c r="J41" i="150"/>
  <c r="J40" i="150"/>
  <c r="J38" i="150"/>
  <c r="J37" i="150"/>
  <c r="J36" i="150"/>
  <c r="J35" i="150"/>
  <c r="J34" i="150"/>
  <c r="J33" i="150"/>
  <c r="J31" i="150"/>
  <c r="J30" i="150"/>
  <c r="J29" i="150"/>
  <c r="J28" i="150"/>
  <c r="J27" i="150"/>
  <c r="J26" i="150"/>
  <c r="J24" i="150"/>
  <c r="J23" i="150"/>
  <c r="J22" i="150"/>
  <c r="J21" i="150"/>
  <c r="J20" i="150"/>
  <c r="J19" i="150"/>
  <c r="G38" i="150"/>
  <c r="G31" i="150"/>
  <c r="G24" i="150"/>
  <c r="G30" i="150"/>
  <c r="G29" i="150"/>
  <c r="G28" i="150"/>
  <c r="G27" i="150"/>
  <c r="G26" i="150"/>
  <c r="G45" i="150"/>
  <c r="G52" i="150"/>
  <c r="V24" i="76"/>
  <c r="Q229" i="76" l="1"/>
  <c r="Q222" i="76"/>
  <c r="H17" i="157" l="1"/>
  <c r="H16" i="157"/>
  <c r="H15" i="157"/>
  <c r="H14" i="157"/>
  <c r="H13" i="157"/>
  <c r="H13" i="125"/>
  <c r="H18" i="157" l="1"/>
  <c r="C13" i="97"/>
  <c r="C14" i="97"/>
  <c r="C15" i="97"/>
  <c r="C19" i="97"/>
  <c r="C20" i="97"/>
  <c r="C21" i="97"/>
  <c r="C25" i="97"/>
  <c r="C26" i="97"/>
  <c r="C27" i="97"/>
  <c r="C31" i="97"/>
  <c r="C32" i="97"/>
  <c r="C33" i="97"/>
  <c r="J252" i="76" l="1"/>
  <c r="R116" i="143" l="1"/>
  <c r="Q116" i="143"/>
  <c r="P116" i="143"/>
  <c r="N116" i="143"/>
  <c r="L116" i="143"/>
  <c r="J116" i="143"/>
  <c r="H116" i="143"/>
  <c r="O116" i="143" s="1"/>
  <c r="S227" i="143"/>
  <c r="S228" i="143"/>
  <c r="S229" i="143"/>
  <c r="S230" i="143"/>
  <c r="S231" i="143"/>
  <c r="S232" i="143"/>
  <c r="S233" i="143"/>
  <c r="S234" i="143"/>
  <c r="S235" i="143"/>
  <c r="S236" i="143"/>
  <c r="S237" i="143"/>
  <c r="S238" i="143"/>
  <c r="S239" i="143"/>
  <c r="S240" i="143"/>
  <c r="S241" i="143"/>
  <c r="S242" i="143"/>
  <c r="S243" i="143"/>
  <c r="S244" i="143"/>
  <c r="S245" i="143"/>
  <c r="S246" i="143"/>
  <c r="S247" i="143"/>
  <c r="S248" i="143"/>
  <c r="F13" i="84"/>
  <c r="I116" i="143" l="1"/>
  <c r="K116" i="143"/>
  <c r="M116" i="143"/>
  <c r="S353" i="143"/>
  <c r="S352" i="143"/>
  <c r="S351" i="143"/>
  <c r="S379" i="143"/>
  <c r="S380" i="143"/>
  <c r="S381" i="143"/>
  <c r="S382" i="143"/>
  <c r="S400" i="143"/>
  <c r="S401" i="143"/>
  <c r="S402" i="143"/>
  <c r="S420" i="143"/>
  <c r="S421" i="143"/>
  <c r="S422" i="143"/>
  <c r="S459" i="143" l="1"/>
  <c r="S133" i="143" l="1"/>
  <c r="S134" i="143"/>
  <c r="S135" i="143"/>
  <c r="S152" i="143"/>
  <c r="S153" i="143"/>
  <c r="S154" i="143"/>
  <c r="S155" i="143"/>
  <c r="S172" i="143"/>
  <c r="S173" i="143"/>
  <c r="S174" i="143"/>
  <c r="S175" i="143"/>
  <c r="S192" i="143"/>
  <c r="S193" i="143"/>
  <c r="S194" i="143"/>
  <c r="S195" i="143"/>
  <c r="S212" i="143"/>
  <c r="S213" i="143"/>
  <c r="S214" i="143"/>
  <c r="S215" i="143"/>
  <c r="S249" i="143"/>
  <c r="S250" i="143"/>
  <c r="S251" i="143"/>
  <c r="S252" i="143"/>
  <c r="S265" i="143"/>
  <c r="S266" i="143"/>
  <c r="S267" i="143"/>
  <c r="S268" i="143"/>
  <c r="S280" i="143"/>
  <c r="S281" i="143"/>
  <c r="S282" i="143"/>
  <c r="S283" i="143"/>
  <c r="S296" i="143"/>
  <c r="S297" i="143"/>
  <c r="S298" i="143"/>
  <c r="S299" i="143"/>
  <c r="S312" i="143"/>
  <c r="S313" i="143"/>
  <c r="S314" i="143"/>
  <c r="S315" i="143"/>
  <c r="S328" i="143"/>
  <c r="S329" i="143"/>
  <c r="S330" i="143"/>
  <c r="S331" i="143"/>
  <c r="S136" i="143"/>
  <c r="S137" i="143"/>
  <c r="S138" i="143"/>
  <c r="S139" i="143"/>
  <c r="S156" i="143"/>
  <c r="S157" i="143"/>
  <c r="S158" i="143"/>
  <c r="S159" i="143"/>
  <c r="S176" i="143"/>
  <c r="S177" i="143"/>
  <c r="S178" i="143"/>
  <c r="S179" i="143"/>
  <c r="S196" i="143"/>
  <c r="S197" i="143"/>
  <c r="S198" i="143"/>
  <c r="S199" i="143"/>
  <c r="S216" i="143"/>
  <c r="S217" i="143"/>
  <c r="S218" i="143"/>
  <c r="S219" i="143"/>
  <c r="S253" i="143"/>
  <c r="S254" i="143"/>
  <c r="S255" i="143"/>
  <c r="S256" i="143"/>
  <c r="S269" i="143"/>
  <c r="S270" i="143"/>
  <c r="S271" i="143"/>
  <c r="S272" i="143"/>
  <c r="S284" i="143"/>
  <c r="S285" i="143"/>
  <c r="S286" i="143"/>
  <c r="S287" i="143"/>
  <c r="S300" i="143"/>
  <c r="S301" i="143"/>
  <c r="S302" i="143"/>
  <c r="S303" i="143"/>
  <c r="S316" i="143"/>
  <c r="S317" i="143"/>
  <c r="S318" i="143"/>
  <c r="S319" i="143"/>
  <c r="S332" i="143"/>
  <c r="S333" i="143"/>
  <c r="S334" i="143"/>
  <c r="S335" i="143"/>
  <c r="S140" i="143"/>
  <c r="S141" i="143"/>
  <c r="S142" i="143"/>
  <c r="S143" i="143"/>
  <c r="S160" i="143"/>
  <c r="S161" i="143"/>
  <c r="S162" i="143"/>
  <c r="S163" i="143"/>
  <c r="S180" i="143"/>
  <c r="S181" i="143"/>
  <c r="S182" i="143"/>
  <c r="S183" i="143"/>
  <c r="S200" i="143"/>
  <c r="S201" i="143"/>
  <c r="S202" i="143"/>
  <c r="S203" i="143"/>
  <c r="S220" i="143"/>
  <c r="S221" i="143"/>
  <c r="S222" i="143"/>
  <c r="S223" i="143"/>
  <c r="S144" i="143"/>
  <c r="S145" i="143"/>
  <c r="S146" i="143"/>
  <c r="S147" i="143"/>
  <c r="S164" i="143"/>
  <c r="S165" i="143"/>
  <c r="S166" i="143"/>
  <c r="S167" i="143"/>
  <c r="S184" i="143"/>
  <c r="S185" i="143"/>
  <c r="S186" i="143"/>
  <c r="S187" i="143"/>
  <c r="S204" i="143"/>
  <c r="S205" i="143"/>
  <c r="S206" i="143"/>
  <c r="S207" i="143"/>
  <c r="S224" i="143"/>
  <c r="S225" i="143"/>
  <c r="S226" i="143"/>
  <c r="S257" i="143"/>
  <c r="S258" i="143"/>
  <c r="S259" i="143"/>
  <c r="S260" i="143"/>
  <c r="S273" i="143"/>
  <c r="S274" i="143"/>
  <c r="S275" i="143"/>
  <c r="S276" i="143"/>
  <c r="S288" i="143"/>
  <c r="S289" i="143"/>
  <c r="S290" i="143"/>
  <c r="S291" i="143"/>
  <c r="S304" i="143"/>
  <c r="S305" i="143"/>
  <c r="S306" i="143"/>
  <c r="S307" i="143"/>
  <c r="S320" i="143"/>
  <c r="S321" i="143"/>
  <c r="S322" i="143"/>
  <c r="S323" i="143"/>
  <c r="S336" i="143"/>
  <c r="S337" i="143"/>
  <c r="S338" i="143"/>
  <c r="S339" i="143"/>
  <c r="S148" i="143"/>
  <c r="S149" i="143"/>
  <c r="S150" i="143"/>
  <c r="S151" i="143"/>
  <c r="S168" i="143"/>
  <c r="S169" i="143"/>
  <c r="S170" i="143"/>
  <c r="S171" i="143"/>
  <c r="S188" i="143"/>
  <c r="S189" i="143"/>
  <c r="S190" i="143"/>
  <c r="S191" i="143"/>
  <c r="S208" i="143"/>
  <c r="S209" i="143"/>
  <c r="S210" i="143"/>
  <c r="S211" i="143"/>
  <c r="S261" i="143"/>
  <c r="S262" i="143"/>
  <c r="S263" i="143"/>
  <c r="S264" i="143"/>
  <c r="S277" i="143"/>
  <c r="S278" i="143"/>
  <c r="S279" i="143"/>
  <c r="S292" i="143"/>
  <c r="S293" i="143"/>
  <c r="S294" i="143"/>
  <c r="S295" i="143"/>
  <c r="S308" i="143"/>
  <c r="S309" i="143"/>
  <c r="S310" i="143"/>
  <c r="S311" i="143"/>
  <c r="S324" i="143"/>
  <c r="S325" i="143"/>
  <c r="S326" i="143"/>
  <c r="S327" i="143"/>
  <c r="S340" i="143"/>
  <c r="S341" i="143"/>
  <c r="S342" i="143"/>
  <c r="S2" i="143"/>
  <c r="S3" i="143"/>
  <c r="S4" i="143"/>
  <c r="S5" i="143"/>
  <c r="S23" i="143"/>
  <c r="S24" i="143"/>
  <c r="S25" i="143"/>
  <c r="S26" i="143"/>
  <c r="S43" i="143"/>
  <c r="S44" i="143"/>
  <c r="S45" i="143"/>
  <c r="S46" i="143"/>
  <c r="S63" i="143"/>
  <c r="S64" i="143"/>
  <c r="S80" i="143"/>
  <c r="S81" i="143"/>
  <c r="S97" i="143"/>
  <c r="S98" i="143"/>
  <c r="S99" i="143"/>
  <c r="S100" i="143"/>
  <c r="S114" i="143"/>
  <c r="S115" i="143"/>
  <c r="S116" i="143"/>
  <c r="S343" i="143"/>
  <c r="S344" i="143"/>
  <c r="S345" i="143"/>
  <c r="S346" i="143"/>
  <c r="S362" i="143"/>
  <c r="S363" i="143"/>
  <c r="S364" i="143"/>
  <c r="S365" i="143"/>
  <c r="S383" i="143"/>
  <c r="S384" i="143"/>
  <c r="S385" i="143"/>
  <c r="S386" i="143"/>
  <c r="S403" i="143"/>
  <c r="S404" i="143"/>
  <c r="S405" i="143"/>
  <c r="S406" i="143"/>
  <c r="S423" i="143"/>
  <c r="S424" i="143"/>
  <c r="S425" i="143"/>
  <c r="S439" i="143"/>
  <c r="S440" i="143"/>
  <c r="S441" i="143"/>
  <c r="S6" i="143"/>
  <c r="S7" i="143"/>
  <c r="S8" i="143"/>
  <c r="S9" i="143"/>
  <c r="S27" i="143"/>
  <c r="S28" i="143"/>
  <c r="S29" i="143"/>
  <c r="S30" i="143"/>
  <c r="S47" i="143"/>
  <c r="S48" i="143"/>
  <c r="S49" i="143"/>
  <c r="S50" i="143"/>
  <c r="S65" i="143"/>
  <c r="S66" i="143"/>
  <c r="S67" i="143"/>
  <c r="S68" i="143"/>
  <c r="S82" i="143"/>
  <c r="S83" i="143"/>
  <c r="S84" i="143"/>
  <c r="S85" i="143"/>
  <c r="S101" i="143"/>
  <c r="S102" i="143"/>
  <c r="S103" i="143"/>
  <c r="S104" i="143"/>
  <c r="S117" i="143"/>
  <c r="S118" i="143"/>
  <c r="S119" i="143"/>
  <c r="S120" i="143"/>
  <c r="S347" i="143"/>
  <c r="S348" i="143"/>
  <c r="S349" i="143"/>
  <c r="S350" i="143"/>
  <c r="S366" i="143"/>
  <c r="S367" i="143"/>
  <c r="S368" i="143"/>
  <c r="S369" i="143"/>
  <c r="S387" i="143"/>
  <c r="S388" i="143"/>
  <c r="S389" i="143"/>
  <c r="S390" i="143"/>
  <c r="S407" i="143"/>
  <c r="S408" i="143"/>
  <c r="S409" i="143"/>
  <c r="S410" i="143"/>
  <c r="S426" i="143"/>
  <c r="S427" i="143"/>
  <c r="S428" i="143"/>
  <c r="S429" i="143"/>
  <c r="S442" i="143"/>
  <c r="S443" i="143"/>
  <c r="S444" i="143"/>
  <c r="S454" i="143"/>
  <c r="S455" i="143"/>
  <c r="S456" i="143"/>
  <c r="S457" i="143"/>
  <c r="S10" i="143"/>
  <c r="S11" i="143"/>
  <c r="S12" i="143"/>
  <c r="S13" i="143"/>
  <c r="S14" i="143"/>
  <c r="S31" i="143"/>
  <c r="S32" i="143"/>
  <c r="S33" i="143"/>
  <c r="S34" i="143"/>
  <c r="S35" i="143"/>
  <c r="S51" i="143"/>
  <c r="S52" i="143"/>
  <c r="S53" i="143"/>
  <c r="S54" i="143"/>
  <c r="S55" i="143"/>
  <c r="S69" i="143"/>
  <c r="S70" i="143"/>
  <c r="S71" i="143"/>
  <c r="S72" i="143"/>
  <c r="S73" i="143"/>
  <c r="S86" i="143"/>
  <c r="S87" i="143"/>
  <c r="S88" i="143"/>
  <c r="S89" i="143"/>
  <c r="S90" i="143"/>
  <c r="S105" i="143"/>
  <c r="S106" i="143"/>
  <c r="S107" i="143"/>
  <c r="S108" i="143"/>
  <c r="S109" i="143"/>
  <c r="S121" i="143"/>
  <c r="S122" i="143"/>
  <c r="S123" i="143"/>
  <c r="S124" i="143"/>
  <c r="S125" i="143"/>
  <c r="S370" i="143"/>
  <c r="S371" i="143"/>
  <c r="S372" i="143"/>
  <c r="S373" i="143"/>
  <c r="S374" i="143"/>
  <c r="S391" i="143"/>
  <c r="S392" i="143"/>
  <c r="S393" i="143"/>
  <c r="S394" i="143"/>
  <c r="S395" i="143"/>
  <c r="S411" i="143"/>
  <c r="S412" i="143"/>
  <c r="S413" i="143"/>
  <c r="S414" i="143"/>
  <c r="S415" i="143"/>
  <c r="S430" i="143"/>
  <c r="S431" i="143"/>
  <c r="S432" i="143"/>
  <c r="S433" i="143"/>
  <c r="S434" i="143"/>
  <c r="S445" i="143"/>
  <c r="S446" i="143"/>
  <c r="S447" i="143"/>
  <c r="S448" i="143"/>
  <c r="S449" i="143"/>
  <c r="S15" i="143"/>
  <c r="S16" i="143"/>
  <c r="S17" i="143"/>
  <c r="S18" i="143"/>
  <c r="S36" i="143"/>
  <c r="S37" i="143"/>
  <c r="S38" i="143"/>
  <c r="S39" i="143"/>
  <c r="S56" i="143"/>
  <c r="S57" i="143"/>
  <c r="S58" i="143"/>
  <c r="S59" i="143"/>
  <c r="S74" i="143"/>
  <c r="S75" i="143"/>
  <c r="S76" i="143"/>
  <c r="S77" i="143"/>
  <c r="S91" i="143"/>
  <c r="S92" i="143"/>
  <c r="S93" i="143"/>
  <c r="S94" i="143"/>
  <c r="S110" i="143"/>
  <c r="S111" i="143"/>
  <c r="S112" i="143"/>
  <c r="S113" i="143"/>
  <c r="S126" i="143"/>
  <c r="S127" i="143"/>
  <c r="S128" i="143"/>
  <c r="S129" i="143"/>
  <c r="S354" i="143"/>
  <c r="S355" i="143"/>
  <c r="S356" i="143"/>
  <c r="S357" i="143"/>
  <c r="S375" i="143"/>
  <c r="S376" i="143"/>
  <c r="S377" i="143"/>
  <c r="S378" i="143"/>
  <c r="S396" i="143"/>
  <c r="S397" i="143"/>
  <c r="S398" i="143"/>
  <c r="S399" i="143"/>
  <c r="S416" i="143"/>
  <c r="S417" i="143"/>
  <c r="S418" i="143"/>
  <c r="S419" i="143"/>
  <c r="S435" i="143"/>
  <c r="S436" i="143"/>
  <c r="S437" i="143"/>
  <c r="S438" i="143"/>
  <c r="S450" i="143"/>
  <c r="S451" i="143"/>
  <c r="S452" i="143"/>
  <c r="S453" i="143"/>
  <c r="S458" i="143"/>
  <c r="S460" i="143"/>
  <c r="S19" i="143"/>
  <c r="S20" i="143"/>
  <c r="S21" i="143"/>
  <c r="S22" i="143"/>
  <c r="S40" i="143"/>
  <c r="S41" i="143"/>
  <c r="S42" i="143"/>
  <c r="S60" i="143"/>
  <c r="S61" i="143"/>
  <c r="S62" i="143"/>
  <c r="S78" i="143"/>
  <c r="S79" i="143"/>
  <c r="S95" i="143"/>
  <c r="S96" i="143"/>
  <c r="S130" i="143"/>
  <c r="S131" i="143"/>
  <c r="S358" i="143"/>
  <c r="S359" i="143"/>
  <c r="S360" i="143"/>
  <c r="S361" i="143"/>
  <c r="S132" i="143"/>
  <c r="J13" i="157" l="1"/>
  <c r="K13" i="157" s="1"/>
  <c r="B46" i="123" l="1"/>
  <c r="B45" i="123"/>
  <c r="B44" i="123"/>
  <c r="B43" i="123"/>
  <c r="B40" i="123"/>
  <c r="B39" i="123"/>
  <c r="B38" i="123"/>
  <c r="B37" i="123"/>
  <c r="B34" i="123"/>
  <c r="B33" i="123"/>
  <c r="B32" i="123"/>
  <c r="B31" i="123"/>
  <c r="B28" i="123"/>
  <c r="B27" i="123"/>
  <c r="B26" i="123"/>
  <c r="B25" i="123"/>
  <c r="B22" i="123"/>
  <c r="B21" i="123"/>
  <c r="B20" i="123"/>
  <c r="B19" i="123"/>
  <c r="B16" i="123"/>
  <c r="B15" i="123"/>
  <c r="B14" i="123"/>
  <c r="B13" i="123"/>
  <c r="B45" i="119"/>
  <c r="B44" i="119"/>
  <c r="B43" i="119"/>
  <c r="B42" i="119"/>
  <c r="B41" i="119"/>
  <c r="B38" i="119"/>
  <c r="B37" i="119"/>
  <c r="B36" i="119"/>
  <c r="B35" i="119"/>
  <c r="B34" i="119"/>
  <c r="B31" i="119"/>
  <c r="B30" i="119"/>
  <c r="B29" i="119"/>
  <c r="B28" i="119"/>
  <c r="B27" i="119"/>
  <c r="B24" i="119"/>
  <c r="B23" i="119"/>
  <c r="B22" i="119"/>
  <c r="B21" i="119"/>
  <c r="B20" i="119"/>
  <c r="B17" i="119"/>
  <c r="B16" i="119"/>
  <c r="B15" i="119"/>
  <c r="B14" i="119"/>
  <c r="B13" i="119"/>
  <c r="B45" i="91"/>
  <c r="B44" i="91"/>
  <c r="B43" i="91"/>
  <c r="B42" i="91"/>
  <c r="B41" i="91"/>
  <c r="B38" i="91"/>
  <c r="B37" i="91"/>
  <c r="B36" i="91"/>
  <c r="B35" i="91"/>
  <c r="B34" i="91"/>
  <c r="B31" i="91"/>
  <c r="B30" i="91"/>
  <c r="B29" i="91"/>
  <c r="B28" i="91"/>
  <c r="B27" i="91"/>
  <c r="B24" i="91"/>
  <c r="B23" i="91"/>
  <c r="B22" i="91"/>
  <c r="B21" i="91"/>
  <c r="B20" i="91"/>
  <c r="B17" i="91"/>
  <c r="B16" i="91"/>
  <c r="B15" i="91"/>
  <c r="B14" i="91"/>
  <c r="B13" i="91"/>
  <c r="B45" i="90"/>
  <c r="B44" i="90"/>
  <c r="B43" i="90"/>
  <c r="B42" i="90"/>
  <c r="B41" i="90"/>
  <c r="B38" i="90"/>
  <c r="B37" i="90"/>
  <c r="B36" i="90"/>
  <c r="B35" i="90"/>
  <c r="B34" i="90"/>
  <c r="B31" i="90"/>
  <c r="B30" i="90"/>
  <c r="B29" i="90"/>
  <c r="B28" i="90"/>
  <c r="B27" i="90"/>
  <c r="B24" i="90"/>
  <c r="B23" i="90"/>
  <c r="B22" i="90"/>
  <c r="B21" i="90"/>
  <c r="B20" i="90"/>
  <c r="B17" i="90"/>
  <c r="B16" i="90"/>
  <c r="B15" i="90"/>
  <c r="B14" i="90"/>
  <c r="B13" i="90"/>
  <c r="B45" i="70"/>
  <c r="B44" i="70"/>
  <c r="B43" i="70"/>
  <c r="B42" i="70"/>
  <c r="B41" i="70"/>
  <c r="B38" i="70"/>
  <c r="B37" i="70"/>
  <c r="B36" i="70"/>
  <c r="B35" i="70"/>
  <c r="B34" i="70"/>
  <c r="B31" i="70"/>
  <c r="B30" i="70"/>
  <c r="B29" i="70"/>
  <c r="B28" i="70"/>
  <c r="B27" i="70"/>
  <c r="B24" i="70"/>
  <c r="B23" i="70"/>
  <c r="B22" i="70"/>
  <c r="B21" i="70"/>
  <c r="B20" i="70"/>
  <c r="B17" i="70"/>
  <c r="B16" i="70"/>
  <c r="B15" i="70"/>
  <c r="B14" i="70"/>
  <c r="B13" i="70"/>
  <c r="B45" i="66"/>
  <c r="B44" i="66"/>
  <c r="B43" i="66"/>
  <c r="B42" i="66"/>
  <c r="B41" i="66"/>
  <c r="B38" i="66"/>
  <c r="B37" i="66"/>
  <c r="B36" i="66"/>
  <c r="B35" i="66"/>
  <c r="B34" i="66"/>
  <c r="B31" i="66"/>
  <c r="B30" i="66"/>
  <c r="B29" i="66"/>
  <c r="B28" i="66"/>
  <c r="B27" i="66"/>
  <c r="B24" i="66"/>
  <c r="B23" i="66"/>
  <c r="B22" i="66"/>
  <c r="B21" i="66"/>
  <c r="B20" i="66"/>
  <c r="B17" i="66"/>
  <c r="B16" i="66"/>
  <c r="B15" i="66"/>
  <c r="B14" i="66"/>
  <c r="B13" i="66"/>
  <c r="B45" i="64"/>
  <c r="B44" i="64"/>
  <c r="B43" i="64"/>
  <c r="B42" i="64"/>
  <c r="B41" i="64"/>
  <c r="B38" i="64"/>
  <c r="B37" i="64"/>
  <c r="B36" i="64"/>
  <c r="B35" i="64"/>
  <c r="B34" i="64"/>
  <c r="B31" i="64"/>
  <c r="B30" i="64"/>
  <c r="B29" i="64"/>
  <c r="B28" i="64"/>
  <c r="B27" i="64"/>
  <c r="B24" i="64"/>
  <c r="B23" i="64"/>
  <c r="B22" i="64"/>
  <c r="B21" i="64"/>
  <c r="B20" i="64"/>
  <c r="B17" i="64"/>
  <c r="B16" i="64"/>
  <c r="B15" i="64"/>
  <c r="B14" i="64"/>
  <c r="B13" i="64"/>
  <c r="B45" i="62"/>
  <c r="B44" i="62"/>
  <c r="B43" i="62"/>
  <c r="B42" i="62"/>
  <c r="B41" i="62"/>
  <c r="B38" i="62"/>
  <c r="B37" i="62"/>
  <c r="B36" i="62"/>
  <c r="B35" i="62"/>
  <c r="B34" i="62"/>
  <c r="B31" i="62"/>
  <c r="B30" i="62"/>
  <c r="B29" i="62"/>
  <c r="B28" i="62"/>
  <c r="B27" i="62"/>
  <c r="B24" i="62"/>
  <c r="B23" i="62"/>
  <c r="B22" i="62"/>
  <c r="B21" i="62"/>
  <c r="B20" i="62"/>
  <c r="B17" i="62"/>
  <c r="B16" i="62"/>
  <c r="B15" i="62"/>
  <c r="B14" i="62"/>
  <c r="B13" i="62"/>
  <c r="B45" i="89"/>
  <c r="B44" i="89"/>
  <c r="B43" i="89"/>
  <c r="B42" i="89"/>
  <c r="B41" i="89"/>
  <c r="B38" i="89"/>
  <c r="B37" i="89"/>
  <c r="B36" i="89"/>
  <c r="B35" i="89"/>
  <c r="B34" i="89"/>
  <c r="B31" i="89"/>
  <c r="B30" i="89"/>
  <c r="B29" i="89"/>
  <c r="B28" i="89"/>
  <c r="B27" i="89"/>
  <c r="B24" i="89"/>
  <c r="B23" i="89"/>
  <c r="B22" i="89"/>
  <c r="B21" i="89"/>
  <c r="B20" i="89"/>
  <c r="B17" i="89"/>
  <c r="B16" i="89"/>
  <c r="B15" i="89"/>
  <c r="B14" i="89"/>
  <c r="B13" i="89"/>
  <c r="B45" i="88"/>
  <c r="B44" i="88"/>
  <c r="B43" i="88"/>
  <c r="B42" i="88"/>
  <c r="B41" i="88"/>
  <c r="B38" i="88"/>
  <c r="B37" i="88"/>
  <c r="B36" i="88"/>
  <c r="B35" i="88"/>
  <c r="B34" i="88"/>
  <c r="B31" i="88"/>
  <c r="B30" i="88"/>
  <c r="B29" i="88"/>
  <c r="B28" i="88"/>
  <c r="B27" i="88"/>
  <c r="B24" i="88"/>
  <c r="B23" i="88"/>
  <c r="B22" i="88"/>
  <c r="B21" i="88"/>
  <c r="B20" i="88"/>
  <c r="B17" i="88"/>
  <c r="B16" i="88"/>
  <c r="B15" i="88"/>
  <c r="B14" i="88"/>
  <c r="B13" i="88"/>
  <c r="B45" i="87"/>
  <c r="B44" i="87"/>
  <c r="B43" i="87"/>
  <c r="B42" i="87"/>
  <c r="B41" i="87"/>
  <c r="B38" i="87"/>
  <c r="B37" i="87"/>
  <c r="B36" i="87"/>
  <c r="B35" i="87"/>
  <c r="B34" i="87"/>
  <c r="B31" i="87"/>
  <c r="B30" i="87"/>
  <c r="B29" i="87"/>
  <c r="B28" i="87"/>
  <c r="B27" i="87"/>
  <c r="B24" i="87"/>
  <c r="B23" i="87"/>
  <c r="B22" i="87"/>
  <c r="B21" i="87"/>
  <c r="B20" i="87"/>
  <c r="B17" i="87"/>
  <c r="B16" i="87"/>
  <c r="B15" i="87"/>
  <c r="B14" i="87"/>
  <c r="B13" i="87"/>
  <c r="B45" i="86"/>
  <c r="B44" i="86"/>
  <c r="B43" i="86"/>
  <c r="B42" i="86"/>
  <c r="B41" i="86"/>
  <c r="B38" i="86"/>
  <c r="B37" i="86"/>
  <c r="B36" i="86"/>
  <c r="B35" i="86"/>
  <c r="B34" i="86"/>
  <c r="B31" i="86"/>
  <c r="B30" i="86"/>
  <c r="B29" i="86"/>
  <c r="B28" i="86"/>
  <c r="B27" i="86"/>
  <c r="B24" i="86"/>
  <c r="B23" i="86"/>
  <c r="B22" i="86"/>
  <c r="B21" i="86"/>
  <c r="B20" i="86"/>
  <c r="B17" i="86"/>
  <c r="B16" i="86"/>
  <c r="B15" i="86"/>
  <c r="B14" i="86"/>
  <c r="B13" i="86"/>
  <c r="B45" i="61"/>
  <c r="B44" i="61"/>
  <c r="B43" i="61"/>
  <c r="B42" i="61"/>
  <c r="B41" i="61"/>
  <c r="B38" i="61"/>
  <c r="B37" i="61"/>
  <c r="B36" i="61"/>
  <c r="B35" i="61"/>
  <c r="B34" i="61"/>
  <c r="B31" i="61"/>
  <c r="B30" i="61"/>
  <c r="B29" i="61"/>
  <c r="B28" i="61"/>
  <c r="B27" i="61"/>
  <c r="B24" i="61"/>
  <c r="B23" i="61"/>
  <c r="B22" i="61"/>
  <c r="B21" i="61"/>
  <c r="B20" i="61"/>
  <c r="B17" i="61"/>
  <c r="B16" i="61"/>
  <c r="B15" i="61"/>
  <c r="B14" i="61"/>
  <c r="B13" i="61"/>
  <c r="B45" i="60"/>
  <c r="B44" i="60"/>
  <c r="B43" i="60"/>
  <c r="B42" i="60"/>
  <c r="B41" i="60"/>
  <c r="B38" i="60"/>
  <c r="B37" i="60"/>
  <c r="B36" i="60"/>
  <c r="B35" i="60"/>
  <c r="B34" i="60"/>
  <c r="B31" i="60"/>
  <c r="B30" i="60"/>
  <c r="B29" i="60"/>
  <c r="B28" i="60"/>
  <c r="B27" i="60"/>
  <c r="B24" i="60"/>
  <c r="B23" i="60"/>
  <c r="B22" i="60"/>
  <c r="B21" i="60"/>
  <c r="B20" i="60"/>
  <c r="B17" i="60"/>
  <c r="B16" i="60"/>
  <c r="B15" i="60"/>
  <c r="B14" i="60"/>
  <c r="B13" i="60"/>
  <c r="B45" i="49"/>
  <c r="B44" i="49"/>
  <c r="B43" i="49"/>
  <c r="B42" i="49"/>
  <c r="B41" i="49"/>
  <c r="B38" i="49"/>
  <c r="B37" i="49"/>
  <c r="B36" i="49"/>
  <c r="B35" i="49"/>
  <c r="B34" i="49"/>
  <c r="B31" i="49"/>
  <c r="B30" i="49"/>
  <c r="B29" i="49"/>
  <c r="B28" i="49"/>
  <c r="B27" i="49"/>
  <c r="B24" i="49"/>
  <c r="B23" i="49"/>
  <c r="B22" i="49"/>
  <c r="B21" i="49"/>
  <c r="B20" i="49"/>
  <c r="B17" i="49"/>
  <c r="B16" i="49"/>
  <c r="B15" i="49"/>
  <c r="B14" i="49"/>
  <c r="B13" i="49"/>
  <c r="B40" i="84"/>
  <c r="B39" i="84"/>
  <c r="B38" i="84"/>
  <c r="B37" i="84"/>
  <c r="B34" i="84"/>
  <c r="B33" i="84"/>
  <c r="B32" i="84"/>
  <c r="B31" i="84"/>
  <c r="B28" i="84"/>
  <c r="B27" i="84"/>
  <c r="B26" i="84"/>
  <c r="B25" i="84"/>
  <c r="B22" i="84"/>
  <c r="B21" i="84"/>
  <c r="B20" i="84"/>
  <c r="B19" i="84"/>
  <c r="B16" i="84"/>
  <c r="B15" i="84"/>
  <c r="B14" i="84"/>
  <c r="B13" i="84"/>
  <c r="B40" i="95"/>
  <c r="B39" i="95"/>
  <c r="B38" i="95"/>
  <c r="B37" i="95"/>
  <c r="B34" i="95"/>
  <c r="B33" i="95"/>
  <c r="B32" i="95"/>
  <c r="B31" i="95"/>
  <c r="B28" i="95"/>
  <c r="B27" i="95"/>
  <c r="B26" i="95"/>
  <c r="B25" i="95"/>
  <c r="B22" i="95"/>
  <c r="B21" i="95"/>
  <c r="B20" i="95"/>
  <c r="B19" i="95"/>
  <c r="B16" i="95"/>
  <c r="B15" i="95"/>
  <c r="B14" i="95"/>
  <c r="B13" i="95"/>
  <c r="B40" i="97"/>
  <c r="B39" i="97"/>
  <c r="B38" i="97"/>
  <c r="B37" i="97"/>
  <c r="B34" i="97"/>
  <c r="B33" i="97"/>
  <c r="B32" i="97"/>
  <c r="B31" i="97"/>
  <c r="B28" i="97"/>
  <c r="B27" i="97"/>
  <c r="B26" i="97"/>
  <c r="B25" i="97"/>
  <c r="B22" i="97"/>
  <c r="B21" i="97"/>
  <c r="B20" i="97"/>
  <c r="B19" i="97"/>
  <c r="B16" i="97"/>
  <c r="B15" i="97"/>
  <c r="B14" i="97"/>
  <c r="B13" i="97"/>
  <c r="B40" i="98"/>
  <c r="B39" i="98"/>
  <c r="B38" i="98"/>
  <c r="B37" i="98"/>
  <c r="B34" i="98"/>
  <c r="B33" i="98"/>
  <c r="B32" i="98"/>
  <c r="B31" i="98"/>
  <c r="B28" i="98"/>
  <c r="B27" i="98"/>
  <c r="B26" i="98"/>
  <c r="B25" i="98"/>
  <c r="B22" i="98"/>
  <c r="B21" i="98"/>
  <c r="B20" i="98"/>
  <c r="B19" i="98"/>
  <c r="B16" i="98"/>
  <c r="B15" i="98"/>
  <c r="B14" i="98"/>
  <c r="B13" i="98"/>
  <c r="B40" i="99"/>
  <c r="B39" i="99"/>
  <c r="B38" i="99"/>
  <c r="B37" i="99"/>
  <c r="B34" i="99"/>
  <c r="B33" i="99"/>
  <c r="B32" i="99"/>
  <c r="B31" i="99"/>
  <c r="B28" i="99"/>
  <c r="B27" i="99"/>
  <c r="B26" i="99"/>
  <c r="B25" i="99"/>
  <c r="B22" i="99"/>
  <c r="B21" i="99"/>
  <c r="B20" i="99"/>
  <c r="B19" i="99"/>
  <c r="B16" i="99"/>
  <c r="B15" i="99"/>
  <c r="B14" i="99"/>
  <c r="B13" i="99"/>
  <c r="B40" i="67"/>
  <c r="B39" i="67"/>
  <c r="B38" i="67"/>
  <c r="B37" i="67"/>
  <c r="B34" i="67"/>
  <c r="B33" i="67"/>
  <c r="B32" i="67"/>
  <c r="B31" i="67"/>
  <c r="B28" i="67"/>
  <c r="B27" i="67"/>
  <c r="B26" i="67"/>
  <c r="B25" i="67"/>
  <c r="B22" i="67"/>
  <c r="B21" i="67"/>
  <c r="B20" i="67"/>
  <c r="B19" i="67"/>
  <c r="B16" i="67"/>
  <c r="B15" i="67"/>
  <c r="B14" i="67"/>
  <c r="B13" i="67"/>
  <c r="B40" i="48"/>
  <c r="B39" i="48"/>
  <c r="B38" i="48"/>
  <c r="B37" i="48"/>
  <c r="B34" i="48"/>
  <c r="B33" i="48"/>
  <c r="B32" i="48"/>
  <c r="B31" i="48"/>
  <c r="B28" i="48"/>
  <c r="B27" i="48"/>
  <c r="B26" i="48"/>
  <c r="B25" i="48"/>
  <c r="B22" i="48"/>
  <c r="B21" i="48"/>
  <c r="B20" i="48"/>
  <c r="B19" i="48"/>
  <c r="B16" i="48"/>
  <c r="B15" i="48"/>
  <c r="B14" i="48"/>
  <c r="B13" i="48"/>
  <c r="B40" i="47"/>
  <c r="B39" i="47"/>
  <c r="B38" i="47"/>
  <c r="B37" i="47"/>
  <c r="B34" i="47"/>
  <c r="B33" i="47"/>
  <c r="B32" i="47"/>
  <c r="B31" i="47"/>
  <c r="B28" i="47"/>
  <c r="B27" i="47"/>
  <c r="B26" i="47"/>
  <c r="B25" i="47"/>
  <c r="B16" i="47"/>
  <c r="B15" i="47"/>
  <c r="B14" i="47"/>
  <c r="B13" i="47"/>
  <c r="B22" i="47"/>
  <c r="B21" i="47"/>
  <c r="B20" i="47"/>
  <c r="B19" i="47"/>
  <c r="B40" i="45"/>
  <c r="B39" i="45"/>
  <c r="B38" i="45"/>
  <c r="B37" i="45"/>
  <c r="B34" i="45"/>
  <c r="B33" i="45"/>
  <c r="B32" i="45"/>
  <c r="B31" i="45"/>
  <c r="B28" i="45"/>
  <c r="B27" i="45"/>
  <c r="B26" i="45"/>
  <c r="B25" i="45"/>
  <c r="B22" i="45"/>
  <c r="B21" i="45"/>
  <c r="B20" i="45"/>
  <c r="B19" i="45"/>
  <c r="B16" i="45"/>
  <c r="B15" i="45"/>
  <c r="B14" i="45"/>
  <c r="B13" i="45"/>
  <c r="B40" i="44"/>
  <c r="B39" i="44"/>
  <c r="B38" i="44"/>
  <c r="B37" i="44"/>
  <c r="B34" i="44"/>
  <c r="B33" i="44"/>
  <c r="B32" i="44"/>
  <c r="B31" i="44"/>
  <c r="B28" i="44"/>
  <c r="B27" i="44"/>
  <c r="B26" i="44"/>
  <c r="B25" i="44"/>
  <c r="B22" i="44"/>
  <c r="B21" i="44"/>
  <c r="B20" i="44"/>
  <c r="B19" i="44"/>
  <c r="B16" i="44"/>
  <c r="B15" i="44"/>
  <c r="B14" i="44"/>
  <c r="B13" i="44"/>
  <c r="B40" i="41"/>
  <c r="B39" i="41"/>
  <c r="B38" i="41"/>
  <c r="B37" i="41"/>
  <c r="B34" i="41"/>
  <c r="B33" i="41"/>
  <c r="B32" i="41"/>
  <c r="B31" i="41"/>
  <c r="B28" i="41"/>
  <c r="B27" i="41"/>
  <c r="B26" i="41"/>
  <c r="B25" i="41"/>
  <c r="B22" i="41"/>
  <c r="B21" i="41"/>
  <c r="B20" i="41"/>
  <c r="B19" i="41"/>
  <c r="B16" i="41"/>
  <c r="B15" i="41"/>
  <c r="B14" i="41"/>
  <c r="B13" i="41"/>
  <c r="B40" i="1"/>
  <c r="B39" i="1"/>
  <c r="B38" i="1"/>
  <c r="B37" i="1"/>
  <c r="B34" i="1"/>
  <c r="B33" i="1"/>
  <c r="B32" i="1"/>
  <c r="B31" i="1"/>
  <c r="B28" i="1"/>
  <c r="B27" i="1"/>
  <c r="B26" i="1"/>
  <c r="B25" i="1"/>
  <c r="B22" i="1"/>
  <c r="B21" i="1"/>
  <c r="B20" i="1"/>
  <c r="B19" i="1"/>
  <c r="B16" i="1"/>
  <c r="B14" i="1"/>
  <c r="B15" i="1"/>
  <c r="B13" i="1"/>
  <c r="C13" i="1"/>
  <c r="J6" i="150" l="1"/>
  <c r="G22" i="157" l="1"/>
  <c r="G23" i="157"/>
  <c r="G24" i="157"/>
  <c r="G25" i="157"/>
  <c r="F25" i="157"/>
  <c r="F22" i="157"/>
  <c r="F21" i="157"/>
  <c r="F18" i="157" s="1"/>
  <c r="I18" i="157" s="1"/>
  <c r="G18" i="157"/>
  <c r="F24" i="157"/>
  <c r="F23" i="157"/>
  <c r="G21" i="157"/>
  <c r="J17" i="157"/>
  <c r="K17" i="157" s="1"/>
  <c r="J14" i="157"/>
  <c r="K14" i="157" s="1"/>
  <c r="H18" i="125"/>
  <c r="J18" i="125" s="1"/>
  <c r="K18" i="125" s="1"/>
  <c r="H17" i="125"/>
  <c r="J17" i="125" s="1"/>
  <c r="K17" i="125" s="1"/>
  <c r="H16" i="125"/>
  <c r="J16" i="125" s="1"/>
  <c r="K16" i="125" s="1"/>
  <c r="H15" i="125"/>
  <c r="J15" i="125" s="1"/>
  <c r="K15" i="125" s="1"/>
  <c r="H14" i="125"/>
  <c r="J14" i="125" s="1"/>
  <c r="K14" i="125" s="1"/>
  <c r="J13" i="125"/>
  <c r="Q13" i="84"/>
  <c r="Q14" i="84"/>
  <c r="Q15" i="84"/>
  <c r="G26" i="157" l="1"/>
  <c r="G27" i="157" s="1"/>
  <c r="J16" i="157"/>
  <c r="K16" i="157" s="1"/>
  <c r="F26" i="157"/>
  <c r="J15" i="157"/>
  <c r="K15" i="157" s="1"/>
  <c r="J19" i="125"/>
  <c r="F27" i="157" l="1"/>
  <c r="J18" i="157" l="1"/>
  <c r="K18" i="157" s="1"/>
  <c r="O250" i="149" l="1"/>
  <c r="O249" i="149"/>
  <c r="O247" i="149"/>
  <c r="D250" i="149"/>
  <c r="D249" i="149"/>
  <c r="D247" i="149"/>
  <c r="O236" i="149"/>
  <c r="O235" i="149"/>
  <c r="O234" i="149"/>
  <c r="O233" i="149"/>
  <c r="O232" i="149"/>
  <c r="D233" i="149"/>
  <c r="D234" i="149"/>
  <c r="D235" i="149"/>
  <c r="D236" i="149"/>
  <c r="D232" i="149"/>
  <c r="N248" i="76" l="1"/>
  <c r="N249" i="76"/>
  <c r="N250" i="76"/>
  <c r="N251" i="76"/>
  <c r="N252" i="76"/>
  <c r="N253" i="76"/>
  <c r="N247" i="76"/>
  <c r="N129" i="76"/>
  <c r="N128" i="76"/>
  <c r="N127" i="76"/>
  <c r="N126" i="76"/>
  <c r="N125" i="76"/>
  <c r="N124" i="76"/>
  <c r="N122" i="76"/>
  <c r="N121" i="76"/>
  <c r="N120" i="76"/>
  <c r="N119" i="76"/>
  <c r="N118" i="76"/>
  <c r="N117" i="76"/>
  <c r="N115" i="76"/>
  <c r="N114" i="76"/>
  <c r="N113" i="76"/>
  <c r="N112" i="76"/>
  <c r="N111" i="76"/>
  <c r="N110" i="76"/>
  <c r="A2" i="76" l="1"/>
  <c r="B263" i="150"/>
  <c r="A263" i="150"/>
  <c r="B262" i="150"/>
  <c r="A262" i="150"/>
  <c r="B252" i="150"/>
  <c r="A252" i="150"/>
  <c r="B251" i="150"/>
  <c r="A251" i="150"/>
  <c r="B250" i="150"/>
  <c r="A250" i="150"/>
  <c r="B249" i="150"/>
  <c r="A249" i="150"/>
  <c r="B248" i="150"/>
  <c r="A248" i="150"/>
  <c r="B247" i="150"/>
  <c r="A247" i="150"/>
  <c r="B241" i="150"/>
  <c r="A241" i="150"/>
  <c r="B239" i="150"/>
  <c r="A239" i="150"/>
  <c r="B236" i="150"/>
  <c r="A236" i="150"/>
  <c r="B235" i="150"/>
  <c r="A235" i="150"/>
  <c r="B234" i="150"/>
  <c r="A234" i="150"/>
  <c r="B233" i="150"/>
  <c r="A233" i="150"/>
  <c r="B232" i="150"/>
  <c r="A232" i="150"/>
  <c r="B229" i="150"/>
  <c r="A229" i="150"/>
  <c r="B228" i="150"/>
  <c r="A228" i="150"/>
  <c r="B227" i="150"/>
  <c r="A227" i="150"/>
  <c r="B226" i="150"/>
  <c r="A226" i="150"/>
  <c r="B225" i="150"/>
  <c r="A225" i="150"/>
  <c r="B222" i="150"/>
  <c r="A222" i="150"/>
  <c r="B221" i="150"/>
  <c r="A221" i="150"/>
  <c r="B220" i="150"/>
  <c r="A220" i="150"/>
  <c r="B219" i="150"/>
  <c r="A219" i="150"/>
  <c r="B218" i="150"/>
  <c r="A218" i="150"/>
  <c r="B215" i="150"/>
  <c r="A215" i="150"/>
  <c r="B214" i="150"/>
  <c r="A214" i="150"/>
  <c r="B213" i="150"/>
  <c r="A213" i="150"/>
  <c r="B212" i="150"/>
  <c r="A212" i="150"/>
  <c r="B211" i="150"/>
  <c r="A211" i="150"/>
  <c r="B208" i="150"/>
  <c r="A208" i="150"/>
  <c r="B207" i="150"/>
  <c r="A207" i="150"/>
  <c r="B206" i="150"/>
  <c r="A206" i="150"/>
  <c r="B205" i="150"/>
  <c r="A205" i="150"/>
  <c r="B204" i="150"/>
  <c r="A204" i="150"/>
  <c r="B201" i="150"/>
  <c r="A201" i="150"/>
  <c r="B200" i="150"/>
  <c r="A200" i="150"/>
  <c r="B199" i="150"/>
  <c r="A199" i="150"/>
  <c r="B198" i="150"/>
  <c r="A198" i="150"/>
  <c r="B197" i="150"/>
  <c r="A197" i="150"/>
  <c r="B194" i="150"/>
  <c r="A194" i="150"/>
  <c r="B193" i="150"/>
  <c r="A193" i="150"/>
  <c r="B192" i="150"/>
  <c r="A192" i="150"/>
  <c r="B191" i="150"/>
  <c r="A191" i="150"/>
  <c r="B190" i="150"/>
  <c r="A190" i="150"/>
  <c r="B184" i="150"/>
  <c r="A184" i="150"/>
  <c r="B181" i="150"/>
  <c r="A181" i="150"/>
  <c r="B180" i="150"/>
  <c r="A180" i="150"/>
  <c r="B179" i="150"/>
  <c r="A179" i="150"/>
  <c r="B178" i="150"/>
  <c r="A178" i="150"/>
  <c r="B177" i="150"/>
  <c r="A177" i="150"/>
  <c r="B174" i="150"/>
  <c r="A174" i="150"/>
  <c r="B173" i="150"/>
  <c r="A173" i="150"/>
  <c r="B172" i="150"/>
  <c r="A172" i="150"/>
  <c r="B171" i="150"/>
  <c r="A171" i="150"/>
  <c r="B170" i="150"/>
  <c r="A170" i="150"/>
  <c r="B167" i="150"/>
  <c r="A167" i="150"/>
  <c r="B166" i="150"/>
  <c r="A166" i="150"/>
  <c r="B165" i="150"/>
  <c r="A165" i="150"/>
  <c r="B164" i="150"/>
  <c r="A164" i="150"/>
  <c r="B163" i="150"/>
  <c r="A163" i="150"/>
  <c r="B160" i="150"/>
  <c r="A160" i="150"/>
  <c r="B159" i="150"/>
  <c r="A159" i="150"/>
  <c r="B158" i="150"/>
  <c r="A158" i="150"/>
  <c r="B157" i="150"/>
  <c r="A157" i="150"/>
  <c r="B156" i="150"/>
  <c r="A156" i="150"/>
  <c r="B153" i="150"/>
  <c r="A153" i="150"/>
  <c r="B152" i="150"/>
  <c r="A152" i="150"/>
  <c r="B151" i="150"/>
  <c r="A151" i="150"/>
  <c r="B150" i="150"/>
  <c r="A150" i="150"/>
  <c r="B149" i="150"/>
  <c r="A149" i="150"/>
  <c r="B146" i="150"/>
  <c r="A146" i="150"/>
  <c r="B145" i="150"/>
  <c r="A145" i="150"/>
  <c r="B144" i="150"/>
  <c r="A144" i="150"/>
  <c r="B143" i="150"/>
  <c r="A143" i="150"/>
  <c r="B142" i="150"/>
  <c r="A142" i="150"/>
  <c r="B139" i="150"/>
  <c r="A139" i="150"/>
  <c r="B138" i="150"/>
  <c r="A138" i="150"/>
  <c r="B137" i="150"/>
  <c r="A137" i="150"/>
  <c r="B136" i="150"/>
  <c r="A136" i="150"/>
  <c r="B135" i="150"/>
  <c r="A135" i="150"/>
  <c r="B128" i="150"/>
  <c r="A128" i="150"/>
  <c r="B127" i="150"/>
  <c r="A127" i="150"/>
  <c r="B126" i="150"/>
  <c r="A126" i="150"/>
  <c r="B125" i="150"/>
  <c r="A125" i="150"/>
  <c r="B124" i="150"/>
  <c r="A124" i="150"/>
  <c r="B121" i="150"/>
  <c r="A121" i="150"/>
  <c r="B120" i="150"/>
  <c r="A120" i="150"/>
  <c r="B119" i="150"/>
  <c r="A119" i="150"/>
  <c r="B118" i="150"/>
  <c r="A118" i="150"/>
  <c r="B117" i="150"/>
  <c r="A117" i="150"/>
  <c r="B114" i="150"/>
  <c r="A114" i="150"/>
  <c r="B113" i="150"/>
  <c r="A113" i="150"/>
  <c r="B112" i="150"/>
  <c r="A112" i="150"/>
  <c r="B111" i="150"/>
  <c r="A111" i="150"/>
  <c r="B110" i="150"/>
  <c r="A110" i="150"/>
  <c r="B107" i="150"/>
  <c r="A107" i="150"/>
  <c r="B106" i="150"/>
  <c r="A106" i="150"/>
  <c r="B105" i="150"/>
  <c r="A105" i="150"/>
  <c r="B104" i="150"/>
  <c r="A104" i="150"/>
  <c r="B103" i="150"/>
  <c r="A103" i="150"/>
  <c r="B92" i="150"/>
  <c r="A92" i="150"/>
  <c r="B90" i="150"/>
  <c r="A90" i="150"/>
  <c r="B87" i="150"/>
  <c r="A87" i="150"/>
  <c r="B86" i="150"/>
  <c r="A86" i="150"/>
  <c r="B85" i="150"/>
  <c r="A85" i="150"/>
  <c r="B84" i="150"/>
  <c r="A84" i="150"/>
  <c r="B81" i="150"/>
  <c r="A81" i="150"/>
  <c r="B80" i="150"/>
  <c r="A80" i="150"/>
  <c r="B79" i="150"/>
  <c r="A79" i="150"/>
  <c r="B78" i="150"/>
  <c r="A78" i="150"/>
  <c r="B75" i="150"/>
  <c r="A75" i="150"/>
  <c r="B74" i="150"/>
  <c r="A74" i="150"/>
  <c r="B73" i="150"/>
  <c r="A73" i="150"/>
  <c r="B72" i="150"/>
  <c r="A72" i="150"/>
  <c r="B69" i="150"/>
  <c r="A69" i="150"/>
  <c r="B68" i="150"/>
  <c r="A68" i="150"/>
  <c r="B67" i="150"/>
  <c r="A67" i="150"/>
  <c r="B66" i="150"/>
  <c r="A66" i="150"/>
  <c r="B63" i="150"/>
  <c r="A63" i="150"/>
  <c r="B62" i="150"/>
  <c r="A62" i="150"/>
  <c r="B61" i="150"/>
  <c r="A61" i="150"/>
  <c r="B60" i="150"/>
  <c r="A60" i="150"/>
  <c r="B57" i="150"/>
  <c r="A57" i="150"/>
  <c r="B56" i="150"/>
  <c r="A56" i="150"/>
  <c r="B55" i="150"/>
  <c r="A55" i="150"/>
  <c r="B54" i="150"/>
  <c r="A54" i="150"/>
  <c r="B51" i="150"/>
  <c r="A51" i="150"/>
  <c r="B50" i="150"/>
  <c r="A50" i="150"/>
  <c r="B49" i="150"/>
  <c r="A49" i="150"/>
  <c r="B48" i="150"/>
  <c r="A48" i="150"/>
  <c r="B47" i="150"/>
  <c r="A47" i="150"/>
  <c r="B44" i="150"/>
  <c r="A44" i="150"/>
  <c r="B43" i="150"/>
  <c r="A43" i="150"/>
  <c r="B42" i="150"/>
  <c r="A42" i="150"/>
  <c r="B41" i="150"/>
  <c r="A41" i="150"/>
  <c r="B40" i="150"/>
  <c r="A40" i="150"/>
  <c r="B37" i="150"/>
  <c r="A37" i="150"/>
  <c r="B36" i="150"/>
  <c r="A36" i="150"/>
  <c r="B35" i="150"/>
  <c r="A35" i="150"/>
  <c r="B34" i="150"/>
  <c r="A34" i="150"/>
  <c r="B33" i="150"/>
  <c r="A33" i="150"/>
  <c r="B30" i="150"/>
  <c r="A30" i="150"/>
  <c r="B29" i="150"/>
  <c r="A29" i="150"/>
  <c r="B28" i="150"/>
  <c r="A28" i="150"/>
  <c r="B27" i="150"/>
  <c r="A27" i="150"/>
  <c r="B26" i="150"/>
  <c r="A26" i="150"/>
  <c r="B23" i="150"/>
  <c r="A23" i="150"/>
  <c r="B22" i="150"/>
  <c r="A22" i="150"/>
  <c r="B21" i="150"/>
  <c r="A21" i="150"/>
  <c r="B20" i="150"/>
  <c r="A20" i="150"/>
  <c r="B19" i="150"/>
  <c r="A19" i="150"/>
  <c r="B263" i="76"/>
  <c r="A263" i="76"/>
  <c r="B262" i="76"/>
  <c r="A262" i="76"/>
  <c r="B247" i="76"/>
  <c r="A247" i="76"/>
  <c r="B252" i="76"/>
  <c r="A252" i="76"/>
  <c r="B251" i="76"/>
  <c r="A251" i="76"/>
  <c r="B250" i="76"/>
  <c r="A250" i="76"/>
  <c r="B249" i="76"/>
  <c r="A249" i="76"/>
  <c r="B248" i="76"/>
  <c r="A248" i="76"/>
  <c r="B241" i="76"/>
  <c r="A241" i="76"/>
  <c r="B239" i="76"/>
  <c r="A239" i="76"/>
  <c r="B236" i="76"/>
  <c r="A236" i="76"/>
  <c r="B235" i="76"/>
  <c r="A235" i="76"/>
  <c r="B234" i="76"/>
  <c r="A234" i="76"/>
  <c r="B233" i="76"/>
  <c r="A233" i="76"/>
  <c r="B232" i="76"/>
  <c r="A232" i="76"/>
  <c r="B229" i="76"/>
  <c r="A229" i="76"/>
  <c r="B228" i="76"/>
  <c r="A228" i="76"/>
  <c r="B227" i="76"/>
  <c r="A227" i="76"/>
  <c r="B226" i="76"/>
  <c r="A226" i="76"/>
  <c r="B225" i="76"/>
  <c r="A225" i="76"/>
  <c r="B222" i="76"/>
  <c r="A222" i="76"/>
  <c r="B221" i="76"/>
  <c r="A221" i="76"/>
  <c r="B220" i="76"/>
  <c r="A220" i="76"/>
  <c r="B219" i="76"/>
  <c r="A219" i="76"/>
  <c r="B218" i="76"/>
  <c r="A218" i="76"/>
  <c r="B215" i="76"/>
  <c r="A215" i="76"/>
  <c r="B214" i="76"/>
  <c r="A214" i="76"/>
  <c r="B213" i="76"/>
  <c r="A213" i="76"/>
  <c r="B212" i="76"/>
  <c r="A212" i="76"/>
  <c r="B211" i="76"/>
  <c r="A211" i="76"/>
  <c r="B208" i="76"/>
  <c r="A208" i="76"/>
  <c r="B207" i="76"/>
  <c r="A207" i="76"/>
  <c r="B206" i="76"/>
  <c r="A206" i="76"/>
  <c r="B205" i="76"/>
  <c r="A205" i="76"/>
  <c r="B204" i="76"/>
  <c r="A204" i="76"/>
  <c r="B201" i="76"/>
  <c r="A201" i="76"/>
  <c r="B200" i="76"/>
  <c r="A200" i="76"/>
  <c r="B199" i="76"/>
  <c r="A199" i="76"/>
  <c r="B198" i="76"/>
  <c r="A198" i="76"/>
  <c r="B197" i="76"/>
  <c r="A197" i="76"/>
  <c r="B194" i="76"/>
  <c r="A194" i="76"/>
  <c r="B193" i="76"/>
  <c r="A193" i="76"/>
  <c r="B192" i="76"/>
  <c r="A192" i="76"/>
  <c r="B191" i="76"/>
  <c r="A191" i="76"/>
  <c r="B190" i="76"/>
  <c r="A190" i="76"/>
  <c r="B184" i="76"/>
  <c r="A184" i="76"/>
  <c r="B181" i="76"/>
  <c r="A181" i="76"/>
  <c r="B180" i="76"/>
  <c r="A180" i="76"/>
  <c r="B179" i="76"/>
  <c r="A179" i="76"/>
  <c r="B178" i="76"/>
  <c r="A178" i="76"/>
  <c r="B177" i="76"/>
  <c r="A177" i="76"/>
  <c r="B174" i="76"/>
  <c r="A174" i="76"/>
  <c r="B173" i="76"/>
  <c r="A173" i="76"/>
  <c r="B172" i="76"/>
  <c r="A172" i="76"/>
  <c r="B171" i="76"/>
  <c r="A171" i="76"/>
  <c r="B170" i="76"/>
  <c r="A170" i="76"/>
  <c r="B167" i="76"/>
  <c r="A167" i="76"/>
  <c r="B166" i="76"/>
  <c r="A166" i="76"/>
  <c r="B165" i="76"/>
  <c r="A165" i="76"/>
  <c r="B164" i="76"/>
  <c r="A164" i="76"/>
  <c r="B163" i="76"/>
  <c r="A163" i="76"/>
  <c r="B160" i="76"/>
  <c r="A160" i="76"/>
  <c r="B159" i="76"/>
  <c r="A159" i="76"/>
  <c r="B158" i="76"/>
  <c r="A158" i="76"/>
  <c r="B157" i="76"/>
  <c r="A157" i="76"/>
  <c r="B156" i="76"/>
  <c r="A156" i="76"/>
  <c r="B153" i="76"/>
  <c r="A153" i="76"/>
  <c r="B152" i="76"/>
  <c r="A152" i="76"/>
  <c r="B151" i="76"/>
  <c r="A151" i="76"/>
  <c r="B150" i="76"/>
  <c r="A150" i="76"/>
  <c r="B149" i="76"/>
  <c r="A149" i="76"/>
  <c r="B146" i="76"/>
  <c r="A146" i="76"/>
  <c r="B145" i="76"/>
  <c r="A145" i="76"/>
  <c r="B144" i="76"/>
  <c r="A144" i="76"/>
  <c r="B143" i="76"/>
  <c r="A143" i="76"/>
  <c r="B142" i="76"/>
  <c r="A142" i="76"/>
  <c r="B139" i="76"/>
  <c r="A139" i="76"/>
  <c r="B138" i="76"/>
  <c r="A138" i="76"/>
  <c r="B137" i="76"/>
  <c r="A137" i="76"/>
  <c r="B136" i="76"/>
  <c r="A136" i="76"/>
  <c r="B135" i="76"/>
  <c r="A135" i="76"/>
  <c r="B128" i="76"/>
  <c r="A128" i="76"/>
  <c r="B127" i="76"/>
  <c r="A127" i="76"/>
  <c r="B126" i="76"/>
  <c r="A126" i="76"/>
  <c r="B125" i="76"/>
  <c r="A125" i="76"/>
  <c r="B124" i="76"/>
  <c r="A124" i="76"/>
  <c r="B121" i="76"/>
  <c r="A121" i="76"/>
  <c r="B120" i="76"/>
  <c r="A120" i="76"/>
  <c r="B119" i="76"/>
  <c r="A119" i="76"/>
  <c r="B118" i="76"/>
  <c r="A118" i="76"/>
  <c r="B117" i="76"/>
  <c r="A117" i="76"/>
  <c r="B114" i="76"/>
  <c r="A114" i="76"/>
  <c r="B113" i="76"/>
  <c r="A113" i="76"/>
  <c r="B112" i="76"/>
  <c r="A112" i="76"/>
  <c r="B111" i="76"/>
  <c r="A111" i="76"/>
  <c r="B110" i="76"/>
  <c r="A110" i="76"/>
  <c r="B103" i="76"/>
  <c r="A103" i="76"/>
  <c r="B107" i="76"/>
  <c r="A107" i="76"/>
  <c r="B106" i="76"/>
  <c r="A106" i="76"/>
  <c r="B105" i="76"/>
  <c r="A105" i="76"/>
  <c r="B104" i="76"/>
  <c r="A104" i="76"/>
  <c r="B92" i="76"/>
  <c r="A92" i="76"/>
  <c r="B90" i="76"/>
  <c r="A90" i="76"/>
  <c r="B87" i="76"/>
  <c r="A87" i="76"/>
  <c r="B86" i="76"/>
  <c r="A86" i="76"/>
  <c r="B85" i="76"/>
  <c r="A85" i="76"/>
  <c r="B84" i="76"/>
  <c r="A84" i="76"/>
  <c r="B81" i="76"/>
  <c r="A81" i="76"/>
  <c r="B80" i="76"/>
  <c r="A80" i="76"/>
  <c r="B79" i="76"/>
  <c r="A79" i="76"/>
  <c r="B78" i="76"/>
  <c r="A78" i="76"/>
  <c r="B75" i="76"/>
  <c r="A75" i="76"/>
  <c r="B74" i="76"/>
  <c r="A74" i="76"/>
  <c r="B73" i="76"/>
  <c r="A73" i="76"/>
  <c r="B72" i="76"/>
  <c r="A72" i="76"/>
  <c r="B69" i="76"/>
  <c r="A69" i="76"/>
  <c r="B68" i="76"/>
  <c r="A68" i="76"/>
  <c r="B67" i="76"/>
  <c r="A67" i="76"/>
  <c r="B66" i="76"/>
  <c r="A66" i="76"/>
  <c r="B63" i="76"/>
  <c r="A63" i="76"/>
  <c r="B62" i="76"/>
  <c r="A62" i="76"/>
  <c r="B61" i="76"/>
  <c r="A61" i="76"/>
  <c r="B60" i="76"/>
  <c r="A60" i="76"/>
  <c r="B57" i="76"/>
  <c r="A57" i="76"/>
  <c r="B56" i="76"/>
  <c r="A56" i="76"/>
  <c r="B55" i="76"/>
  <c r="A55" i="76"/>
  <c r="B54" i="76"/>
  <c r="A54" i="76"/>
  <c r="B51" i="76"/>
  <c r="A51" i="76"/>
  <c r="B50" i="76"/>
  <c r="A50" i="76"/>
  <c r="B49" i="76"/>
  <c r="A49" i="76"/>
  <c r="B48" i="76"/>
  <c r="A48" i="76"/>
  <c r="B47" i="76"/>
  <c r="A47" i="76"/>
  <c r="B44" i="76"/>
  <c r="A44" i="76"/>
  <c r="B43" i="76"/>
  <c r="A43" i="76"/>
  <c r="B42" i="76"/>
  <c r="A42" i="76"/>
  <c r="B41" i="76"/>
  <c r="A41" i="76"/>
  <c r="B40" i="76"/>
  <c r="A40" i="76"/>
  <c r="B37" i="76"/>
  <c r="A37" i="76"/>
  <c r="B36" i="76"/>
  <c r="A36" i="76"/>
  <c r="B35" i="76"/>
  <c r="A35" i="76"/>
  <c r="B34" i="76"/>
  <c r="A34" i="76"/>
  <c r="B33" i="76"/>
  <c r="A33" i="76"/>
  <c r="B30" i="76"/>
  <c r="A30" i="76"/>
  <c r="B29" i="76"/>
  <c r="A29" i="76"/>
  <c r="B28" i="76"/>
  <c r="A28" i="76"/>
  <c r="B27" i="76"/>
  <c r="A27" i="76"/>
  <c r="B26" i="76"/>
  <c r="A26" i="76"/>
  <c r="B23" i="76"/>
  <c r="A23" i="76"/>
  <c r="B22" i="76"/>
  <c r="A22" i="76"/>
  <c r="B21" i="76"/>
  <c r="A21" i="76"/>
  <c r="B20" i="76"/>
  <c r="A20" i="76"/>
  <c r="B19" i="76"/>
  <c r="A19" i="76"/>
  <c r="G19" i="150" l="1"/>
  <c r="G253" i="150"/>
  <c r="G252" i="150"/>
  <c r="G251" i="150"/>
  <c r="G250" i="150"/>
  <c r="G249" i="150"/>
  <c r="G248" i="150"/>
  <c r="G247" i="150"/>
  <c r="G237" i="150"/>
  <c r="G236" i="150"/>
  <c r="G235" i="150"/>
  <c r="G234" i="150"/>
  <c r="G233" i="150"/>
  <c r="G232" i="150"/>
  <c r="G230" i="150"/>
  <c r="G229" i="150"/>
  <c r="G228" i="150"/>
  <c r="G227" i="150"/>
  <c r="G226" i="150"/>
  <c r="G225" i="150"/>
  <c r="G223" i="150"/>
  <c r="G222" i="150"/>
  <c r="G221" i="150"/>
  <c r="G220" i="150"/>
  <c r="G219" i="150"/>
  <c r="G218" i="150"/>
  <c r="G216" i="150"/>
  <c r="G215" i="150"/>
  <c r="G214" i="150"/>
  <c r="G213" i="150"/>
  <c r="G212" i="150"/>
  <c r="G211" i="150"/>
  <c r="G209" i="150"/>
  <c r="G208" i="150"/>
  <c r="G207" i="150"/>
  <c r="G206" i="150"/>
  <c r="G205" i="150"/>
  <c r="G204" i="150"/>
  <c r="G202" i="150"/>
  <c r="G201" i="150"/>
  <c r="G200" i="150"/>
  <c r="G199" i="150"/>
  <c r="G198" i="150"/>
  <c r="G197" i="150"/>
  <c r="G195" i="150"/>
  <c r="G194" i="150"/>
  <c r="G193" i="150"/>
  <c r="G192" i="150"/>
  <c r="G191" i="150"/>
  <c r="G190" i="150"/>
  <c r="G182" i="150"/>
  <c r="G181" i="150"/>
  <c r="G180" i="150"/>
  <c r="G179" i="150"/>
  <c r="G178" i="150"/>
  <c r="G177" i="150"/>
  <c r="G175" i="150"/>
  <c r="G174" i="150"/>
  <c r="G173" i="150"/>
  <c r="G172" i="150"/>
  <c r="G171" i="150"/>
  <c r="G170" i="150"/>
  <c r="G168" i="150"/>
  <c r="G167" i="150"/>
  <c r="G166" i="150"/>
  <c r="G165" i="150"/>
  <c r="G164" i="150"/>
  <c r="G163" i="150"/>
  <c r="G161" i="150"/>
  <c r="G160" i="150"/>
  <c r="G159" i="150"/>
  <c r="G158" i="150"/>
  <c r="G157" i="150"/>
  <c r="G156" i="150"/>
  <c r="G154" i="150"/>
  <c r="G153" i="150"/>
  <c r="G152" i="150"/>
  <c r="G151" i="150"/>
  <c r="G150" i="150"/>
  <c r="G149" i="150"/>
  <c r="G147" i="150"/>
  <c r="G146" i="150"/>
  <c r="G145" i="150"/>
  <c r="G144" i="150"/>
  <c r="G143" i="150"/>
  <c r="G142" i="150"/>
  <c r="G140" i="150"/>
  <c r="G139" i="150"/>
  <c r="G138" i="150"/>
  <c r="G137" i="150"/>
  <c r="G136" i="150"/>
  <c r="G135" i="150"/>
  <c r="G129" i="150"/>
  <c r="G128" i="150"/>
  <c r="G127" i="150"/>
  <c r="G126" i="150"/>
  <c r="G125" i="150"/>
  <c r="G124" i="150"/>
  <c r="G122" i="150"/>
  <c r="G121" i="150"/>
  <c r="G120" i="150"/>
  <c r="G119" i="150"/>
  <c r="G118" i="150"/>
  <c r="G117" i="150"/>
  <c r="G115" i="150"/>
  <c r="G114" i="150"/>
  <c r="G113" i="150"/>
  <c r="G112" i="150"/>
  <c r="G111" i="150"/>
  <c r="G110" i="150"/>
  <c r="G108" i="150"/>
  <c r="G107" i="150"/>
  <c r="G106" i="150"/>
  <c r="G105" i="150"/>
  <c r="G104" i="150"/>
  <c r="G103" i="150"/>
  <c r="G88" i="150"/>
  <c r="G87" i="150"/>
  <c r="G86" i="150"/>
  <c r="G85" i="150"/>
  <c r="G84" i="150"/>
  <c r="G82" i="150"/>
  <c r="G81" i="150"/>
  <c r="G80" i="150"/>
  <c r="G79" i="150"/>
  <c r="G78" i="150"/>
  <c r="G76" i="150"/>
  <c r="G75" i="150"/>
  <c r="G74" i="150"/>
  <c r="G73" i="150"/>
  <c r="G72" i="150"/>
  <c r="G70" i="150"/>
  <c r="G69" i="150"/>
  <c r="G68" i="150"/>
  <c r="G67" i="150"/>
  <c r="G66" i="150"/>
  <c r="G64" i="150"/>
  <c r="G63" i="150"/>
  <c r="G62" i="150"/>
  <c r="G61" i="150"/>
  <c r="G60" i="150"/>
  <c r="G58" i="150"/>
  <c r="G57" i="150"/>
  <c r="G56" i="150"/>
  <c r="G55" i="150"/>
  <c r="G54" i="150"/>
  <c r="G51" i="150"/>
  <c r="G50" i="150"/>
  <c r="G49" i="150"/>
  <c r="G48" i="150"/>
  <c r="G47" i="150"/>
  <c r="G44" i="150"/>
  <c r="G43" i="150"/>
  <c r="G42" i="150"/>
  <c r="G41" i="150"/>
  <c r="G40" i="150"/>
  <c r="G37" i="150"/>
  <c r="G36" i="150"/>
  <c r="G35" i="150"/>
  <c r="G34" i="150"/>
  <c r="G33" i="150"/>
  <c r="G23" i="150"/>
  <c r="G22" i="150"/>
  <c r="G21" i="150"/>
  <c r="G20" i="150"/>
  <c r="H12" i="152" l="1"/>
  <c r="E12" i="152"/>
  <c r="K277" i="152"/>
  <c r="J277" i="152"/>
  <c r="K274" i="152"/>
  <c r="J274" i="152"/>
  <c r="K273" i="152"/>
  <c r="J273" i="152"/>
  <c r="K272" i="152"/>
  <c r="J272" i="152"/>
  <c r="K271" i="152"/>
  <c r="J271" i="152"/>
  <c r="K270" i="152"/>
  <c r="J270" i="152"/>
  <c r="H275" i="152"/>
  <c r="G275" i="152"/>
  <c r="E275" i="152"/>
  <c r="D275" i="152"/>
  <c r="E58" i="152"/>
  <c r="A2" i="152"/>
  <c r="A2" i="150"/>
  <c r="L2" i="149"/>
  <c r="D70" i="152"/>
  <c r="E70" i="152"/>
  <c r="E82" i="152"/>
  <c r="D82" i="152"/>
  <c r="G110" i="152"/>
  <c r="G111" i="152"/>
  <c r="J111" i="152" s="1"/>
  <c r="G112" i="152"/>
  <c r="J112" i="152" s="1"/>
  <c r="G113" i="152"/>
  <c r="J113" i="152" s="1"/>
  <c r="G114" i="152"/>
  <c r="J114" i="152" s="1"/>
  <c r="D115" i="152"/>
  <c r="E115" i="152"/>
  <c r="G117" i="152"/>
  <c r="J117" i="152" s="1"/>
  <c r="G118" i="152"/>
  <c r="J118" i="152" s="1"/>
  <c r="G119" i="152"/>
  <c r="J119" i="152" s="1"/>
  <c r="G120" i="152"/>
  <c r="J120" i="152" s="1"/>
  <c r="G121" i="152"/>
  <c r="J121" i="152" s="1"/>
  <c r="D122" i="152"/>
  <c r="E122" i="152"/>
  <c r="G124" i="152"/>
  <c r="J124" i="152" s="1"/>
  <c r="G125" i="152"/>
  <c r="J125" i="152" s="1"/>
  <c r="G126" i="152"/>
  <c r="J126" i="152" s="1"/>
  <c r="G127" i="152"/>
  <c r="J127" i="152" s="1"/>
  <c r="G128" i="152"/>
  <c r="J128" i="152" s="1"/>
  <c r="D129" i="152"/>
  <c r="E129" i="152"/>
  <c r="D216" i="152"/>
  <c r="E216" i="152"/>
  <c r="E230" i="152"/>
  <c r="D253" i="152"/>
  <c r="D255" i="152" s="1"/>
  <c r="E253" i="152"/>
  <c r="E255" i="152" s="1"/>
  <c r="D264" i="152"/>
  <c r="D266" i="152" s="1"/>
  <c r="E264" i="152"/>
  <c r="E266" i="152" s="1"/>
  <c r="D128" i="150"/>
  <c r="D127" i="150"/>
  <c r="D126" i="150"/>
  <c r="D125" i="150"/>
  <c r="D124" i="150"/>
  <c r="D121" i="150"/>
  <c r="D120" i="150"/>
  <c r="D119" i="150"/>
  <c r="D118" i="150"/>
  <c r="D117" i="150"/>
  <c r="D114" i="150"/>
  <c r="D113" i="150"/>
  <c r="D112" i="150"/>
  <c r="D111" i="150"/>
  <c r="D110" i="150"/>
  <c r="E12" i="150"/>
  <c r="D12" i="150"/>
  <c r="M263" i="149"/>
  <c r="M262" i="149"/>
  <c r="M252" i="149"/>
  <c r="M251" i="149"/>
  <c r="M250" i="149"/>
  <c r="M249" i="149"/>
  <c r="M248" i="149"/>
  <c r="M247" i="149"/>
  <c r="M241" i="149"/>
  <c r="M239" i="149"/>
  <c r="M236" i="149"/>
  <c r="M235" i="149"/>
  <c r="M234" i="149"/>
  <c r="M233" i="149"/>
  <c r="M232" i="149"/>
  <c r="M229" i="149"/>
  <c r="M228" i="149"/>
  <c r="M227" i="149"/>
  <c r="M226" i="149"/>
  <c r="M225" i="149"/>
  <c r="M222" i="149"/>
  <c r="M221" i="149"/>
  <c r="M220" i="149"/>
  <c r="M219" i="149"/>
  <c r="M218" i="149"/>
  <c r="M215" i="149"/>
  <c r="M214" i="149"/>
  <c r="M213" i="149"/>
  <c r="M212" i="149"/>
  <c r="M211" i="149"/>
  <c r="M208" i="149"/>
  <c r="M207" i="149"/>
  <c r="M206" i="149"/>
  <c r="M205" i="149"/>
  <c r="M204" i="149"/>
  <c r="M201" i="149"/>
  <c r="M200" i="149"/>
  <c r="M199" i="149"/>
  <c r="M198" i="149"/>
  <c r="M197" i="149"/>
  <c r="M194" i="149"/>
  <c r="M193" i="149"/>
  <c r="M192" i="149"/>
  <c r="M191" i="149"/>
  <c r="M190" i="149"/>
  <c r="M184" i="149"/>
  <c r="M181" i="149"/>
  <c r="M180" i="149"/>
  <c r="M179" i="149"/>
  <c r="M178" i="149"/>
  <c r="M177" i="149"/>
  <c r="M174" i="149"/>
  <c r="M173" i="149"/>
  <c r="M172" i="149"/>
  <c r="M171" i="149"/>
  <c r="M170" i="149"/>
  <c r="M167" i="149"/>
  <c r="M166" i="149"/>
  <c r="M165" i="149"/>
  <c r="M164" i="149"/>
  <c r="M163" i="149"/>
  <c r="M160" i="149"/>
  <c r="M159" i="149"/>
  <c r="M158" i="149"/>
  <c r="M157" i="149"/>
  <c r="M156" i="149"/>
  <c r="M153" i="149"/>
  <c r="M152" i="149"/>
  <c r="M151" i="149"/>
  <c r="M150" i="149"/>
  <c r="M149" i="149"/>
  <c r="M146" i="149"/>
  <c r="M145" i="149"/>
  <c r="M144" i="149"/>
  <c r="M143" i="149"/>
  <c r="M142" i="149"/>
  <c r="M139" i="149"/>
  <c r="M138" i="149"/>
  <c r="M137" i="149"/>
  <c r="M136" i="149"/>
  <c r="M135" i="149"/>
  <c r="M128" i="149"/>
  <c r="M127" i="149"/>
  <c r="M126" i="149"/>
  <c r="M125" i="149"/>
  <c r="M124" i="149"/>
  <c r="M121" i="149"/>
  <c r="M120" i="149"/>
  <c r="M119" i="149"/>
  <c r="M118" i="149"/>
  <c r="M117" i="149"/>
  <c r="M114" i="149"/>
  <c r="M113" i="149"/>
  <c r="M112" i="149"/>
  <c r="M111" i="149"/>
  <c r="M110" i="149"/>
  <c r="M107" i="149"/>
  <c r="M106" i="149"/>
  <c r="M105" i="149"/>
  <c r="M104" i="149"/>
  <c r="M103" i="149"/>
  <c r="M92" i="149"/>
  <c r="M90" i="149"/>
  <c r="M87" i="149"/>
  <c r="M86" i="149"/>
  <c r="M85" i="149"/>
  <c r="M84" i="149"/>
  <c r="M81" i="149"/>
  <c r="M80" i="149"/>
  <c r="M79" i="149"/>
  <c r="M78" i="149"/>
  <c r="M75" i="149"/>
  <c r="M74" i="149"/>
  <c r="M73" i="149"/>
  <c r="M72" i="149"/>
  <c r="M69" i="149"/>
  <c r="M68" i="149"/>
  <c r="M67" i="149"/>
  <c r="M66" i="149"/>
  <c r="M63" i="149"/>
  <c r="M62" i="149"/>
  <c r="M61" i="149"/>
  <c r="M60" i="149"/>
  <c r="M57" i="149"/>
  <c r="M56" i="149"/>
  <c r="M55" i="149"/>
  <c r="M54" i="149"/>
  <c r="M51" i="149"/>
  <c r="M50" i="149"/>
  <c r="M49" i="149"/>
  <c r="M48" i="149"/>
  <c r="M47" i="149"/>
  <c r="M44" i="149"/>
  <c r="M43" i="149"/>
  <c r="M42" i="149"/>
  <c r="M41" i="149"/>
  <c r="M40" i="149"/>
  <c r="M37" i="149"/>
  <c r="M36" i="149"/>
  <c r="M35" i="149"/>
  <c r="M34" i="149"/>
  <c r="M33" i="149"/>
  <c r="M30" i="149"/>
  <c r="M29" i="149"/>
  <c r="M28" i="149"/>
  <c r="M27" i="149"/>
  <c r="M26" i="149"/>
  <c r="M23" i="149"/>
  <c r="M22" i="149"/>
  <c r="M21" i="149"/>
  <c r="M20" i="149"/>
  <c r="M19" i="149"/>
  <c r="L263" i="149"/>
  <c r="L262" i="149"/>
  <c r="L252" i="149"/>
  <c r="L251" i="149"/>
  <c r="L250" i="149"/>
  <c r="L249" i="149"/>
  <c r="L248" i="149"/>
  <c r="L247" i="149"/>
  <c r="L241" i="149"/>
  <c r="L239" i="149"/>
  <c r="L236" i="149"/>
  <c r="L235" i="149"/>
  <c r="L234" i="149"/>
  <c r="L233" i="149"/>
  <c r="L232" i="149"/>
  <c r="L229" i="149"/>
  <c r="L228" i="149"/>
  <c r="L227" i="149"/>
  <c r="L226" i="149"/>
  <c r="L225" i="149"/>
  <c r="L222" i="149"/>
  <c r="L221" i="149"/>
  <c r="L220" i="149"/>
  <c r="L219" i="149"/>
  <c r="L218" i="149"/>
  <c r="L215" i="149"/>
  <c r="L214" i="149"/>
  <c r="L213" i="149"/>
  <c r="L212" i="149"/>
  <c r="L211" i="149"/>
  <c r="L208" i="149"/>
  <c r="L207" i="149"/>
  <c r="L206" i="149"/>
  <c r="L205" i="149"/>
  <c r="L204" i="149"/>
  <c r="L201" i="149"/>
  <c r="L200" i="149"/>
  <c r="L199" i="149"/>
  <c r="L198" i="149"/>
  <c r="L197" i="149"/>
  <c r="L194" i="149"/>
  <c r="L193" i="149"/>
  <c r="L192" i="149"/>
  <c r="L191" i="149"/>
  <c r="L190" i="149"/>
  <c r="L184" i="149"/>
  <c r="L181" i="149"/>
  <c r="L180" i="149"/>
  <c r="L179" i="149"/>
  <c r="L178" i="149"/>
  <c r="L177" i="149"/>
  <c r="L174" i="149"/>
  <c r="L173" i="149"/>
  <c r="L172" i="149"/>
  <c r="L171" i="149"/>
  <c r="L170" i="149"/>
  <c r="L167" i="149"/>
  <c r="L166" i="149"/>
  <c r="L165" i="149"/>
  <c r="L164" i="149"/>
  <c r="L163" i="149"/>
  <c r="L160" i="149"/>
  <c r="L159" i="149"/>
  <c r="L158" i="149"/>
  <c r="L157" i="149"/>
  <c r="L156" i="149"/>
  <c r="L153" i="149"/>
  <c r="L152" i="149"/>
  <c r="L151" i="149"/>
  <c r="L150" i="149"/>
  <c r="L149" i="149"/>
  <c r="L146" i="149"/>
  <c r="L145" i="149"/>
  <c r="L144" i="149"/>
  <c r="L143" i="149"/>
  <c r="L142" i="149"/>
  <c r="L139" i="149"/>
  <c r="L138" i="149"/>
  <c r="L137" i="149"/>
  <c r="L136" i="149"/>
  <c r="L135" i="149"/>
  <c r="L128" i="149"/>
  <c r="L127" i="149"/>
  <c r="L126" i="149"/>
  <c r="L125" i="149"/>
  <c r="L124" i="149"/>
  <c r="L121" i="149"/>
  <c r="L120" i="149"/>
  <c r="L119" i="149"/>
  <c r="L118" i="149"/>
  <c r="L117" i="149"/>
  <c r="L114" i="149"/>
  <c r="L113" i="149"/>
  <c r="L112" i="149"/>
  <c r="L111" i="149"/>
  <c r="L110" i="149"/>
  <c r="L107" i="149"/>
  <c r="L106" i="149"/>
  <c r="L105" i="149"/>
  <c r="L104" i="149"/>
  <c r="L103" i="149"/>
  <c r="L92" i="149"/>
  <c r="L90" i="149"/>
  <c r="L87" i="149"/>
  <c r="L86" i="149"/>
  <c r="L85" i="149"/>
  <c r="L84" i="149"/>
  <c r="L81" i="149"/>
  <c r="L80" i="149"/>
  <c r="L79" i="149"/>
  <c r="L78" i="149"/>
  <c r="L75" i="149"/>
  <c r="L74" i="149"/>
  <c r="L73" i="149"/>
  <c r="L72" i="149"/>
  <c r="L69" i="149"/>
  <c r="L68" i="149"/>
  <c r="L67" i="149"/>
  <c r="L66" i="149"/>
  <c r="L63" i="149"/>
  <c r="L62" i="149"/>
  <c r="L61" i="149"/>
  <c r="L60" i="149"/>
  <c r="L57" i="149"/>
  <c r="L56" i="149"/>
  <c r="L55" i="149"/>
  <c r="L54" i="149"/>
  <c r="L51" i="149"/>
  <c r="L50" i="149"/>
  <c r="L49" i="149"/>
  <c r="L48" i="149"/>
  <c r="L47" i="149"/>
  <c r="L44" i="149"/>
  <c r="L43" i="149"/>
  <c r="L42" i="149"/>
  <c r="L41" i="149"/>
  <c r="L40" i="149"/>
  <c r="L37" i="149"/>
  <c r="L36" i="149"/>
  <c r="L35" i="149"/>
  <c r="L34" i="149"/>
  <c r="L33" i="149"/>
  <c r="L30" i="149"/>
  <c r="L29" i="149"/>
  <c r="L28" i="149"/>
  <c r="L27" i="149"/>
  <c r="L26" i="149"/>
  <c r="L23" i="149"/>
  <c r="L22" i="149"/>
  <c r="L21" i="149"/>
  <c r="L20" i="149"/>
  <c r="L19" i="149"/>
  <c r="O271" i="149"/>
  <c r="S271" i="149" s="1"/>
  <c r="H282" i="152" s="1"/>
  <c r="K282" i="152" s="1"/>
  <c r="D271" i="149"/>
  <c r="G282" i="152" s="1"/>
  <c r="J282" i="152" s="1"/>
  <c r="Q264" i="149"/>
  <c r="Q266" i="149" s="1"/>
  <c r="I264" i="149"/>
  <c r="I266" i="149" s="1"/>
  <c r="O263" i="149"/>
  <c r="S263" i="149" s="1"/>
  <c r="E263" i="149" s="1"/>
  <c r="H263" i="152" s="1"/>
  <c r="K263" i="152" s="1"/>
  <c r="D263" i="149"/>
  <c r="D263" i="150" s="1"/>
  <c r="G263" i="150" s="1"/>
  <c r="O262" i="149"/>
  <c r="D262" i="149"/>
  <c r="D262" i="150" s="1"/>
  <c r="G262" i="150" s="1"/>
  <c r="Q253" i="149"/>
  <c r="Q255" i="149" s="1"/>
  <c r="S252" i="149"/>
  <c r="E252" i="149" s="1"/>
  <c r="G252" i="152"/>
  <c r="J252" i="152" s="1"/>
  <c r="S251" i="149"/>
  <c r="E251" i="149" s="1"/>
  <c r="G251" i="152"/>
  <c r="J251" i="152" s="1"/>
  <c r="S250" i="149"/>
  <c r="E250" i="149" s="1"/>
  <c r="S249" i="149"/>
  <c r="E249" i="149" s="1"/>
  <c r="G249" i="149" s="1"/>
  <c r="S248" i="149"/>
  <c r="E248" i="149" s="1"/>
  <c r="G248" i="149" s="1"/>
  <c r="G248" i="152"/>
  <c r="G247" i="152"/>
  <c r="O241" i="149"/>
  <c r="S241" i="149" s="1"/>
  <c r="E241" i="149" s="1"/>
  <c r="D241" i="149"/>
  <c r="G241" i="152" s="1"/>
  <c r="J241" i="152" s="1"/>
  <c r="O239" i="149"/>
  <c r="S239" i="149" s="1"/>
  <c r="E239" i="149" s="1"/>
  <c r="H239" i="152" s="1"/>
  <c r="K239" i="152" s="1"/>
  <c r="D239" i="149"/>
  <c r="Q237" i="149"/>
  <c r="S236" i="149"/>
  <c r="E236" i="149" s="1"/>
  <c r="S235" i="149"/>
  <c r="E235" i="149" s="1"/>
  <c r="G235" i="152"/>
  <c r="S234" i="149"/>
  <c r="E234" i="149" s="1"/>
  <c r="S233" i="149"/>
  <c r="E233" i="149" s="1"/>
  <c r="G233" i="149" s="1"/>
  <c r="S232" i="149"/>
  <c r="Q230" i="149"/>
  <c r="Q223" i="149"/>
  <c r="Q216" i="149"/>
  <c r="Q209" i="149"/>
  <c r="Q202" i="149"/>
  <c r="Q195" i="149"/>
  <c r="O184" i="149"/>
  <c r="S184" i="149" s="1"/>
  <c r="E184" i="149" s="1"/>
  <c r="D184" i="149"/>
  <c r="Q182" i="149"/>
  <c r="Q175" i="149"/>
  <c r="Q168" i="149"/>
  <c r="Q161" i="149"/>
  <c r="Q154" i="149"/>
  <c r="Q147" i="149"/>
  <c r="Q140" i="149"/>
  <c r="Q129" i="149"/>
  <c r="O129" i="149"/>
  <c r="G129" i="149"/>
  <c r="J129" i="149" s="1"/>
  <c r="D129" i="149"/>
  <c r="F129" i="149" s="1"/>
  <c r="S128" i="149"/>
  <c r="E128" i="149" s="1"/>
  <c r="I128" i="149" s="1"/>
  <c r="J128" i="149"/>
  <c r="H128" i="149"/>
  <c r="F128" i="149"/>
  <c r="S127" i="149"/>
  <c r="J127" i="149"/>
  <c r="H127" i="149"/>
  <c r="F127" i="149"/>
  <c r="E127" i="149"/>
  <c r="I127" i="149" s="1"/>
  <c r="S126" i="149"/>
  <c r="E126" i="149" s="1"/>
  <c r="H126" i="152" s="1"/>
  <c r="K126" i="152" s="1"/>
  <c r="J126" i="149"/>
  <c r="H126" i="149"/>
  <c r="F126" i="149"/>
  <c r="S125" i="149"/>
  <c r="J125" i="149"/>
  <c r="H125" i="149"/>
  <c r="F125" i="149"/>
  <c r="E125" i="149"/>
  <c r="I125" i="149" s="1"/>
  <c r="S124" i="149"/>
  <c r="J124" i="149"/>
  <c r="H124" i="149"/>
  <c r="F124" i="149"/>
  <c r="Q122" i="149"/>
  <c r="O122" i="149"/>
  <c r="G122" i="149"/>
  <c r="J122" i="149" s="1"/>
  <c r="D122" i="149"/>
  <c r="H122" i="149" s="1"/>
  <c r="S121" i="149"/>
  <c r="E121" i="149" s="1"/>
  <c r="H121" i="152" s="1"/>
  <c r="K121" i="152" s="1"/>
  <c r="J121" i="149"/>
  <c r="H121" i="149"/>
  <c r="F121" i="149"/>
  <c r="S120" i="149"/>
  <c r="J120" i="149"/>
  <c r="H120" i="149"/>
  <c r="F120" i="149"/>
  <c r="E120" i="149"/>
  <c r="I120" i="149" s="1"/>
  <c r="S119" i="149"/>
  <c r="E119" i="149" s="1"/>
  <c r="I119" i="149" s="1"/>
  <c r="J119" i="149"/>
  <c r="H119" i="149"/>
  <c r="F119" i="149"/>
  <c r="S118" i="149"/>
  <c r="J118" i="149"/>
  <c r="H118" i="149"/>
  <c r="F118" i="149"/>
  <c r="E118" i="149"/>
  <c r="I118" i="149" s="1"/>
  <c r="S117" i="149"/>
  <c r="J117" i="149"/>
  <c r="H117" i="149"/>
  <c r="F117" i="149"/>
  <c r="Q115" i="149"/>
  <c r="O115" i="149"/>
  <c r="G115" i="149"/>
  <c r="J115" i="149" s="1"/>
  <c r="D115" i="149"/>
  <c r="F115" i="149" s="1"/>
  <c r="S114" i="149"/>
  <c r="E114" i="149" s="1"/>
  <c r="H114" i="152" s="1"/>
  <c r="K114" i="152" s="1"/>
  <c r="J114" i="149"/>
  <c r="H114" i="149"/>
  <c r="F114" i="149"/>
  <c r="S113" i="149"/>
  <c r="J113" i="149"/>
  <c r="H113" i="149"/>
  <c r="F113" i="149"/>
  <c r="E113" i="149"/>
  <c r="I113" i="149" s="1"/>
  <c r="S112" i="149"/>
  <c r="E112" i="149" s="1"/>
  <c r="H112" i="152" s="1"/>
  <c r="K112" i="152" s="1"/>
  <c r="J112" i="149"/>
  <c r="H112" i="149"/>
  <c r="F112" i="149"/>
  <c r="S111" i="149"/>
  <c r="J111" i="149"/>
  <c r="H111" i="149"/>
  <c r="F111" i="149"/>
  <c r="E111" i="149"/>
  <c r="I111" i="149" s="1"/>
  <c r="S110" i="149"/>
  <c r="J110" i="149"/>
  <c r="H110" i="149"/>
  <c r="F110" i="149"/>
  <c r="Q108" i="149"/>
  <c r="O92" i="149"/>
  <c r="S92" i="149" s="1"/>
  <c r="E92" i="149" s="1"/>
  <c r="E92" i="150" s="1"/>
  <c r="D92" i="149"/>
  <c r="G92" i="152" s="1"/>
  <c r="J92" i="152" s="1"/>
  <c r="O90" i="149"/>
  <c r="S90" i="149" s="1"/>
  <c r="E90" i="149" s="1"/>
  <c r="D90" i="149"/>
  <c r="G90" i="152" s="1"/>
  <c r="J90" i="152" s="1"/>
  <c r="Q88" i="149"/>
  <c r="Q82" i="149"/>
  <c r="Q76" i="149"/>
  <c r="Q70" i="149"/>
  <c r="Q64" i="149"/>
  <c r="Q58" i="149"/>
  <c r="Q52" i="149"/>
  <c r="Q45" i="149"/>
  <c r="Q38" i="149"/>
  <c r="Q31" i="149"/>
  <c r="Q24" i="149"/>
  <c r="S12" i="149"/>
  <c r="O12" i="149"/>
  <c r="E12" i="149"/>
  <c r="D12" i="149"/>
  <c r="J263" i="150" l="1"/>
  <c r="J262" i="150"/>
  <c r="K275" i="152"/>
  <c r="E271" i="150"/>
  <c r="H113" i="152"/>
  <c r="K113" i="152" s="1"/>
  <c r="I126" i="149"/>
  <c r="D271" i="150"/>
  <c r="E121" i="150"/>
  <c r="Q94" i="149"/>
  <c r="Q97" i="149" s="1"/>
  <c r="Q131" i="149"/>
  <c r="I112" i="149"/>
  <c r="I121" i="149"/>
  <c r="H118" i="152"/>
  <c r="K118" i="152" s="1"/>
  <c r="H111" i="152"/>
  <c r="K111" i="152" s="1"/>
  <c r="E113" i="150"/>
  <c r="E127" i="150"/>
  <c r="E112" i="150"/>
  <c r="E114" i="150"/>
  <c r="E118" i="150"/>
  <c r="E120" i="150"/>
  <c r="E126" i="150"/>
  <c r="E128" i="150"/>
  <c r="H127" i="152"/>
  <c r="K127" i="152" s="1"/>
  <c r="H125" i="152"/>
  <c r="H120" i="152"/>
  <c r="K120" i="152" s="1"/>
  <c r="J275" i="152"/>
  <c r="F122" i="149"/>
  <c r="E111" i="150"/>
  <c r="E119" i="150"/>
  <c r="E125" i="150"/>
  <c r="H128" i="152"/>
  <c r="K128" i="152" s="1"/>
  <c r="H119" i="152"/>
  <c r="K119" i="152" s="1"/>
  <c r="E250" i="150"/>
  <c r="G250" i="149"/>
  <c r="E252" i="150"/>
  <c r="G252" i="149"/>
  <c r="I114" i="149"/>
  <c r="E251" i="150"/>
  <c r="G251" i="149"/>
  <c r="J251" i="149" s="1"/>
  <c r="H234" i="152"/>
  <c r="K234" i="152" s="1"/>
  <c r="G234" i="149"/>
  <c r="H235" i="152"/>
  <c r="K235" i="152" s="1"/>
  <c r="G235" i="149"/>
  <c r="H236" i="152"/>
  <c r="K236" i="152" s="1"/>
  <c r="G236" i="149"/>
  <c r="J236" i="149" s="1"/>
  <c r="D115" i="150"/>
  <c r="H110" i="150"/>
  <c r="H112" i="150"/>
  <c r="H114" i="150"/>
  <c r="H118" i="150"/>
  <c r="H120" i="150"/>
  <c r="D129" i="150"/>
  <c r="H124" i="150"/>
  <c r="H126" i="150"/>
  <c r="H128" i="150"/>
  <c r="H111" i="150"/>
  <c r="H113" i="150"/>
  <c r="D122" i="150"/>
  <c r="H117" i="150"/>
  <c r="H119" i="150"/>
  <c r="H121" i="150"/>
  <c r="H125" i="150"/>
  <c r="H127" i="150"/>
  <c r="G122" i="152"/>
  <c r="D58" i="152"/>
  <c r="D202" i="152"/>
  <c r="J248" i="152"/>
  <c r="J235" i="152"/>
  <c r="D223" i="152"/>
  <c r="E52" i="152"/>
  <c r="E24" i="152"/>
  <c r="G262" i="152"/>
  <c r="J262" i="152" s="1"/>
  <c r="D230" i="152"/>
  <c r="E223" i="152"/>
  <c r="E202" i="152"/>
  <c r="D154" i="152"/>
  <c r="E140" i="152"/>
  <c r="H92" i="152"/>
  <c r="K92" i="152" s="1"/>
  <c r="D76" i="152"/>
  <c r="D52" i="152"/>
  <c r="D38" i="152"/>
  <c r="D24" i="152"/>
  <c r="D237" i="152"/>
  <c r="D209" i="152"/>
  <c r="E147" i="152"/>
  <c r="D140" i="152"/>
  <c r="E45" i="152"/>
  <c r="F248" i="149"/>
  <c r="E237" i="152"/>
  <c r="E209" i="152"/>
  <c r="D161" i="152"/>
  <c r="D147" i="152"/>
  <c r="D88" i="152"/>
  <c r="D64" i="152"/>
  <c r="D45" i="152"/>
  <c r="D31" i="152"/>
  <c r="E249" i="150"/>
  <c r="H249" i="152"/>
  <c r="K249" i="152" s="1"/>
  <c r="E233" i="150"/>
  <c r="H233" i="152"/>
  <c r="K233" i="152" s="1"/>
  <c r="E90" i="150"/>
  <c r="H90" i="152"/>
  <c r="K90" i="152" s="1"/>
  <c r="E184" i="150"/>
  <c r="H184" i="152"/>
  <c r="K184" i="152" s="1"/>
  <c r="D234" i="150"/>
  <c r="G234" i="152"/>
  <c r="J234" i="152" s="1"/>
  <c r="D236" i="150"/>
  <c r="G236" i="152"/>
  <c r="J236" i="152" s="1"/>
  <c r="D239" i="150"/>
  <c r="G239" i="152"/>
  <c r="J239" i="152" s="1"/>
  <c r="E241" i="150"/>
  <c r="H241" i="152"/>
  <c r="K241" i="152" s="1"/>
  <c r="D233" i="150"/>
  <c r="G233" i="152"/>
  <c r="J233" i="152" s="1"/>
  <c r="J247" i="152"/>
  <c r="D249" i="150"/>
  <c r="G249" i="152"/>
  <c r="J249" i="152" s="1"/>
  <c r="E154" i="152"/>
  <c r="K125" i="152"/>
  <c r="E248" i="150"/>
  <c r="H248" i="152"/>
  <c r="K248" i="152" s="1"/>
  <c r="D250" i="150"/>
  <c r="G250" i="152"/>
  <c r="J250" i="152" s="1"/>
  <c r="H251" i="152"/>
  <c r="K251" i="152" s="1"/>
  <c r="E182" i="152"/>
  <c r="D232" i="150"/>
  <c r="G232" i="152"/>
  <c r="D184" i="150"/>
  <c r="G184" i="152"/>
  <c r="J184" i="152" s="1"/>
  <c r="H252" i="152"/>
  <c r="K252" i="152" s="1"/>
  <c r="H250" i="152"/>
  <c r="K250" i="152" s="1"/>
  <c r="E195" i="152"/>
  <c r="E161" i="152"/>
  <c r="G263" i="152"/>
  <c r="J263" i="152" s="1"/>
  <c r="E168" i="152"/>
  <c r="D195" i="152"/>
  <c r="D182" i="152"/>
  <c r="D168" i="152"/>
  <c r="J129" i="152"/>
  <c r="E108" i="152"/>
  <c r="E131" i="152" s="1"/>
  <c r="E31" i="152"/>
  <c r="E175" i="152"/>
  <c r="E38" i="152"/>
  <c r="D175" i="152"/>
  <c r="J122" i="152"/>
  <c r="J110" i="152"/>
  <c r="J115" i="152" s="1"/>
  <c r="G115" i="152"/>
  <c r="D108" i="152"/>
  <c r="D131" i="152" s="1"/>
  <c r="E88" i="152"/>
  <c r="E76" i="152"/>
  <c r="E64" i="152"/>
  <c r="G129" i="152"/>
  <c r="F90" i="149"/>
  <c r="D90" i="150"/>
  <c r="J234" i="149"/>
  <c r="E234" i="150"/>
  <c r="E239" i="150"/>
  <c r="G239" i="149"/>
  <c r="J239" i="149" s="1"/>
  <c r="E236" i="150"/>
  <c r="F92" i="149"/>
  <c r="D92" i="150"/>
  <c r="E235" i="150"/>
  <c r="J235" i="149"/>
  <c r="H251" i="149"/>
  <c r="D251" i="150"/>
  <c r="G263" i="149"/>
  <c r="J263" i="149" s="1"/>
  <c r="E263" i="150"/>
  <c r="F235" i="149"/>
  <c r="D235" i="150"/>
  <c r="H241" i="149"/>
  <c r="D241" i="150"/>
  <c r="D253" i="149"/>
  <c r="D255" i="149" s="1"/>
  <c r="D247" i="150"/>
  <c r="D264" i="150"/>
  <c r="D266" i="150" s="1"/>
  <c r="F233" i="149"/>
  <c r="F241" i="149"/>
  <c r="F252" i="149"/>
  <c r="D252" i="150"/>
  <c r="O264" i="149"/>
  <c r="O266" i="149" s="1"/>
  <c r="O237" i="149"/>
  <c r="H235" i="149"/>
  <c r="H248" i="149"/>
  <c r="D248" i="150"/>
  <c r="J250" i="149"/>
  <c r="J252" i="149"/>
  <c r="G90" i="149"/>
  <c r="J90" i="149" s="1"/>
  <c r="G92" i="149"/>
  <c r="J92" i="149" s="1"/>
  <c r="S129" i="149"/>
  <c r="E124" i="149"/>
  <c r="S115" i="149"/>
  <c r="E110" i="149"/>
  <c r="G184" i="149"/>
  <c r="J184" i="149" s="1"/>
  <c r="J233" i="149"/>
  <c r="S122" i="149"/>
  <c r="E117" i="149"/>
  <c r="H115" i="149"/>
  <c r="H129" i="149"/>
  <c r="G241" i="149"/>
  <c r="J241" i="149" s="1"/>
  <c r="Q186" i="149"/>
  <c r="F184" i="149"/>
  <c r="Q243" i="149"/>
  <c r="D237" i="149"/>
  <c r="F234" i="149"/>
  <c r="O253" i="149"/>
  <c r="O255" i="149" s="1"/>
  <c r="J248" i="149"/>
  <c r="F249" i="149"/>
  <c r="J249" i="149"/>
  <c r="E232" i="149"/>
  <c r="G232" i="149" s="1"/>
  <c r="S237" i="149"/>
  <c r="I235" i="149"/>
  <c r="F236" i="149"/>
  <c r="E271" i="149"/>
  <c r="F250" i="149"/>
  <c r="H252" i="149"/>
  <c r="S262" i="149"/>
  <c r="F239" i="149"/>
  <c r="S247" i="149"/>
  <c r="F251" i="149"/>
  <c r="F263" i="149"/>
  <c r="D264" i="149"/>
  <c r="S45" i="123"/>
  <c r="S44" i="123"/>
  <c r="S43" i="123"/>
  <c r="S39" i="123"/>
  <c r="S38" i="123"/>
  <c r="S37" i="123"/>
  <c r="S33" i="123"/>
  <c r="S32" i="123"/>
  <c r="S31" i="123"/>
  <c r="S27" i="123"/>
  <c r="S26" i="123"/>
  <c r="S25" i="123"/>
  <c r="S21" i="123"/>
  <c r="S20" i="123"/>
  <c r="S19" i="123"/>
  <c r="S15" i="123"/>
  <c r="S14" i="123"/>
  <c r="S13" i="123"/>
  <c r="S44" i="119"/>
  <c r="S43" i="119"/>
  <c r="S42" i="119"/>
  <c r="S41" i="119"/>
  <c r="S37" i="119"/>
  <c r="S36" i="119"/>
  <c r="S35" i="119"/>
  <c r="S34" i="119"/>
  <c r="S30" i="119"/>
  <c r="S29" i="119"/>
  <c r="S28" i="119"/>
  <c r="S27" i="119"/>
  <c r="S23" i="119"/>
  <c r="S22" i="119"/>
  <c r="S21" i="119"/>
  <c r="S20" i="119"/>
  <c r="S16" i="119"/>
  <c r="S15" i="119"/>
  <c r="S14" i="119"/>
  <c r="S13" i="119"/>
  <c r="S44" i="91"/>
  <c r="S43" i="91"/>
  <c r="S42" i="91"/>
  <c r="S41" i="91"/>
  <c r="S37" i="91"/>
  <c r="S36" i="91"/>
  <c r="S35" i="91"/>
  <c r="S34" i="91"/>
  <c r="S30" i="91"/>
  <c r="S29" i="91"/>
  <c r="S28" i="91"/>
  <c r="S27" i="91"/>
  <c r="S23" i="91"/>
  <c r="S22" i="91"/>
  <c r="S21" i="91"/>
  <c r="S20" i="91"/>
  <c r="S16" i="91"/>
  <c r="S15" i="91"/>
  <c r="S14" i="91"/>
  <c r="S13" i="91"/>
  <c r="S44" i="90"/>
  <c r="S43" i="90"/>
  <c r="S42" i="90"/>
  <c r="S41" i="90"/>
  <c r="S37" i="90"/>
  <c r="S36" i="90"/>
  <c r="S35" i="90"/>
  <c r="S34" i="90"/>
  <c r="S30" i="90"/>
  <c r="S29" i="90"/>
  <c r="S28" i="90"/>
  <c r="S27" i="90"/>
  <c r="S23" i="90"/>
  <c r="S22" i="90"/>
  <c r="S21" i="90"/>
  <c r="S20" i="90"/>
  <c r="S16" i="90"/>
  <c r="S15" i="90"/>
  <c r="S14" i="90"/>
  <c r="S13" i="90"/>
  <c r="S44" i="70"/>
  <c r="S43" i="70"/>
  <c r="S42" i="70"/>
  <c r="S41" i="70"/>
  <c r="S37" i="70"/>
  <c r="S36" i="70"/>
  <c r="S35" i="70"/>
  <c r="S34" i="70"/>
  <c r="S30" i="70"/>
  <c r="S29" i="70"/>
  <c r="S28" i="70"/>
  <c r="S27" i="70"/>
  <c r="S23" i="70"/>
  <c r="S22" i="70"/>
  <c r="S21" i="70"/>
  <c r="S20" i="70"/>
  <c r="S16" i="70"/>
  <c r="S15" i="70"/>
  <c r="S14" i="70"/>
  <c r="S13" i="70"/>
  <c r="S44" i="66"/>
  <c r="S43" i="66"/>
  <c r="S42" i="66"/>
  <c r="S41" i="66"/>
  <c r="S37" i="66"/>
  <c r="S36" i="66"/>
  <c r="S35" i="66"/>
  <c r="S34" i="66"/>
  <c r="S30" i="66"/>
  <c r="S29" i="66"/>
  <c r="S28" i="66"/>
  <c r="S27" i="66"/>
  <c r="S23" i="66"/>
  <c r="S22" i="66"/>
  <c r="S21" i="66"/>
  <c r="S20" i="66"/>
  <c r="S16" i="66"/>
  <c r="S15" i="66"/>
  <c r="S14" i="66"/>
  <c r="S13" i="66"/>
  <c r="S44" i="64"/>
  <c r="S43" i="64"/>
  <c r="S42" i="64"/>
  <c r="S41" i="64"/>
  <c r="S37" i="64"/>
  <c r="S36" i="64"/>
  <c r="S35" i="64"/>
  <c r="S34" i="64"/>
  <c r="S30" i="64"/>
  <c r="S29" i="64"/>
  <c r="S28" i="64"/>
  <c r="S27" i="64"/>
  <c r="S23" i="64"/>
  <c r="S22" i="64"/>
  <c r="S21" i="64"/>
  <c r="S20" i="64"/>
  <c r="S16" i="64"/>
  <c r="S15" i="64"/>
  <c r="S14" i="64"/>
  <c r="S13" i="64"/>
  <c r="S44" i="62"/>
  <c r="S43" i="62"/>
  <c r="S42" i="62"/>
  <c r="S41" i="62"/>
  <c r="S37" i="62"/>
  <c r="S36" i="62"/>
  <c r="S35" i="62"/>
  <c r="S34" i="62"/>
  <c r="S30" i="62"/>
  <c r="S29" i="62"/>
  <c r="S28" i="62"/>
  <c r="S27" i="62"/>
  <c r="S23" i="62"/>
  <c r="S22" i="62"/>
  <c r="S21" i="62"/>
  <c r="S20" i="62"/>
  <c r="S16" i="62"/>
  <c r="S15" i="62"/>
  <c r="S14" i="62"/>
  <c r="S13" i="62"/>
  <c r="S44" i="89"/>
  <c r="S43" i="89"/>
  <c r="S42" i="89"/>
  <c r="S41" i="89"/>
  <c r="S37" i="89"/>
  <c r="S36" i="89"/>
  <c r="S35" i="89"/>
  <c r="S34" i="89"/>
  <c r="S30" i="89"/>
  <c r="S29" i="89"/>
  <c r="S28" i="89"/>
  <c r="S27" i="89"/>
  <c r="S23" i="89"/>
  <c r="S22" i="89"/>
  <c r="S21" i="89"/>
  <c r="S20" i="89"/>
  <c r="S16" i="89"/>
  <c r="S15" i="89"/>
  <c r="S14" i="89"/>
  <c r="S13" i="89"/>
  <c r="Q43" i="89"/>
  <c r="P43" i="89"/>
  <c r="O43" i="89"/>
  <c r="N43" i="89"/>
  <c r="M43" i="89"/>
  <c r="L43" i="89"/>
  <c r="K43" i="89"/>
  <c r="J43" i="89"/>
  <c r="I43" i="89"/>
  <c r="H43" i="89"/>
  <c r="G43" i="89"/>
  <c r="F43" i="89"/>
  <c r="E43" i="89"/>
  <c r="C43" i="89"/>
  <c r="Q36" i="89"/>
  <c r="P36" i="89"/>
  <c r="O36" i="89"/>
  <c r="N36" i="89"/>
  <c r="M36" i="89"/>
  <c r="L36" i="89"/>
  <c r="K36" i="89"/>
  <c r="J36" i="89"/>
  <c r="I36" i="89"/>
  <c r="H36" i="89"/>
  <c r="G36" i="89"/>
  <c r="F36" i="89"/>
  <c r="E36" i="89"/>
  <c r="C36" i="89"/>
  <c r="Q29" i="89"/>
  <c r="P29" i="89"/>
  <c r="O29" i="89"/>
  <c r="N29" i="89"/>
  <c r="M29" i="89"/>
  <c r="L29" i="89"/>
  <c r="K29" i="89"/>
  <c r="J29" i="89"/>
  <c r="I29" i="89"/>
  <c r="H29" i="89"/>
  <c r="G29" i="89"/>
  <c r="F29" i="89"/>
  <c r="E29" i="89"/>
  <c r="C29" i="89"/>
  <c r="Q22" i="89"/>
  <c r="P22" i="89"/>
  <c r="O22" i="89"/>
  <c r="N22" i="89"/>
  <c r="M22" i="89"/>
  <c r="L22" i="89"/>
  <c r="K22" i="89"/>
  <c r="J22" i="89"/>
  <c r="I22" i="89"/>
  <c r="H22" i="89"/>
  <c r="G22" i="89"/>
  <c r="F22" i="89"/>
  <c r="E22" i="89"/>
  <c r="C22" i="89"/>
  <c r="Q15" i="89"/>
  <c r="P15" i="89"/>
  <c r="O15" i="89"/>
  <c r="N15" i="89"/>
  <c r="M15" i="89"/>
  <c r="L15" i="89"/>
  <c r="K15" i="89"/>
  <c r="J15" i="89"/>
  <c r="I15" i="89"/>
  <c r="H15" i="89"/>
  <c r="G15" i="89"/>
  <c r="F15" i="89"/>
  <c r="E15" i="89"/>
  <c r="C15" i="89"/>
  <c r="S44" i="88"/>
  <c r="S43" i="88"/>
  <c r="S42" i="88"/>
  <c r="S41" i="88"/>
  <c r="S37" i="88"/>
  <c r="S36" i="88"/>
  <c r="S35" i="88"/>
  <c r="S34" i="88"/>
  <c r="S30" i="88"/>
  <c r="S29" i="88"/>
  <c r="S28" i="88"/>
  <c r="S27" i="88"/>
  <c r="S23" i="88"/>
  <c r="S22" i="88"/>
  <c r="S21" i="88"/>
  <c r="S20" i="88"/>
  <c r="S16" i="88"/>
  <c r="S15" i="88"/>
  <c r="S14" i="88"/>
  <c r="S13" i="88"/>
  <c r="Q43" i="88"/>
  <c r="P43" i="88"/>
  <c r="O43" i="88"/>
  <c r="N43" i="88"/>
  <c r="M43" i="88"/>
  <c r="L43" i="88"/>
  <c r="K43" i="88"/>
  <c r="J43" i="88"/>
  <c r="I43" i="88"/>
  <c r="H43" i="88"/>
  <c r="G43" i="88"/>
  <c r="F43" i="88"/>
  <c r="E43" i="88"/>
  <c r="C43" i="88"/>
  <c r="Q36" i="88"/>
  <c r="P36" i="88"/>
  <c r="O36" i="88"/>
  <c r="N36" i="88"/>
  <c r="M36" i="88"/>
  <c r="L36" i="88"/>
  <c r="K36" i="88"/>
  <c r="J36" i="88"/>
  <c r="I36" i="88"/>
  <c r="H36" i="88"/>
  <c r="G36" i="88"/>
  <c r="F36" i="88"/>
  <c r="E36" i="88"/>
  <c r="C36" i="88"/>
  <c r="Q29" i="88"/>
  <c r="P29" i="88"/>
  <c r="O29" i="88"/>
  <c r="N29" i="88"/>
  <c r="M29" i="88"/>
  <c r="L29" i="88"/>
  <c r="K29" i="88"/>
  <c r="J29" i="88"/>
  <c r="I29" i="88"/>
  <c r="H29" i="88"/>
  <c r="G29" i="88"/>
  <c r="F29" i="88"/>
  <c r="E29" i="88"/>
  <c r="C29" i="88"/>
  <c r="Q22" i="88"/>
  <c r="P22" i="88"/>
  <c r="O22" i="88"/>
  <c r="N22" i="88"/>
  <c r="M22" i="88"/>
  <c r="L22" i="88"/>
  <c r="K22" i="88"/>
  <c r="J22" i="88"/>
  <c r="I22" i="88"/>
  <c r="H22" i="88"/>
  <c r="G22" i="88"/>
  <c r="F22" i="88"/>
  <c r="E22" i="88"/>
  <c r="C22" i="88"/>
  <c r="Q15" i="88"/>
  <c r="P15" i="88"/>
  <c r="O15" i="88"/>
  <c r="N15" i="88"/>
  <c r="M15" i="88"/>
  <c r="L15" i="88"/>
  <c r="K15" i="88"/>
  <c r="J15" i="88"/>
  <c r="I15" i="88"/>
  <c r="H15" i="88"/>
  <c r="G15" i="88"/>
  <c r="F15" i="88"/>
  <c r="E15" i="88"/>
  <c r="C15" i="88"/>
  <c r="S44" i="87"/>
  <c r="S43" i="87"/>
  <c r="S42" i="87"/>
  <c r="S41" i="87"/>
  <c r="S37" i="87"/>
  <c r="S36" i="87"/>
  <c r="S35" i="87"/>
  <c r="S34" i="87"/>
  <c r="S30" i="87"/>
  <c r="S29" i="87"/>
  <c r="S28" i="87"/>
  <c r="S27" i="87"/>
  <c r="S23" i="87"/>
  <c r="S22" i="87"/>
  <c r="S21" i="87"/>
  <c r="S20" i="87"/>
  <c r="S16" i="87"/>
  <c r="S15" i="87"/>
  <c r="S14" i="87"/>
  <c r="S13" i="87"/>
  <c r="Q43" i="87"/>
  <c r="P43" i="87"/>
  <c r="O43" i="87"/>
  <c r="N43" i="87"/>
  <c r="M43" i="87"/>
  <c r="L43" i="87"/>
  <c r="K43" i="87"/>
  <c r="J43" i="87"/>
  <c r="I43" i="87"/>
  <c r="H43" i="87"/>
  <c r="G43" i="87"/>
  <c r="F43" i="87"/>
  <c r="E43" i="87"/>
  <c r="C43" i="87"/>
  <c r="Q36" i="87"/>
  <c r="P36" i="87"/>
  <c r="O36" i="87"/>
  <c r="N36" i="87"/>
  <c r="M36" i="87"/>
  <c r="L36" i="87"/>
  <c r="K36" i="87"/>
  <c r="J36" i="87"/>
  <c r="I36" i="87"/>
  <c r="H36" i="87"/>
  <c r="G36" i="87"/>
  <c r="F36" i="87"/>
  <c r="E36" i="87"/>
  <c r="C36" i="87"/>
  <c r="Q35" i="87"/>
  <c r="P35" i="87"/>
  <c r="O35" i="87"/>
  <c r="N35" i="87"/>
  <c r="M35" i="87"/>
  <c r="L35" i="87"/>
  <c r="K35" i="87"/>
  <c r="J35" i="87"/>
  <c r="I35" i="87"/>
  <c r="H35" i="87"/>
  <c r="G35" i="87"/>
  <c r="F35" i="87"/>
  <c r="E35" i="87"/>
  <c r="C35" i="87"/>
  <c r="Q29" i="87"/>
  <c r="P29" i="87"/>
  <c r="O29" i="87"/>
  <c r="N29" i="87"/>
  <c r="M29" i="87"/>
  <c r="L29" i="87"/>
  <c r="K29" i="87"/>
  <c r="J29" i="87"/>
  <c r="I29" i="87"/>
  <c r="H29" i="87"/>
  <c r="G29" i="87"/>
  <c r="F29" i="87"/>
  <c r="E29" i="87"/>
  <c r="C29" i="87"/>
  <c r="Q22" i="87"/>
  <c r="P22" i="87"/>
  <c r="O22" i="87"/>
  <c r="N22" i="87"/>
  <c r="M22" i="87"/>
  <c r="L22" i="87"/>
  <c r="K22" i="87"/>
  <c r="J22" i="87"/>
  <c r="I22" i="87"/>
  <c r="H22" i="87"/>
  <c r="G22" i="87"/>
  <c r="F22" i="87"/>
  <c r="E22" i="87"/>
  <c r="C22" i="87"/>
  <c r="Q15" i="87"/>
  <c r="P15" i="87"/>
  <c r="O15" i="87"/>
  <c r="N15" i="87"/>
  <c r="M15" i="87"/>
  <c r="L15" i="87"/>
  <c r="K15" i="87"/>
  <c r="J15" i="87"/>
  <c r="I15" i="87"/>
  <c r="H15" i="87"/>
  <c r="G15" i="87"/>
  <c r="F15" i="87"/>
  <c r="E15" i="87"/>
  <c r="C15" i="87"/>
  <c r="S44" i="86"/>
  <c r="S43" i="86"/>
  <c r="S42" i="86"/>
  <c r="S41" i="86"/>
  <c r="S37" i="86"/>
  <c r="S36" i="86"/>
  <c r="S35" i="86"/>
  <c r="S34" i="86"/>
  <c r="S30" i="86"/>
  <c r="S29" i="86"/>
  <c r="S28" i="86"/>
  <c r="S27" i="86"/>
  <c r="S23" i="86"/>
  <c r="S22" i="86"/>
  <c r="S21" i="86"/>
  <c r="S20" i="86"/>
  <c r="S16" i="86"/>
  <c r="S15" i="86"/>
  <c r="S14" i="86"/>
  <c r="S13" i="86"/>
  <c r="Q43" i="86"/>
  <c r="P43" i="86"/>
  <c r="O43" i="86"/>
  <c r="N43" i="86"/>
  <c r="M43" i="86"/>
  <c r="L43" i="86"/>
  <c r="K43" i="86"/>
  <c r="J43" i="86"/>
  <c r="I43" i="86"/>
  <c r="H43" i="86"/>
  <c r="G43" i="86"/>
  <c r="F43" i="86"/>
  <c r="E43" i="86"/>
  <c r="C43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C36" i="86"/>
  <c r="Q29" i="86"/>
  <c r="P29" i="86"/>
  <c r="O29" i="86"/>
  <c r="N29" i="86"/>
  <c r="M29" i="86"/>
  <c r="L29" i="86"/>
  <c r="K29" i="86"/>
  <c r="J29" i="86"/>
  <c r="I29" i="86"/>
  <c r="H29" i="86"/>
  <c r="G29" i="86"/>
  <c r="F29" i="86"/>
  <c r="E29" i="86"/>
  <c r="C29" i="86"/>
  <c r="Q22" i="86"/>
  <c r="P22" i="86"/>
  <c r="O22" i="86"/>
  <c r="N22" i="86"/>
  <c r="M22" i="86"/>
  <c r="L22" i="86"/>
  <c r="K22" i="86"/>
  <c r="J22" i="86"/>
  <c r="I22" i="86"/>
  <c r="H22" i="86"/>
  <c r="G22" i="86"/>
  <c r="F22" i="86"/>
  <c r="E22" i="86"/>
  <c r="C22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C15" i="86"/>
  <c r="S44" i="61"/>
  <c r="S43" i="61"/>
  <c r="S42" i="61"/>
  <c r="S41" i="61"/>
  <c r="S37" i="61"/>
  <c r="S36" i="61"/>
  <c r="S35" i="61"/>
  <c r="S34" i="61"/>
  <c r="S30" i="61"/>
  <c r="S29" i="61"/>
  <c r="S28" i="61"/>
  <c r="S27" i="61"/>
  <c r="S23" i="61"/>
  <c r="S22" i="61"/>
  <c r="S21" i="61"/>
  <c r="S20" i="61"/>
  <c r="S16" i="61"/>
  <c r="S15" i="61"/>
  <c r="S14" i="61"/>
  <c r="S13" i="61"/>
  <c r="S44" i="60"/>
  <c r="S43" i="60"/>
  <c r="S42" i="60"/>
  <c r="S41" i="60"/>
  <c r="S37" i="60"/>
  <c r="S36" i="60"/>
  <c r="S35" i="60"/>
  <c r="S34" i="60"/>
  <c r="S30" i="60"/>
  <c r="S29" i="60"/>
  <c r="S28" i="60"/>
  <c r="S27" i="60"/>
  <c r="S23" i="60"/>
  <c r="S22" i="60"/>
  <c r="S21" i="60"/>
  <c r="S20" i="60"/>
  <c r="S16" i="60"/>
  <c r="S15" i="60"/>
  <c r="S14" i="60"/>
  <c r="S13" i="60"/>
  <c r="S44" i="49"/>
  <c r="S43" i="49"/>
  <c r="S42" i="49"/>
  <c r="S41" i="49"/>
  <c r="S37" i="49"/>
  <c r="S36" i="49"/>
  <c r="S35" i="49"/>
  <c r="S34" i="49"/>
  <c r="S30" i="49"/>
  <c r="S29" i="49"/>
  <c r="S28" i="49"/>
  <c r="S27" i="49"/>
  <c r="S23" i="49"/>
  <c r="S22" i="49"/>
  <c r="S21" i="49"/>
  <c r="S20" i="49"/>
  <c r="S16" i="49"/>
  <c r="S15" i="49"/>
  <c r="S14" i="49"/>
  <c r="S13" i="49"/>
  <c r="S39" i="84"/>
  <c r="S38" i="84"/>
  <c r="S37" i="84"/>
  <c r="S33" i="84"/>
  <c r="S32" i="84"/>
  <c r="S31" i="84"/>
  <c r="S27" i="84"/>
  <c r="S26" i="84"/>
  <c r="S25" i="84"/>
  <c r="S21" i="84"/>
  <c r="S20" i="84"/>
  <c r="S19" i="84"/>
  <c r="S15" i="84"/>
  <c r="S14" i="84"/>
  <c r="S13" i="84"/>
  <c r="S39" i="95"/>
  <c r="S38" i="95"/>
  <c r="S37" i="95"/>
  <c r="S33" i="95"/>
  <c r="S32" i="95"/>
  <c r="S31" i="95"/>
  <c r="S27" i="95"/>
  <c r="S26" i="95"/>
  <c r="S25" i="95"/>
  <c r="S21" i="95"/>
  <c r="S20" i="95"/>
  <c r="S19" i="95"/>
  <c r="S15" i="95"/>
  <c r="S14" i="95"/>
  <c r="S13" i="95"/>
  <c r="S39" i="97"/>
  <c r="S38" i="97"/>
  <c r="S37" i="97"/>
  <c r="S33" i="97"/>
  <c r="S32" i="97"/>
  <c r="S31" i="97"/>
  <c r="S27" i="97"/>
  <c r="S26" i="97"/>
  <c r="S25" i="97"/>
  <c r="S21" i="97"/>
  <c r="S20" i="97"/>
  <c r="S19" i="97"/>
  <c r="S15" i="97"/>
  <c r="S14" i="97"/>
  <c r="S13" i="97"/>
  <c r="S39" i="98"/>
  <c r="S38" i="98"/>
  <c r="S37" i="98"/>
  <c r="S33" i="98"/>
  <c r="S32" i="98"/>
  <c r="S31" i="98"/>
  <c r="S27" i="98"/>
  <c r="S26" i="98"/>
  <c r="S25" i="98"/>
  <c r="S21" i="98"/>
  <c r="S20" i="98"/>
  <c r="S19" i="98"/>
  <c r="S15" i="98"/>
  <c r="S14" i="98"/>
  <c r="S13" i="98"/>
  <c r="S39" i="99"/>
  <c r="S38" i="99"/>
  <c r="S37" i="99"/>
  <c r="S33" i="99"/>
  <c r="S32" i="99"/>
  <c r="S31" i="99"/>
  <c r="S27" i="99"/>
  <c r="S26" i="99"/>
  <c r="S25" i="99"/>
  <c r="S21" i="99"/>
  <c r="S20" i="99"/>
  <c r="S19" i="99"/>
  <c r="S15" i="99"/>
  <c r="S14" i="99"/>
  <c r="S13" i="99"/>
  <c r="S39" i="67"/>
  <c r="S38" i="67"/>
  <c r="S37" i="67"/>
  <c r="S33" i="67"/>
  <c r="S32" i="67"/>
  <c r="S31" i="67"/>
  <c r="S27" i="67"/>
  <c r="S26" i="67"/>
  <c r="S25" i="67"/>
  <c r="S21" i="67"/>
  <c r="S20" i="67"/>
  <c r="S19" i="67"/>
  <c r="S15" i="67"/>
  <c r="S14" i="67"/>
  <c r="S13" i="67"/>
  <c r="S39" i="48"/>
  <c r="S38" i="48"/>
  <c r="S37" i="48"/>
  <c r="S33" i="48"/>
  <c r="S32" i="48"/>
  <c r="S31" i="48"/>
  <c r="S27" i="48"/>
  <c r="S26" i="48"/>
  <c r="S25" i="48"/>
  <c r="S21" i="48"/>
  <c r="S20" i="48"/>
  <c r="S19" i="48"/>
  <c r="S15" i="48"/>
  <c r="S14" i="48"/>
  <c r="S13" i="48"/>
  <c r="S39" i="47"/>
  <c r="S38" i="47"/>
  <c r="S37" i="47"/>
  <c r="S33" i="47"/>
  <c r="S32" i="47"/>
  <c r="S31" i="47"/>
  <c r="S27" i="47"/>
  <c r="S26" i="47"/>
  <c r="S25" i="47"/>
  <c r="S21" i="47"/>
  <c r="S20" i="47"/>
  <c r="S19" i="47"/>
  <c r="S15" i="47"/>
  <c r="S14" i="47"/>
  <c r="S13" i="47"/>
  <c r="S39" i="45"/>
  <c r="S38" i="45"/>
  <c r="S37" i="45"/>
  <c r="S33" i="45"/>
  <c r="S32" i="45"/>
  <c r="S31" i="45"/>
  <c r="S27" i="45"/>
  <c r="S26" i="45"/>
  <c r="S25" i="45"/>
  <c r="S21" i="45"/>
  <c r="S20" i="45"/>
  <c r="S19" i="45"/>
  <c r="S15" i="45"/>
  <c r="S14" i="45"/>
  <c r="S13" i="45"/>
  <c r="S39" i="44"/>
  <c r="S38" i="44"/>
  <c r="S37" i="44"/>
  <c r="S33" i="44"/>
  <c r="S32" i="44"/>
  <c r="S31" i="44"/>
  <c r="S27" i="44"/>
  <c r="S26" i="44"/>
  <c r="S25" i="44"/>
  <c r="S21" i="44"/>
  <c r="S20" i="44"/>
  <c r="S19" i="44"/>
  <c r="S15" i="44"/>
  <c r="S14" i="44"/>
  <c r="S13" i="44"/>
  <c r="S39" i="41"/>
  <c r="S38" i="41"/>
  <c r="S37" i="41"/>
  <c r="S33" i="41"/>
  <c r="S32" i="41"/>
  <c r="S31" i="41"/>
  <c r="S27" i="41"/>
  <c r="S26" i="41"/>
  <c r="S25" i="41"/>
  <c r="S21" i="41"/>
  <c r="S20" i="41"/>
  <c r="S19" i="41"/>
  <c r="S15" i="41"/>
  <c r="S14" i="41"/>
  <c r="S13" i="41"/>
  <c r="S39" i="1"/>
  <c r="S38" i="1"/>
  <c r="S37" i="1"/>
  <c r="S33" i="1"/>
  <c r="S32" i="1"/>
  <c r="S31" i="1"/>
  <c r="S27" i="1"/>
  <c r="S26" i="1"/>
  <c r="S25" i="1"/>
  <c r="S21" i="1"/>
  <c r="S20" i="1"/>
  <c r="S19" i="1"/>
  <c r="S15" i="1"/>
  <c r="S14" i="1"/>
  <c r="S13" i="1"/>
  <c r="H129" i="150" l="1"/>
  <c r="H92" i="149"/>
  <c r="H115" i="150"/>
  <c r="H124" i="152"/>
  <c r="E124" i="150"/>
  <c r="E129" i="150" s="1"/>
  <c r="K262" i="150"/>
  <c r="Q258" i="149"/>
  <c r="Q269" i="149" s="1"/>
  <c r="Q272" i="149" s="1"/>
  <c r="H117" i="152"/>
  <c r="E117" i="150"/>
  <c r="E122" i="150" s="1"/>
  <c r="H110" i="152"/>
  <c r="E110" i="150"/>
  <c r="E115" i="150" s="1"/>
  <c r="H122" i="150"/>
  <c r="K263" i="150"/>
  <c r="U35" i="60"/>
  <c r="U31" i="95"/>
  <c r="U37" i="86"/>
  <c r="U25" i="45"/>
  <c r="U19" i="47"/>
  <c r="U26" i="48"/>
  <c r="U26" i="67"/>
  <c r="U33" i="67"/>
  <c r="U39" i="67"/>
  <c r="U19" i="99"/>
  <c r="U13" i="98"/>
  <c r="U14" i="97"/>
  <c r="U32" i="1"/>
  <c r="U32" i="41"/>
  <c r="U33" i="44"/>
  <c r="U39" i="44"/>
  <c r="U19" i="45"/>
  <c r="U13" i="47"/>
  <c r="U14" i="48"/>
  <c r="U20" i="67"/>
  <c r="U37" i="99"/>
  <c r="U31" i="98"/>
  <c r="U21" i="49"/>
  <c r="U28" i="49"/>
  <c r="U22" i="86"/>
  <c r="U33" i="1"/>
  <c r="U19" i="1"/>
  <c r="U26" i="1"/>
  <c r="U26" i="41"/>
  <c r="U14" i="84"/>
  <c r="U38" i="98"/>
  <c r="U38" i="95"/>
  <c r="U44" i="91"/>
  <c r="U14" i="41"/>
  <c r="U27" i="44"/>
  <c r="U37" i="45"/>
  <c r="U31" i="47"/>
  <c r="U38" i="47"/>
  <c r="U32" i="97"/>
  <c r="U20" i="60"/>
  <c r="U36" i="61"/>
  <c r="U43" i="61"/>
  <c r="U45" i="123"/>
  <c r="U39" i="123"/>
  <c r="U35" i="70"/>
  <c r="U35" i="64"/>
  <c r="U44" i="62"/>
  <c r="U41" i="62"/>
  <c r="U16" i="62"/>
  <c r="U13" i="62"/>
  <c r="U13" i="88"/>
  <c r="U44" i="87"/>
  <c r="U41" i="87"/>
  <c r="U16" i="87"/>
  <c r="U13" i="87"/>
  <c r="U38" i="1"/>
  <c r="U15" i="44"/>
  <c r="U21" i="44"/>
  <c r="U32" i="48"/>
  <c r="U25" i="99"/>
  <c r="U19" i="98"/>
  <c r="U26" i="97"/>
  <c r="U37" i="84"/>
  <c r="U35" i="49"/>
  <c r="U42" i="49"/>
  <c r="U13" i="61"/>
  <c r="U16" i="61"/>
  <c r="U43" i="86"/>
  <c r="V43" i="86" s="1"/>
  <c r="U23" i="87"/>
  <c r="U29" i="87"/>
  <c r="V29" i="87" s="1"/>
  <c r="U20" i="88"/>
  <c r="U37" i="88"/>
  <c r="U14" i="66"/>
  <c r="U34" i="66"/>
  <c r="U14" i="90"/>
  <c r="U34" i="90"/>
  <c r="U22" i="91"/>
  <c r="U29" i="91"/>
  <c r="U34" i="119"/>
  <c r="U26" i="123"/>
  <c r="U33" i="123"/>
  <c r="U20" i="1"/>
  <c r="U15" i="41"/>
  <c r="U21" i="41"/>
  <c r="U27" i="41"/>
  <c r="U33" i="41"/>
  <c r="U39" i="41"/>
  <c r="U19" i="44"/>
  <c r="U25" i="44"/>
  <c r="U37" i="44"/>
  <c r="U13" i="45"/>
  <c r="U20" i="45"/>
  <c r="U31" i="45"/>
  <c r="U38" i="45"/>
  <c r="U14" i="47"/>
  <c r="U25" i="47"/>
  <c r="U32" i="47"/>
  <c r="U15" i="48"/>
  <c r="U21" i="48"/>
  <c r="U27" i="48"/>
  <c r="U33" i="48"/>
  <c r="U39" i="48"/>
  <c r="U15" i="67"/>
  <c r="U21" i="67"/>
  <c r="U27" i="67"/>
  <c r="U37" i="67"/>
  <c r="U13" i="99"/>
  <c r="U20" i="99"/>
  <c r="U31" i="99"/>
  <c r="U38" i="99"/>
  <c r="U14" i="98"/>
  <c r="U25" i="98"/>
  <c r="U32" i="98"/>
  <c r="U15" i="97"/>
  <c r="U21" i="97"/>
  <c r="U27" i="97"/>
  <c r="U33" i="97"/>
  <c r="U13" i="95"/>
  <c r="U20" i="95"/>
  <c r="U25" i="84"/>
  <c r="U14" i="60"/>
  <c r="U27" i="60"/>
  <c r="U42" i="60"/>
  <c r="U27" i="61"/>
  <c r="U30" i="61"/>
  <c r="U16" i="86"/>
  <c r="U29" i="86"/>
  <c r="V29" i="86" s="1"/>
  <c r="U27" i="88"/>
  <c r="U34" i="88"/>
  <c r="U15" i="89"/>
  <c r="V15" i="89" s="1"/>
  <c r="U29" i="89"/>
  <c r="V29" i="89" s="1"/>
  <c r="U43" i="89"/>
  <c r="V43" i="89" s="1"/>
  <c r="U28" i="66"/>
  <c r="U28" i="90"/>
  <c r="U13" i="91"/>
  <c r="U16" i="91"/>
  <c r="U21" i="119"/>
  <c r="U28" i="119"/>
  <c r="U20" i="123"/>
  <c r="U14" i="1"/>
  <c r="U39" i="1"/>
  <c r="U13" i="44"/>
  <c r="U31" i="44"/>
  <c r="U14" i="45"/>
  <c r="U26" i="45"/>
  <c r="U32" i="45"/>
  <c r="U20" i="47"/>
  <c r="U26" i="47"/>
  <c r="U33" i="47"/>
  <c r="U39" i="47"/>
  <c r="U19" i="48"/>
  <c r="U25" i="48"/>
  <c r="U28" i="48" s="1"/>
  <c r="U37" i="48"/>
  <c r="U13" i="67"/>
  <c r="U19" i="67"/>
  <c r="U31" i="67"/>
  <c r="U38" i="67"/>
  <c r="U14" i="99"/>
  <c r="U26" i="99"/>
  <c r="U32" i="99"/>
  <c r="U20" i="98"/>
  <c r="U26" i="98"/>
  <c r="U33" i="98"/>
  <c r="U39" i="98"/>
  <c r="U19" i="97"/>
  <c r="U25" i="97"/>
  <c r="U37" i="97"/>
  <c r="U27" i="95"/>
  <c r="U33" i="95"/>
  <c r="U39" i="95"/>
  <c r="U19" i="84"/>
  <c r="U32" i="84"/>
  <c r="U21" i="60"/>
  <c r="U34" i="60"/>
  <c r="U15" i="61"/>
  <c r="U41" i="61"/>
  <c r="U44" i="61"/>
  <c r="U23" i="86"/>
  <c r="U36" i="86"/>
  <c r="V36" i="86" s="1"/>
  <c r="U41" i="86"/>
  <c r="U44" i="86"/>
  <c r="U15" i="87"/>
  <c r="V15" i="87" s="1"/>
  <c r="U27" i="87"/>
  <c r="U30" i="87"/>
  <c r="U37" i="87"/>
  <c r="U43" i="87"/>
  <c r="V43" i="87" s="1"/>
  <c r="U15" i="88"/>
  <c r="V15" i="88" s="1"/>
  <c r="U23" i="89"/>
  <c r="U37" i="89"/>
  <c r="U27" i="62"/>
  <c r="U30" i="62"/>
  <c r="U22" i="66"/>
  <c r="U42" i="66"/>
  <c r="U22" i="90"/>
  <c r="U42" i="90"/>
  <c r="U41" i="91"/>
  <c r="U21" i="1"/>
  <c r="U27" i="1"/>
  <c r="U19" i="41"/>
  <c r="U25" i="41"/>
  <c r="U37" i="41"/>
  <c r="U20" i="44"/>
  <c r="U38" i="44"/>
  <c r="U25" i="123"/>
  <c r="U30" i="119"/>
  <c r="U21" i="91"/>
  <c r="U44" i="90"/>
  <c r="U41" i="90"/>
  <c r="U30" i="90"/>
  <c r="U27" i="90"/>
  <c r="U16" i="90"/>
  <c r="U13" i="90"/>
  <c r="U44" i="66"/>
  <c r="U41" i="66"/>
  <c r="U30" i="66"/>
  <c r="U27" i="66"/>
  <c r="U16" i="66"/>
  <c r="U13" i="66"/>
  <c r="U35" i="62"/>
  <c r="U21" i="62"/>
  <c r="U36" i="89"/>
  <c r="V36" i="89" s="1"/>
  <c r="U22" i="89"/>
  <c r="V22" i="89" s="1"/>
  <c r="U36" i="88"/>
  <c r="U36" i="87"/>
  <c r="V36" i="87" s="1"/>
  <c r="U22" i="87"/>
  <c r="V22" i="87" s="1"/>
  <c r="U35" i="86"/>
  <c r="U21" i="86"/>
  <c r="U21" i="61"/>
  <c r="U44" i="60"/>
  <c r="U30" i="60"/>
  <c r="U16" i="60"/>
  <c r="U37" i="49"/>
  <c r="U34" i="49"/>
  <c r="U23" i="49"/>
  <c r="U20" i="49"/>
  <c r="U15" i="49"/>
  <c r="U39" i="84"/>
  <c r="U21" i="84"/>
  <c r="U26" i="95"/>
  <c r="U35" i="119"/>
  <c r="U30" i="91"/>
  <c r="U35" i="90"/>
  <c r="U21" i="90"/>
  <c r="U36" i="70"/>
  <c r="U22" i="70"/>
  <c r="U35" i="66"/>
  <c r="U21" i="66"/>
  <c r="U36" i="64"/>
  <c r="U22" i="64"/>
  <c r="U13" i="64"/>
  <c r="U44" i="89"/>
  <c r="U41" i="89"/>
  <c r="U30" i="89"/>
  <c r="U27" i="89"/>
  <c r="U16" i="89"/>
  <c r="U13" i="89"/>
  <c r="U44" i="88"/>
  <c r="U41" i="88"/>
  <c r="U15" i="123"/>
  <c r="U44" i="119"/>
  <c r="U16" i="119"/>
  <c r="U35" i="91"/>
  <c r="U44" i="70"/>
  <c r="U41" i="70"/>
  <c r="U30" i="70"/>
  <c r="U27" i="70"/>
  <c r="U16" i="70"/>
  <c r="U13" i="70"/>
  <c r="U44" i="64"/>
  <c r="U41" i="64"/>
  <c r="U30" i="64"/>
  <c r="U27" i="64"/>
  <c r="U36" i="62"/>
  <c r="U22" i="62"/>
  <c r="U35" i="89"/>
  <c r="U21" i="89"/>
  <c r="U22" i="88"/>
  <c r="V22" i="88" s="1"/>
  <c r="U35" i="87"/>
  <c r="V35" i="87" s="1"/>
  <c r="U21" i="87"/>
  <c r="U28" i="86"/>
  <c r="U14" i="86"/>
  <c r="U35" i="61"/>
  <c r="U37" i="60"/>
  <c r="U23" i="60"/>
  <c r="U44" i="49"/>
  <c r="U41" i="49"/>
  <c r="U30" i="49"/>
  <c r="U27" i="49"/>
  <c r="U16" i="49"/>
  <c r="U31" i="84"/>
  <c r="U39" i="97"/>
  <c r="U13" i="1"/>
  <c r="U15" i="1"/>
  <c r="U25" i="1"/>
  <c r="U28" i="1" s="1"/>
  <c r="U31" i="1"/>
  <c r="U34" i="1" s="1"/>
  <c r="U37" i="1"/>
  <c r="U13" i="41"/>
  <c r="U20" i="41"/>
  <c r="U31" i="41"/>
  <c r="U38" i="41"/>
  <c r="U14" i="44"/>
  <c r="U26" i="44"/>
  <c r="U32" i="44"/>
  <c r="U15" i="45"/>
  <c r="U21" i="45"/>
  <c r="U27" i="45"/>
  <c r="U33" i="45"/>
  <c r="U39" i="45"/>
  <c r="U15" i="47"/>
  <c r="U21" i="47"/>
  <c r="U27" i="47"/>
  <c r="U37" i="47"/>
  <c r="U13" i="48"/>
  <c r="U20" i="48"/>
  <c r="U31" i="48"/>
  <c r="U38" i="48"/>
  <c r="U14" i="67"/>
  <c r="U25" i="67"/>
  <c r="U32" i="67"/>
  <c r="U15" i="99"/>
  <c r="U21" i="99"/>
  <c r="U27" i="99"/>
  <c r="U33" i="99"/>
  <c r="U39" i="99"/>
  <c r="U15" i="98"/>
  <c r="U21" i="98"/>
  <c r="U27" i="98"/>
  <c r="U37" i="98"/>
  <c r="U13" i="97"/>
  <c r="U20" i="97"/>
  <c r="U31" i="97"/>
  <c r="U38" i="97"/>
  <c r="U15" i="95"/>
  <c r="U21" i="95"/>
  <c r="U26" i="84"/>
  <c r="U13" i="49"/>
  <c r="U13" i="60"/>
  <c r="U28" i="60"/>
  <c r="U41" i="60"/>
  <c r="U22" i="61"/>
  <c r="U29" i="61"/>
  <c r="U15" i="86"/>
  <c r="V15" i="86" s="1"/>
  <c r="U30" i="86"/>
  <c r="U23" i="88"/>
  <c r="U29" i="88"/>
  <c r="V29" i="88" s="1"/>
  <c r="U43" i="88"/>
  <c r="V43" i="88" s="1"/>
  <c r="U15" i="64"/>
  <c r="U21" i="64"/>
  <c r="U20" i="66"/>
  <c r="U36" i="66"/>
  <c r="U21" i="70"/>
  <c r="U20" i="90"/>
  <c r="U36" i="90"/>
  <c r="U37" i="119"/>
  <c r="U19" i="95"/>
  <c r="U25" i="95"/>
  <c r="U37" i="95"/>
  <c r="U13" i="84"/>
  <c r="U20" i="84"/>
  <c r="U38" i="84"/>
  <c r="U14" i="49"/>
  <c r="U22" i="49"/>
  <c r="U36" i="49"/>
  <c r="U15" i="60"/>
  <c r="U29" i="60"/>
  <c r="U43" i="60"/>
  <c r="U14" i="61"/>
  <c r="U20" i="61"/>
  <c r="U23" i="61"/>
  <c r="U42" i="61"/>
  <c r="U20" i="86"/>
  <c r="U34" i="86"/>
  <c r="U42" i="86"/>
  <c r="U16" i="88"/>
  <c r="U28" i="88"/>
  <c r="U35" i="88"/>
  <c r="U14" i="62"/>
  <c r="U20" i="62"/>
  <c r="U28" i="62"/>
  <c r="U34" i="62"/>
  <c r="U42" i="62"/>
  <c r="U16" i="64"/>
  <c r="U15" i="66"/>
  <c r="U23" i="66"/>
  <c r="U29" i="66"/>
  <c r="U37" i="66"/>
  <c r="U43" i="66"/>
  <c r="U15" i="90"/>
  <c r="U23" i="90"/>
  <c r="U29" i="90"/>
  <c r="U37" i="90"/>
  <c r="U43" i="90"/>
  <c r="U14" i="91"/>
  <c r="U20" i="91"/>
  <c r="U23" i="91"/>
  <c r="U42" i="91"/>
  <c r="U13" i="119"/>
  <c r="U22" i="119"/>
  <c r="U29" i="119"/>
  <c r="U41" i="119"/>
  <c r="U21" i="123"/>
  <c r="U27" i="123"/>
  <c r="U37" i="123"/>
  <c r="U43" i="123"/>
  <c r="U15" i="62"/>
  <c r="U23" i="62"/>
  <c r="U29" i="62"/>
  <c r="U37" i="62"/>
  <c r="U43" i="62"/>
  <c r="U20" i="64"/>
  <c r="U28" i="64"/>
  <c r="U34" i="64"/>
  <c r="U42" i="64"/>
  <c r="U14" i="70"/>
  <c r="U20" i="70"/>
  <c r="U28" i="70"/>
  <c r="U34" i="70"/>
  <c r="U42" i="70"/>
  <c r="U15" i="91"/>
  <c r="U27" i="91"/>
  <c r="U36" i="91"/>
  <c r="U43" i="91"/>
  <c r="U14" i="119"/>
  <c r="U20" i="119"/>
  <c r="U23" i="119"/>
  <c r="U42" i="119"/>
  <c r="U13" i="123"/>
  <c r="U19" i="123"/>
  <c r="U31" i="123"/>
  <c r="U38" i="123"/>
  <c r="U44" i="123"/>
  <c r="U14" i="95"/>
  <c r="U32" i="95"/>
  <c r="U15" i="84"/>
  <c r="U27" i="84"/>
  <c r="U33" i="84"/>
  <c r="U29" i="49"/>
  <c r="U43" i="49"/>
  <c r="U22" i="60"/>
  <c r="U36" i="60"/>
  <c r="U28" i="61"/>
  <c r="U34" i="61"/>
  <c r="U37" i="61"/>
  <c r="U13" i="86"/>
  <c r="U27" i="86"/>
  <c r="U14" i="87"/>
  <c r="U20" i="87"/>
  <c r="U28" i="87"/>
  <c r="U34" i="87"/>
  <c r="U42" i="87"/>
  <c r="U45" i="87" s="1"/>
  <c r="V36" i="88"/>
  <c r="U14" i="88"/>
  <c r="U21" i="88"/>
  <c r="U30" i="88"/>
  <c r="U42" i="88"/>
  <c r="U14" i="89"/>
  <c r="U20" i="89"/>
  <c r="U28" i="89"/>
  <c r="U34" i="89"/>
  <c r="U42" i="89"/>
  <c r="U14" i="64"/>
  <c r="U23" i="64"/>
  <c r="U29" i="64"/>
  <c r="U37" i="64"/>
  <c r="U43" i="64"/>
  <c r="U15" i="70"/>
  <c r="U23" i="70"/>
  <c r="U29" i="70"/>
  <c r="U37" i="70"/>
  <c r="U43" i="70"/>
  <c r="U28" i="91"/>
  <c r="U34" i="91"/>
  <c r="U37" i="91"/>
  <c r="U15" i="119"/>
  <c r="U27" i="119"/>
  <c r="U36" i="119"/>
  <c r="U43" i="119"/>
  <c r="U14" i="123"/>
  <c r="U32" i="123"/>
  <c r="H51" i="89"/>
  <c r="L51" i="89"/>
  <c r="P51" i="89"/>
  <c r="Q51" i="89"/>
  <c r="Q51" i="87"/>
  <c r="F51" i="87"/>
  <c r="P51" i="87"/>
  <c r="H51" i="86"/>
  <c r="L51" i="86"/>
  <c r="P51" i="86"/>
  <c r="F51" i="88"/>
  <c r="J51" i="88"/>
  <c r="N51" i="88"/>
  <c r="Q51" i="86"/>
  <c r="H51" i="88"/>
  <c r="L51" i="88"/>
  <c r="P51" i="88"/>
  <c r="F51" i="86"/>
  <c r="J51" i="86"/>
  <c r="N51" i="86"/>
  <c r="Q51" i="88"/>
  <c r="L51" i="87"/>
  <c r="V22" i="86"/>
  <c r="H51" i="87"/>
  <c r="H232" i="150"/>
  <c r="H250" i="150"/>
  <c r="H263" i="150"/>
  <c r="H233" i="150"/>
  <c r="H234" i="150"/>
  <c r="H247" i="150"/>
  <c r="H235" i="150"/>
  <c r="H251" i="150"/>
  <c r="H249" i="150"/>
  <c r="H248" i="150"/>
  <c r="H252" i="150"/>
  <c r="D237" i="150"/>
  <c r="H236" i="150"/>
  <c r="H262" i="150"/>
  <c r="D186" i="152"/>
  <c r="E243" i="152"/>
  <c r="E186" i="152"/>
  <c r="H263" i="149"/>
  <c r="D243" i="152"/>
  <c r="J264" i="152"/>
  <c r="J266" i="152" s="1"/>
  <c r="D94" i="152"/>
  <c r="D97" i="152" s="1"/>
  <c r="E94" i="152"/>
  <c r="E97" i="152" s="1"/>
  <c r="H233" i="149"/>
  <c r="J253" i="152"/>
  <c r="J255" i="152" s="1"/>
  <c r="I239" i="149"/>
  <c r="H234" i="149"/>
  <c r="I236" i="149"/>
  <c r="H239" i="149"/>
  <c r="I234" i="149"/>
  <c r="E232" i="150"/>
  <c r="E237" i="150" s="1"/>
  <c r="H232" i="152"/>
  <c r="H236" i="149"/>
  <c r="H250" i="149"/>
  <c r="I184" i="149"/>
  <c r="I250" i="149"/>
  <c r="J232" i="152"/>
  <c r="J237" i="152" s="1"/>
  <c r="G237" i="152"/>
  <c r="G264" i="152"/>
  <c r="G266" i="152" s="1"/>
  <c r="G253" i="152"/>
  <c r="G255" i="152" s="1"/>
  <c r="I251" i="149"/>
  <c r="I248" i="149"/>
  <c r="I241" i="149"/>
  <c r="I233" i="149"/>
  <c r="I90" i="149"/>
  <c r="I92" i="149"/>
  <c r="H184" i="149"/>
  <c r="H90" i="149"/>
  <c r="D253" i="150"/>
  <c r="D255" i="150" s="1"/>
  <c r="E237" i="149"/>
  <c r="F237" i="149" s="1"/>
  <c r="F232" i="149"/>
  <c r="E122" i="149"/>
  <c r="I117" i="149"/>
  <c r="I122" i="149" s="1"/>
  <c r="E129" i="149"/>
  <c r="I124" i="149"/>
  <c r="I129" i="149" s="1"/>
  <c r="I252" i="149"/>
  <c r="I249" i="149"/>
  <c r="H249" i="149"/>
  <c r="E115" i="149"/>
  <c r="I110" i="149"/>
  <c r="I115" i="149" s="1"/>
  <c r="D266" i="149"/>
  <c r="S253" i="149"/>
  <c r="S255" i="149" s="1"/>
  <c r="E247" i="149"/>
  <c r="G247" i="149" s="1"/>
  <c r="S264" i="149"/>
  <c r="S266" i="149" s="1"/>
  <c r="E262" i="149"/>
  <c r="F51" i="89"/>
  <c r="J51" i="89"/>
  <c r="N51" i="89"/>
  <c r="J51" i="87"/>
  <c r="N51" i="87"/>
  <c r="U40" i="98" l="1"/>
  <c r="K117" i="152"/>
  <c r="K122" i="152" s="1"/>
  <c r="H122" i="152"/>
  <c r="K124" i="152"/>
  <c r="K129" i="152" s="1"/>
  <c r="H129" i="152"/>
  <c r="K264" i="150"/>
  <c r="J264" i="150" s="1"/>
  <c r="K110" i="152"/>
  <c r="K115" i="152" s="1"/>
  <c r="H115" i="152"/>
  <c r="U31" i="62"/>
  <c r="U38" i="61"/>
  <c r="U22" i="47"/>
  <c r="U22" i="84"/>
  <c r="U24" i="86"/>
  <c r="U31" i="49"/>
  <c r="U34" i="123"/>
  <c r="U24" i="70"/>
  <c r="U46" i="123"/>
  <c r="U45" i="90"/>
  <c r="U28" i="95"/>
  <c r="U34" i="67"/>
  <c r="U28" i="84"/>
  <c r="U45" i="62"/>
  <c r="U28" i="99"/>
  <c r="U17" i="62"/>
  <c r="U38" i="86"/>
  <c r="U24" i="87"/>
  <c r="U24" i="91"/>
  <c r="U16" i="84"/>
  <c r="U22" i="95"/>
  <c r="U34" i="84"/>
  <c r="U40" i="44"/>
  <c r="U34" i="41"/>
  <c r="U22" i="1"/>
  <c r="U17" i="64"/>
  <c r="U38" i="66"/>
  <c r="U38" i="91"/>
  <c r="U17" i="88"/>
  <c r="U38" i="60"/>
  <c r="U22" i="123"/>
  <c r="U24" i="119"/>
  <c r="U45" i="119"/>
  <c r="U45" i="91"/>
  <c r="U24" i="90"/>
  <c r="U40" i="99"/>
  <c r="U16" i="99"/>
  <c r="U40" i="47"/>
  <c r="U31" i="86"/>
  <c r="U24" i="89"/>
  <c r="U17" i="70"/>
  <c r="U45" i="70"/>
  <c r="U45" i="89"/>
  <c r="U38" i="70"/>
  <c r="U24" i="62"/>
  <c r="U28" i="123"/>
  <c r="U28" i="98"/>
  <c r="U28" i="47"/>
  <c r="U22" i="44"/>
  <c r="U31" i="119"/>
  <c r="U16" i="123"/>
  <c r="U17" i="91"/>
  <c r="U40" i="123"/>
  <c r="U17" i="61"/>
  <c r="U24" i="49"/>
  <c r="U31" i="87"/>
  <c r="U40" i="97"/>
  <c r="U22" i="48"/>
  <c r="U38" i="64"/>
  <c r="U17" i="89"/>
  <c r="U31" i="64"/>
  <c r="U31" i="60"/>
  <c r="U40" i="95"/>
  <c r="U38" i="90"/>
  <c r="U24" i="66"/>
  <c r="U31" i="61"/>
  <c r="U17" i="60"/>
  <c r="U16" i="97"/>
  <c r="U16" i="98"/>
  <c r="U16" i="67"/>
  <c r="U16" i="48"/>
  <c r="U22" i="45"/>
  <c r="U16" i="44"/>
  <c r="U16" i="41"/>
  <c r="U16" i="1"/>
  <c r="U45" i="64"/>
  <c r="U40" i="84"/>
  <c r="U38" i="49"/>
  <c r="U45" i="60"/>
  <c r="U31" i="90"/>
  <c r="U40" i="41"/>
  <c r="U45" i="61"/>
  <c r="U24" i="60"/>
  <c r="U34" i="95"/>
  <c r="U22" i="97"/>
  <c r="U22" i="98"/>
  <c r="U40" i="67"/>
  <c r="U40" i="48"/>
  <c r="U28" i="45"/>
  <c r="U38" i="88"/>
  <c r="U34" i="98"/>
  <c r="U34" i="99"/>
  <c r="U28" i="67"/>
  <c r="U34" i="48"/>
  <c r="U34" i="45"/>
  <c r="U28" i="44"/>
  <c r="U28" i="41"/>
  <c r="U40" i="45"/>
  <c r="U28" i="97"/>
  <c r="U22" i="41"/>
  <c r="U22" i="67"/>
  <c r="U34" i="44"/>
  <c r="U16" i="45"/>
  <c r="U38" i="119"/>
  <c r="U17" i="87"/>
  <c r="U45" i="66"/>
  <c r="U16" i="95"/>
  <c r="U31" i="91"/>
  <c r="U31" i="89"/>
  <c r="U45" i="49"/>
  <c r="U24" i="64"/>
  <c r="U34" i="47"/>
  <c r="U17" i="86"/>
  <c r="U38" i="62"/>
  <c r="U24" i="61"/>
  <c r="U17" i="49"/>
  <c r="U40" i="1"/>
  <c r="U31" i="66"/>
  <c r="U17" i="90"/>
  <c r="U45" i="86"/>
  <c r="U31" i="88"/>
  <c r="U22" i="99"/>
  <c r="U38" i="89"/>
  <c r="U45" i="88"/>
  <c r="U17" i="119"/>
  <c r="U17" i="66"/>
  <c r="U34" i="97"/>
  <c r="U16" i="47"/>
  <c r="U24" i="88"/>
  <c r="U38" i="87"/>
  <c r="U31" i="70"/>
  <c r="G51" i="89"/>
  <c r="K51" i="87"/>
  <c r="I51" i="87"/>
  <c r="M51" i="88"/>
  <c r="I51" i="86"/>
  <c r="I51" i="88"/>
  <c r="O51" i="89"/>
  <c r="O51" i="88"/>
  <c r="G51" i="88"/>
  <c r="M51" i="86"/>
  <c r="K51" i="88"/>
  <c r="K51" i="86"/>
  <c r="K51" i="89"/>
  <c r="O51" i="86"/>
  <c r="G51" i="86"/>
  <c r="I51" i="89"/>
  <c r="H237" i="150"/>
  <c r="E258" i="152"/>
  <c r="E280" i="152" s="1"/>
  <c r="E283" i="152" s="1"/>
  <c r="D258" i="152"/>
  <c r="E247" i="150"/>
  <c r="E253" i="150" s="1"/>
  <c r="E255" i="150" s="1"/>
  <c r="H247" i="152"/>
  <c r="K232" i="152"/>
  <c r="K237" i="152" s="1"/>
  <c r="H237" i="152"/>
  <c r="E262" i="150"/>
  <c r="E264" i="150" s="1"/>
  <c r="E266" i="150" s="1"/>
  <c r="H262" i="152"/>
  <c r="H253" i="150"/>
  <c r="H255" i="150" s="1"/>
  <c r="L263" i="150"/>
  <c r="H264" i="150"/>
  <c r="G264" i="150" s="1"/>
  <c r="L262" i="150"/>
  <c r="E264" i="149"/>
  <c r="G262" i="149"/>
  <c r="F262" i="149"/>
  <c r="J232" i="149"/>
  <c r="G237" i="149"/>
  <c r="H232" i="149"/>
  <c r="E253" i="149"/>
  <c r="F247" i="149"/>
  <c r="I232" i="149"/>
  <c r="I237" i="149" s="1"/>
  <c r="M51" i="89"/>
  <c r="G51" i="87"/>
  <c r="O51" i="87"/>
  <c r="M51" i="87"/>
  <c r="K266" i="150" l="1"/>
  <c r="G255" i="150"/>
  <c r="D280" i="152"/>
  <c r="D283" i="152" s="1"/>
  <c r="K262" i="152"/>
  <c r="K264" i="152" s="1"/>
  <c r="K266" i="152" s="1"/>
  <c r="H264" i="152"/>
  <c r="H266" i="152" s="1"/>
  <c r="K247" i="152"/>
  <c r="K253" i="152" s="1"/>
  <c r="K255" i="152" s="1"/>
  <c r="H253" i="152"/>
  <c r="H255" i="152" s="1"/>
  <c r="L264" i="150"/>
  <c r="L266" i="150" s="1"/>
  <c r="H266" i="150"/>
  <c r="G253" i="149"/>
  <c r="J247" i="149"/>
  <c r="H247" i="149"/>
  <c r="G264" i="149"/>
  <c r="J262" i="149"/>
  <c r="H262" i="149"/>
  <c r="I247" i="149"/>
  <c r="I253" i="149" s="1"/>
  <c r="I255" i="149" s="1"/>
  <c r="E266" i="149"/>
  <c r="F266" i="149" s="1"/>
  <c r="F264" i="149"/>
  <c r="J237" i="149"/>
  <c r="H237" i="149"/>
  <c r="E255" i="149"/>
  <c r="F255" i="149" s="1"/>
  <c r="F253" i="149"/>
  <c r="J266" i="150" l="1"/>
  <c r="G266" i="150"/>
  <c r="J264" i="149"/>
  <c r="G266" i="149"/>
  <c r="H264" i="149"/>
  <c r="J253" i="149"/>
  <c r="G255" i="149"/>
  <c r="H253" i="149"/>
  <c r="J266" i="149" l="1"/>
  <c r="H266" i="149"/>
  <c r="J255" i="149"/>
  <c r="H255" i="149"/>
  <c r="J190" i="76" l="1"/>
  <c r="J157" i="76"/>
  <c r="J156" i="76"/>
  <c r="J154" i="76"/>
  <c r="J153" i="76"/>
  <c r="J152" i="76"/>
  <c r="J151" i="76"/>
  <c r="J150" i="76"/>
  <c r="J149" i="76"/>
  <c r="J147" i="76"/>
  <c r="J146" i="76"/>
  <c r="J145" i="76"/>
  <c r="J144" i="76"/>
  <c r="J143" i="76"/>
  <c r="J142" i="76"/>
  <c r="J140" i="76"/>
  <c r="J139" i="76"/>
  <c r="J138" i="76"/>
  <c r="J137" i="76"/>
  <c r="J136" i="76"/>
  <c r="F31" i="1" l="1"/>
  <c r="V31" i="1" s="1"/>
  <c r="S129" i="76" l="1"/>
  <c r="U129" i="76" s="1"/>
  <c r="R129" i="76"/>
  <c r="P129" i="76"/>
  <c r="S128" i="76"/>
  <c r="U128" i="76" s="1"/>
  <c r="R128" i="76"/>
  <c r="P128" i="76"/>
  <c r="S127" i="76"/>
  <c r="U127" i="76" s="1"/>
  <c r="R127" i="76"/>
  <c r="P127" i="76"/>
  <c r="S126" i="76"/>
  <c r="U126" i="76" s="1"/>
  <c r="R126" i="76"/>
  <c r="P126" i="76"/>
  <c r="S125" i="76"/>
  <c r="U125" i="76" s="1"/>
  <c r="R125" i="76"/>
  <c r="P125" i="76"/>
  <c r="S124" i="76"/>
  <c r="U124" i="76" s="1"/>
  <c r="R124" i="76"/>
  <c r="P124" i="76"/>
  <c r="S122" i="76"/>
  <c r="U122" i="76" s="1"/>
  <c r="R122" i="76"/>
  <c r="P122" i="76"/>
  <c r="S121" i="76"/>
  <c r="U121" i="76" s="1"/>
  <c r="R121" i="76"/>
  <c r="P121" i="76"/>
  <c r="S120" i="76"/>
  <c r="U120" i="76" s="1"/>
  <c r="R120" i="76"/>
  <c r="P120" i="76"/>
  <c r="S119" i="76"/>
  <c r="U119" i="76" s="1"/>
  <c r="R119" i="76"/>
  <c r="P119" i="76"/>
  <c r="S118" i="76"/>
  <c r="U118" i="76" s="1"/>
  <c r="R118" i="76"/>
  <c r="P118" i="76"/>
  <c r="S117" i="76"/>
  <c r="U117" i="76" s="1"/>
  <c r="R117" i="76"/>
  <c r="P117" i="76"/>
  <c r="P114" i="76"/>
  <c r="P113" i="76"/>
  <c r="P112" i="76"/>
  <c r="P111" i="76"/>
  <c r="P110" i="76"/>
  <c r="R115" i="76"/>
  <c r="P115" i="76"/>
  <c r="R114" i="76"/>
  <c r="R113" i="76"/>
  <c r="R112" i="76"/>
  <c r="R110" i="76"/>
  <c r="V117" i="76" l="1"/>
  <c r="V119" i="76"/>
  <c r="V124" i="76"/>
  <c r="V128" i="76"/>
  <c r="V122" i="76"/>
  <c r="V126" i="76"/>
  <c r="V127" i="76"/>
  <c r="V125" i="76"/>
  <c r="V129" i="76"/>
  <c r="V118" i="76"/>
  <c r="V120" i="76"/>
  <c r="V121" i="76"/>
  <c r="S111" i="76"/>
  <c r="U111" i="76" s="1"/>
  <c r="S112" i="76"/>
  <c r="U112" i="76" s="1"/>
  <c r="S113" i="76"/>
  <c r="U113" i="76" s="1"/>
  <c r="S114" i="76"/>
  <c r="U114" i="76" s="1"/>
  <c r="R111" i="76"/>
  <c r="J120" i="150" l="1"/>
  <c r="K120" i="150" s="1"/>
  <c r="L120" i="150" s="1"/>
  <c r="J127" i="150"/>
  <c r="K127" i="150" s="1"/>
  <c r="L127" i="150" s="1"/>
  <c r="J124" i="150"/>
  <c r="K124" i="150" s="1"/>
  <c r="J121" i="150"/>
  <c r="K121" i="150" s="1"/>
  <c r="L121" i="150" s="1"/>
  <c r="J125" i="150"/>
  <c r="K125" i="150" s="1"/>
  <c r="L125" i="150" s="1"/>
  <c r="J118" i="150"/>
  <c r="K118" i="150" s="1"/>
  <c r="L118" i="150" s="1"/>
  <c r="J126" i="150"/>
  <c r="K126" i="150" s="1"/>
  <c r="L126" i="150" s="1"/>
  <c r="J119" i="150"/>
  <c r="K119" i="150" s="1"/>
  <c r="L119" i="150" s="1"/>
  <c r="J128" i="150"/>
  <c r="K128" i="150" s="1"/>
  <c r="L128" i="150" s="1"/>
  <c r="J129" i="150"/>
  <c r="J122" i="150"/>
  <c r="J117" i="150"/>
  <c r="K117" i="150" s="1"/>
  <c r="V114" i="76"/>
  <c r="V113" i="76"/>
  <c r="V112" i="76"/>
  <c r="V111" i="76"/>
  <c r="K122" i="150" l="1"/>
  <c r="J114" i="150"/>
  <c r="K114" i="150" s="1"/>
  <c r="L114" i="150" s="1"/>
  <c r="J111" i="150"/>
  <c r="K111" i="150" s="1"/>
  <c r="L111" i="150" s="1"/>
  <c r="K129" i="150"/>
  <c r="J112" i="150"/>
  <c r="K112" i="150" s="1"/>
  <c r="L112" i="150" s="1"/>
  <c r="L117" i="150"/>
  <c r="L122" i="150" s="1"/>
  <c r="J113" i="150"/>
  <c r="K113" i="150" s="1"/>
  <c r="L113" i="150" s="1"/>
  <c r="L124" i="150"/>
  <c r="L129" i="150" s="1"/>
  <c r="S110" i="76"/>
  <c r="U110" i="76" s="1"/>
  <c r="S115" i="76"/>
  <c r="U115" i="76" s="1"/>
  <c r="P62" i="123"/>
  <c r="Q62" i="123" s="1"/>
  <c r="P61" i="123"/>
  <c r="Q61" i="123" s="1"/>
  <c r="P60" i="123"/>
  <c r="Q60" i="123" s="1"/>
  <c r="P59" i="123"/>
  <c r="Q59" i="123" s="1"/>
  <c r="P58" i="123"/>
  <c r="Q58" i="123" s="1"/>
  <c r="P60" i="119"/>
  <c r="Q60" i="119" s="1"/>
  <c r="P59" i="119"/>
  <c r="Q59" i="119" s="1"/>
  <c r="P58" i="119"/>
  <c r="Q58" i="119" s="1"/>
  <c r="P57" i="119"/>
  <c r="Q57" i="119" s="1"/>
  <c r="P56" i="119"/>
  <c r="Q56" i="119" s="1"/>
  <c r="P60" i="91"/>
  <c r="Q60" i="91" s="1"/>
  <c r="P59" i="91"/>
  <c r="Q59" i="91" s="1"/>
  <c r="P58" i="91"/>
  <c r="Q58" i="91" s="1"/>
  <c r="P57" i="91"/>
  <c r="Q57" i="91" s="1"/>
  <c r="P56" i="91"/>
  <c r="Q56" i="91" s="1"/>
  <c r="P60" i="90"/>
  <c r="Q60" i="90" s="1"/>
  <c r="P59" i="90"/>
  <c r="Q59" i="90" s="1"/>
  <c r="P58" i="90"/>
  <c r="Q58" i="90" s="1"/>
  <c r="P57" i="90"/>
  <c r="Q57" i="90" s="1"/>
  <c r="P56" i="90"/>
  <c r="Q56" i="90" s="1"/>
  <c r="P60" i="70"/>
  <c r="Q60" i="70" s="1"/>
  <c r="P59" i="70"/>
  <c r="Q59" i="70" s="1"/>
  <c r="P58" i="70"/>
  <c r="Q58" i="70" s="1"/>
  <c r="P57" i="70"/>
  <c r="Q57" i="70" s="1"/>
  <c r="P56" i="70"/>
  <c r="Q56" i="70" s="1"/>
  <c r="P60" i="66"/>
  <c r="Q60" i="66" s="1"/>
  <c r="P59" i="66"/>
  <c r="Q59" i="66" s="1"/>
  <c r="P58" i="66"/>
  <c r="Q58" i="66" s="1"/>
  <c r="P57" i="66"/>
  <c r="Q57" i="66" s="1"/>
  <c r="P56" i="66"/>
  <c r="Q56" i="66" s="1"/>
  <c r="P60" i="64"/>
  <c r="Q60" i="64" s="1"/>
  <c r="P59" i="64"/>
  <c r="Q59" i="64" s="1"/>
  <c r="P58" i="64"/>
  <c r="Q58" i="64" s="1"/>
  <c r="P57" i="64"/>
  <c r="Q57" i="64" s="1"/>
  <c r="P56" i="64"/>
  <c r="Q56" i="64" s="1"/>
  <c r="P60" i="62"/>
  <c r="Q60" i="62" s="1"/>
  <c r="P59" i="62"/>
  <c r="Q59" i="62" s="1"/>
  <c r="P58" i="62"/>
  <c r="Q58" i="62" s="1"/>
  <c r="P57" i="62"/>
  <c r="Q57" i="62" s="1"/>
  <c r="P56" i="62"/>
  <c r="Q56" i="62" s="1"/>
  <c r="P56" i="89"/>
  <c r="Q56" i="89" s="1"/>
  <c r="P57" i="89"/>
  <c r="Q57" i="89" s="1"/>
  <c r="P58" i="89"/>
  <c r="Q58" i="89" s="1"/>
  <c r="P59" i="89"/>
  <c r="Q59" i="89"/>
  <c r="P60" i="89"/>
  <c r="Q60" i="89" s="1"/>
  <c r="P56" i="86"/>
  <c r="Q56" i="86" s="1"/>
  <c r="P57" i="86"/>
  <c r="Q57" i="86" s="1"/>
  <c r="P58" i="86"/>
  <c r="Q58" i="86" s="1"/>
  <c r="P59" i="86"/>
  <c r="Q59" i="86" s="1"/>
  <c r="P60" i="86"/>
  <c r="Q60" i="86" s="1"/>
  <c r="P60" i="61"/>
  <c r="Q60" i="61" s="1"/>
  <c r="P59" i="61"/>
  <c r="Q59" i="61" s="1"/>
  <c r="P58" i="61"/>
  <c r="Q58" i="61" s="1"/>
  <c r="P57" i="61"/>
  <c r="Q57" i="61" s="1"/>
  <c r="P56" i="61"/>
  <c r="Q56" i="61" s="1"/>
  <c r="P60" i="60"/>
  <c r="Q60" i="60" s="1"/>
  <c r="P59" i="60"/>
  <c r="Q59" i="60" s="1"/>
  <c r="P58" i="60"/>
  <c r="Q58" i="60" s="1"/>
  <c r="P57" i="60"/>
  <c r="Q57" i="60" s="1"/>
  <c r="P56" i="60"/>
  <c r="Q56" i="60" s="1"/>
  <c r="P57" i="123"/>
  <c r="Q57" i="123" s="1"/>
  <c r="P60" i="88"/>
  <c r="Q60" i="88" s="1"/>
  <c r="P59" i="88"/>
  <c r="Q59" i="88" s="1"/>
  <c r="P58" i="88"/>
  <c r="Q58" i="88" s="1"/>
  <c r="P57" i="88"/>
  <c r="Q57" i="88" s="1"/>
  <c r="P56" i="88"/>
  <c r="Q56" i="88" s="1"/>
  <c r="P60" i="87"/>
  <c r="Q60" i="87" s="1"/>
  <c r="P59" i="87"/>
  <c r="Q59" i="87" s="1"/>
  <c r="Q58" i="87"/>
  <c r="P58" i="87"/>
  <c r="P57" i="87"/>
  <c r="Q57" i="87" s="1"/>
  <c r="P56" i="87"/>
  <c r="Q56" i="87" s="1"/>
  <c r="P60" i="49"/>
  <c r="Q60" i="49" s="1"/>
  <c r="P59" i="49"/>
  <c r="Q59" i="49" s="1"/>
  <c r="P58" i="49"/>
  <c r="Q58" i="49" s="1"/>
  <c r="P57" i="49"/>
  <c r="Q57" i="49" s="1"/>
  <c r="P56" i="49"/>
  <c r="Q56" i="49" s="1"/>
  <c r="P54" i="84"/>
  <c r="Q54" i="84" s="1"/>
  <c r="P53" i="84"/>
  <c r="Q53" i="84" s="1"/>
  <c r="P52" i="84"/>
  <c r="Q52" i="84" s="1"/>
  <c r="P51" i="84"/>
  <c r="Q51" i="84" s="1"/>
  <c r="P50" i="84"/>
  <c r="Q50" i="84" s="1"/>
  <c r="P54" i="95"/>
  <c r="Q54" i="95" s="1"/>
  <c r="P53" i="95"/>
  <c r="Q53" i="95" s="1"/>
  <c r="P52" i="95"/>
  <c r="Q52" i="95" s="1"/>
  <c r="P51" i="95"/>
  <c r="Q51" i="95" s="1"/>
  <c r="P50" i="95"/>
  <c r="Q50" i="95" s="1"/>
  <c r="P54" i="97"/>
  <c r="Q54" i="97" s="1"/>
  <c r="P53" i="97"/>
  <c r="Q53" i="97" s="1"/>
  <c r="P52" i="97"/>
  <c r="Q52" i="97" s="1"/>
  <c r="P51" i="97"/>
  <c r="Q51" i="97" s="1"/>
  <c r="P50" i="97"/>
  <c r="Q50" i="97" s="1"/>
  <c r="P54" i="98"/>
  <c r="Q54" i="98" s="1"/>
  <c r="P53" i="98"/>
  <c r="Q53" i="98" s="1"/>
  <c r="P52" i="98"/>
  <c r="Q52" i="98" s="1"/>
  <c r="P51" i="98"/>
  <c r="Q51" i="98" s="1"/>
  <c r="P50" i="98"/>
  <c r="Q50" i="98" s="1"/>
  <c r="P54" i="99"/>
  <c r="Q54" i="99" s="1"/>
  <c r="P53" i="99"/>
  <c r="Q53" i="99" s="1"/>
  <c r="P52" i="99"/>
  <c r="Q52" i="99" s="1"/>
  <c r="P51" i="99"/>
  <c r="Q51" i="99" s="1"/>
  <c r="P50" i="99"/>
  <c r="Q50" i="99" s="1"/>
  <c r="P54" i="67"/>
  <c r="Q54" i="67" s="1"/>
  <c r="P53" i="67"/>
  <c r="Q53" i="67" s="1"/>
  <c r="P52" i="67"/>
  <c r="Q52" i="67" s="1"/>
  <c r="P51" i="67"/>
  <c r="Q51" i="67" s="1"/>
  <c r="P50" i="67"/>
  <c r="Q50" i="67" s="1"/>
  <c r="P54" i="48"/>
  <c r="Q54" i="48" s="1"/>
  <c r="P53" i="48"/>
  <c r="Q53" i="48" s="1"/>
  <c r="P52" i="48"/>
  <c r="Q52" i="48" s="1"/>
  <c r="P51" i="48"/>
  <c r="Q51" i="48" s="1"/>
  <c r="P50" i="48"/>
  <c r="Q50" i="48" s="1"/>
  <c r="P54" i="47"/>
  <c r="Q54" i="47" s="1"/>
  <c r="P53" i="47"/>
  <c r="Q53" i="47" s="1"/>
  <c r="P52" i="47"/>
  <c r="Q52" i="47" s="1"/>
  <c r="P51" i="47"/>
  <c r="Q51" i="47" s="1"/>
  <c r="P50" i="47"/>
  <c r="Q50" i="47" s="1"/>
  <c r="P54" i="45"/>
  <c r="Q54" i="45" s="1"/>
  <c r="P53" i="45"/>
  <c r="Q53" i="45" s="1"/>
  <c r="P52" i="45"/>
  <c r="Q52" i="45" s="1"/>
  <c r="P51" i="45"/>
  <c r="Q51" i="45" s="1"/>
  <c r="P50" i="45"/>
  <c r="Q50" i="45" s="1"/>
  <c r="P54" i="44"/>
  <c r="Q54" i="44" s="1"/>
  <c r="P53" i="44"/>
  <c r="Q53" i="44" s="1"/>
  <c r="P52" i="44"/>
  <c r="Q52" i="44" s="1"/>
  <c r="P51" i="44"/>
  <c r="Q51" i="44" s="1"/>
  <c r="P50" i="44"/>
  <c r="Q50" i="44" s="1"/>
  <c r="P54" i="41"/>
  <c r="Q54" i="41" s="1"/>
  <c r="P53" i="41"/>
  <c r="Q53" i="41" s="1"/>
  <c r="P52" i="41"/>
  <c r="Q52" i="41" s="1"/>
  <c r="P51" i="41"/>
  <c r="Q51" i="41" s="1"/>
  <c r="P50" i="41"/>
  <c r="Q50" i="41" s="1"/>
  <c r="P54" i="1"/>
  <c r="Q54" i="1" s="1"/>
  <c r="P53" i="1"/>
  <c r="Q53" i="1" s="1"/>
  <c r="P52" i="1"/>
  <c r="Q52" i="1" s="1"/>
  <c r="P51" i="1"/>
  <c r="P50" i="1"/>
  <c r="Q50" i="1" s="1"/>
  <c r="Q40" i="41"/>
  <c r="O30" i="149" s="1"/>
  <c r="S30" i="149" s="1"/>
  <c r="E30" i="149" s="1"/>
  <c r="Q39" i="41"/>
  <c r="Q38" i="41"/>
  <c r="Q37" i="41"/>
  <c r="Q34" i="41"/>
  <c r="O29" i="149" s="1"/>
  <c r="S29" i="149" s="1"/>
  <c r="E29" i="149" s="1"/>
  <c r="Q33" i="41"/>
  <c r="Q32" i="41"/>
  <c r="Q31" i="41"/>
  <c r="Q28" i="41"/>
  <c r="O28" i="149" s="1"/>
  <c r="S28" i="149" s="1"/>
  <c r="E28" i="149" s="1"/>
  <c r="Q27" i="41"/>
  <c r="Q26" i="41"/>
  <c r="Q25" i="41"/>
  <c r="Q22" i="41"/>
  <c r="O27" i="149" s="1"/>
  <c r="S27" i="149" s="1"/>
  <c r="E27" i="149" s="1"/>
  <c r="Q21" i="41"/>
  <c r="Q20" i="41"/>
  <c r="Q19" i="41"/>
  <c r="Q16" i="41"/>
  <c r="O26" i="149" s="1"/>
  <c r="Q15" i="41"/>
  <c r="Q14" i="41"/>
  <c r="Q13" i="41"/>
  <c r="Q40" i="44"/>
  <c r="O37" i="149" s="1"/>
  <c r="S37" i="149" s="1"/>
  <c r="E37" i="149" s="1"/>
  <c r="Q39" i="44"/>
  <c r="Q38" i="44"/>
  <c r="Q37" i="44"/>
  <c r="Q34" i="44"/>
  <c r="O36" i="149" s="1"/>
  <c r="S36" i="149" s="1"/>
  <c r="E36" i="149" s="1"/>
  <c r="Q33" i="44"/>
  <c r="Q32" i="44"/>
  <c r="Q31" i="44"/>
  <c r="Q28" i="44"/>
  <c r="O35" i="149" s="1"/>
  <c r="S35" i="149" s="1"/>
  <c r="E35" i="149" s="1"/>
  <c r="Q27" i="44"/>
  <c r="Q26" i="44"/>
  <c r="Q25" i="44"/>
  <c r="Q22" i="44"/>
  <c r="O34" i="149" s="1"/>
  <c r="S34" i="149" s="1"/>
  <c r="E34" i="149" s="1"/>
  <c r="Q21" i="44"/>
  <c r="Q20" i="44"/>
  <c r="Q19" i="44"/>
  <c r="Q16" i="44"/>
  <c r="O33" i="149" s="1"/>
  <c r="Q15" i="44"/>
  <c r="Q14" i="44"/>
  <c r="Q13" i="44"/>
  <c r="Q40" i="45"/>
  <c r="O44" i="149" s="1"/>
  <c r="S44" i="149" s="1"/>
  <c r="E44" i="149" s="1"/>
  <c r="Q39" i="45"/>
  <c r="Q38" i="45"/>
  <c r="Q37" i="45"/>
  <c r="Q34" i="45"/>
  <c r="O43" i="149" s="1"/>
  <c r="S43" i="149" s="1"/>
  <c r="E43" i="149" s="1"/>
  <c r="Q33" i="45"/>
  <c r="Q32" i="45"/>
  <c r="Q31" i="45"/>
  <c r="Q28" i="45"/>
  <c r="O42" i="149" s="1"/>
  <c r="S42" i="149" s="1"/>
  <c r="E42" i="149" s="1"/>
  <c r="Q27" i="45"/>
  <c r="Q26" i="45"/>
  <c r="Q25" i="45"/>
  <c r="Q22" i="45"/>
  <c r="O41" i="149" s="1"/>
  <c r="S41" i="149" s="1"/>
  <c r="E41" i="149" s="1"/>
  <c r="Q21" i="45"/>
  <c r="Q20" i="45"/>
  <c r="Q19" i="45"/>
  <c r="Q16" i="45"/>
  <c r="O40" i="149" s="1"/>
  <c r="Q15" i="45"/>
  <c r="Q14" i="45"/>
  <c r="Q45" i="45" s="1"/>
  <c r="Q13" i="45"/>
  <c r="Q40" i="47"/>
  <c r="O51" i="149" s="1"/>
  <c r="S51" i="149" s="1"/>
  <c r="E51" i="149" s="1"/>
  <c r="Q39" i="47"/>
  <c r="Q38" i="47"/>
  <c r="Q37" i="47"/>
  <c r="Q34" i="47"/>
  <c r="O50" i="149" s="1"/>
  <c r="S50" i="149" s="1"/>
  <c r="E50" i="149" s="1"/>
  <c r="Q33" i="47"/>
  <c r="Q32" i="47"/>
  <c r="Q31" i="47"/>
  <c r="Q28" i="47"/>
  <c r="O49" i="149" s="1"/>
  <c r="S49" i="149" s="1"/>
  <c r="E49" i="149" s="1"/>
  <c r="Q27" i="47"/>
  <c r="Q26" i="47"/>
  <c r="Q25" i="47"/>
  <c r="Q22" i="47"/>
  <c r="O48" i="149" s="1"/>
  <c r="S48" i="149" s="1"/>
  <c r="E48" i="149" s="1"/>
  <c r="Q21" i="47"/>
  <c r="Q20" i="47"/>
  <c r="Q19" i="47"/>
  <c r="Q16" i="47"/>
  <c r="O47" i="149" s="1"/>
  <c r="Q15" i="47"/>
  <c r="Q14" i="47"/>
  <c r="Q45" i="47" s="1"/>
  <c r="Q13" i="47"/>
  <c r="Q40" i="48"/>
  <c r="O63" i="149" s="1"/>
  <c r="S63" i="149" s="1"/>
  <c r="E63" i="149" s="1"/>
  <c r="Q39" i="48"/>
  <c r="Q38" i="48"/>
  <c r="Q37" i="48"/>
  <c r="Q34" i="48"/>
  <c r="O62" i="149" s="1"/>
  <c r="S62" i="149" s="1"/>
  <c r="E62" i="149" s="1"/>
  <c r="Q33" i="48"/>
  <c r="Q32" i="48"/>
  <c r="Q31" i="48"/>
  <c r="Q28" i="48"/>
  <c r="Q27" i="48"/>
  <c r="Q26" i="48"/>
  <c r="Q25" i="48"/>
  <c r="Q22" i="48"/>
  <c r="O61" i="149" s="1"/>
  <c r="S61" i="149" s="1"/>
  <c r="E61" i="149" s="1"/>
  <c r="Q21" i="48"/>
  <c r="Q20" i="48"/>
  <c r="Q19" i="48"/>
  <c r="Q16" i="48"/>
  <c r="O60" i="149" s="1"/>
  <c r="Q15" i="48"/>
  <c r="Q14" i="48"/>
  <c r="Q13" i="48"/>
  <c r="Q40" i="67"/>
  <c r="O57" i="149" s="1"/>
  <c r="S57" i="149" s="1"/>
  <c r="E57" i="149" s="1"/>
  <c r="Q39" i="67"/>
  <c r="Q38" i="67"/>
  <c r="Q37" i="67"/>
  <c r="Q34" i="67"/>
  <c r="O56" i="149" s="1"/>
  <c r="S56" i="149" s="1"/>
  <c r="E56" i="149" s="1"/>
  <c r="Q33" i="67"/>
  <c r="Q32" i="67"/>
  <c r="Q31" i="67"/>
  <c r="Q28" i="67"/>
  <c r="Q27" i="67"/>
  <c r="Q26" i="67"/>
  <c r="Q25" i="67"/>
  <c r="Q22" i="67"/>
  <c r="O55" i="149" s="1"/>
  <c r="S55" i="149" s="1"/>
  <c r="E55" i="149" s="1"/>
  <c r="Q21" i="67"/>
  <c r="Q20" i="67"/>
  <c r="Q19" i="67"/>
  <c r="Q16" i="67"/>
  <c r="O54" i="149" s="1"/>
  <c r="Q15" i="67"/>
  <c r="Q14" i="67"/>
  <c r="Q13" i="67"/>
  <c r="Q40" i="99"/>
  <c r="O69" i="149" s="1"/>
  <c r="S69" i="149" s="1"/>
  <c r="E69" i="149" s="1"/>
  <c r="Q39" i="99"/>
  <c r="Q38" i="99"/>
  <c r="Q37" i="99"/>
  <c r="Q34" i="99"/>
  <c r="O68" i="149" s="1"/>
  <c r="S68" i="149" s="1"/>
  <c r="E68" i="149" s="1"/>
  <c r="Q33" i="99"/>
  <c r="Q32" i="99"/>
  <c r="Q31" i="99"/>
  <c r="Q28" i="99"/>
  <c r="Q27" i="99"/>
  <c r="Q26" i="99"/>
  <c r="Q25" i="99"/>
  <c r="Q22" i="99"/>
  <c r="O67" i="149" s="1"/>
  <c r="S67" i="149" s="1"/>
  <c r="E67" i="149" s="1"/>
  <c r="Q21" i="99"/>
  <c r="Q20" i="99"/>
  <c r="Q19" i="99"/>
  <c r="Q16" i="99"/>
  <c r="O66" i="149" s="1"/>
  <c r="Q15" i="99"/>
  <c r="Q14" i="99"/>
  <c r="Q45" i="99" s="1"/>
  <c r="Q13" i="99"/>
  <c r="Q40" i="98"/>
  <c r="O75" i="149" s="1"/>
  <c r="S75" i="149" s="1"/>
  <c r="E75" i="149" s="1"/>
  <c r="Q39" i="98"/>
  <c r="Q38" i="98"/>
  <c r="Q37" i="98"/>
  <c r="Q34" i="98"/>
  <c r="O74" i="149" s="1"/>
  <c r="S74" i="149" s="1"/>
  <c r="E74" i="149" s="1"/>
  <c r="Q33" i="98"/>
  <c r="Q32" i="98"/>
  <c r="Q31" i="98"/>
  <c r="Q28" i="98"/>
  <c r="Q27" i="98"/>
  <c r="Q26" i="98"/>
  <c r="Q25" i="98"/>
  <c r="Q22" i="98"/>
  <c r="O73" i="149" s="1"/>
  <c r="S73" i="149" s="1"/>
  <c r="E73" i="149" s="1"/>
  <c r="Q21" i="98"/>
  <c r="Q20" i="98"/>
  <c r="Q19" i="98"/>
  <c r="Q16" i="98"/>
  <c r="O72" i="149" s="1"/>
  <c r="Q15" i="98"/>
  <c r="Q14" i="98"/>
  <c r="Q13" i="98"/>
  <c r="Q40" i="97"/>
  <c r="O81" i="149" s="1"/>
  <c r="S81" i="149" s="1"/>
  <c r="E81" i="149" s="1"/>
  <c r="Q39" i="97"/>
  <c r="Q38" i="97"/>
  <c r="Q37" i="97"/>
  <c r="Q34" i="97"/>
  <c r="O80" i="149" s="1"/>
  <c r="S80" i="149" s="1"/>
  <c r="E80" i="149" s="1"/>
  <c r="Q33" i="97"/>
  <c r="Q32" i="97"/>
  <c r="Q31" i="97"/>
  <c r="Q28" i="97"/>
  <c r="Q27" i="97"/>
  <c r="Q26" i="97"/>
  <c r="Q25" i="97"/>
  <c r="Q22" i="97"/>
  <c r="O79" i="149" s="1"/>
  <c r="S79" i="149" s="1"/>
  <c r="E79" i="149" s="1"/>
  <c r="Q21" i="97"/>
  <c r="Q20" i="97"/>
  <c r="Q19" i="97"/>
  <c r="Q16" i="97"/>
  <c r="O78" i="149" s="1"/>
  <c r="Q15" i="97"/>
  <c r="Q14" i="97"/>
  <c r="Q13" i="97"/>
  <c r="Q40" i="95"/>
  <c r="O87" i="149" s="1"/>
  <c r="S87" i="149" s="1"/>
  <c r="E87" i="149" s="1"/>
  <c r="Q39" i="95"/>
  <c r="Q38" i="95"/>
  <c r="Q37" i="95"/>
  <c r="Q34" i="95"/>
  <c r="O86" i="149" s="1"/>
  <c r="S86" i="149" s="1"/>
  <c r="E86" i="149" s="1"/>
  <c r="Q33" i="95"/>
  <c r="Q32" i="95"/>
  <c r="Q31" i="95"/>
  <c r="Q28" i="95"/>
  <c r="Q27" i="95"/>
  <c r="Q26" i="95"/>
  <c r="Q25" i="95"/>
  <c r="Q22" i="95"/>
  <c r="O85" i="149" s="1"/>
  <c r="S85" i="149" s="1"/>
  <c r="E85" i="149" s="1"/>
  <c r="Q21" i="95"/>
  <c r="Q20" i="95"/>
  <c r="Q19" i="95"/>
  <c r="Q16" i="95"/>
  <c r="O84" i="149" s="1"/>
  <c r="Q15" i="95"/>
  <c r="Q14" i="95"/>
  <c r="Q13" i="95"/>
  <c r="Q40" i="84"/>
  <c r="O107" i="149" s="1"/>
  <c r="S107" i="149" s="1"/>
  <c r="E107" i="149" s="1"/>
  <c r="Q39" i="84"/>
  <c r="Q38" i="84"/>
  <c r="Q37" i="84"/>
  <c r="Q34" i="84"/>
  <c r="O106" i="149" s="1"/>
  <c r="S106" i="149" s="1"/>
  <c r="E106" i="149" s="1"/>
  <c r="Q33" i="84"/>
  <c r="Q32" i="84"/>
  <c r="Q31" i="84"/>
  <c r="Q28" i="84"/>
  <c r="O105" i="149" s="1"/>
  <c r="S105" i="149" s="1"/>
  <c r="E105" i="149" s="1"/>
  <c r="Q27" i="84"/>
  <c r="Q26" i="84"/>
  <c r="Q25" i="84"/>
  <c r="Q22" i="84"/>
  <c r="O104" i="149" s="1"/>
  <c r="S104" i="149" s="1"/>
  <c r="E104" i="149" s="1"/>
  <c r="Q21" i="84"/>
  <c r="Q20" i="84"/>
  <c r="Q45" i="84" s="1"/>
  <c r="Q19" i="84"/>
  <c r="Q16" i="84"/>
  <c r="O103" i="149" s="1"/>
  <c r="Q45" i="49"/>
  <c r="O139" i="149" s="1"/>
  <c r="S139" i="149" s="1"/>
  <c r="E139" i="149" s="1"/>
  <c r="Q44" i="49"/>
  <c r="Q43" i="49"/>
  <c r="Q42" i="49"/>
  <c r="Q41" i="49"/>
  <c r="Q38" i="49"/>
  <c r="O138" i="149" s="1"/>
  <c r="S138" i="149" s="1"/>
  <c r="E138" i="149" s="1"/>
  <c r="Q37" i="49"/>
  <c r="Q36" i="49"/>
  <c r="Q35" i="49"/>
  <c r="Q34" i="49"/>
  <c r="Q31" i="49"/>
  <c r="O137" i="149" s="1"/>
  <c r="S137" i="149" s="1"/>
  <c r="E137" i="149" s="1"/>
  <c r="Q30" i="49"/>
  <c r="Q29" i="49"/>
  <c r="Q28" i="49"/>
  <c r="Q27" i="49"/>
  <c r="Q24" i="49"/>
  <c r="O136" i="149" s="1"/>
  <c r="S136" i="149" s="1"/>
  <c r="E136" i="149" s="1"/>
  <c r="Q23" i="49"/>
  <c r="Q22" i="49"/>
  <c r="Q21" i="49"/>
  <c r="Q20" i="49"/>
  <c r="Q17" i="49"/>
  <c r="O135" i="149" s="1"/>
  <c r="Q16" i="49"/>
  <c r="Q15" i="49"/>
  <c r="Q14" i="49"/>
  <c r="Q13" i="49"/>
  <c r="Q45" i="60"/>
  <c r="O146" i="149" s="1"/>
  <c r="S146" i="149" s="1"/>
  <c r="E146" i="149" s="1"/>
  <c r="Q44" i="60"/>
  <c r="Q43" i="60"/>
  <c r="Q42" i="60"/>
  <c r="Q41" i="60"/>
  <c r="Q38" i="60"/>
  <c r="O145" i="149" s="1"/>
  <c r="S145" i="149" s="1"/>
  <c r="E145" i="149" s="1"/>
  <c r="Q37" i="60"/>
  <c r="Q36" i="60"/>
  <c r="Q35" i="60"/>
  <c r="Q34" i="60"/>
  <c r="Q31" i="60"/>
  <c r="O144" i="149" s="1"/>
  <c r="S144" i="149" s="1"/>
  <c r="E144" i="149" s="1"/>
  <c r="Q30" i="60"/>
  <c r="Q29" i="60"/>
  <c r="Q28" i="60"/>
  <c r="Q27" i="60"/>
  <c r="Q24" i="60"/>
  <c r="O143" i="149" s="1"/>
  <c r="S143" i="149" s="1"/>
  <c r="E143" i="149" s="1"/>
  <c r="Q23" i="60"/>
  <c r="Q22" i="60"/>
  <c r="Q21" i="60"/>
  <c r="Q20" i="60"/>
  <c r="Q17" i="60"/>
  <c r="O142" i="149" s="1"/>
  <c r="Q16" i="60"/>
  <c r="Q15" i="60"/>
  <c r="Q14" i="60"/>
  <c r="Q13" i="60"/>
  <c r="Q45" i="61"/>
  <c r="O153" i="149" s="1"/>
  <c r="S153" i="149" s="1"/>
  <c r="E153" i="149" s="1"/>
  <c r="Q44" i="61"/>
  <c r="Q43" i="61"/>
  <c r="Q42" i="61"/>
  <c r="Q41" i="61"/>
  <c r="Q38" i="61"/>
  <c r="O152" i="149" s="1"/>
  <c r="S152" i="149" s="1"/>
  <c r="E152" i="149" s="1"/>
  <c r="Q37" i="61"/>
  <c r="Q36" i="61"/>
  <c r="Q35" i="61"/>
  <c r="Q34" i="61"/>
  <c r="Q31" i="61"/>
  <c r="O151" i="149" s="1"/>
  <c r="S151" i="149" s="1"/>
  <c r="E151" i="149" s="1"/>
  <c r="Q30" i="61"/>
  <c r="Q29" i="61"/>
  <c r="Q28" i="61"/>
  <c r="Q27" i="61"/>
  <c r="Q24" i="61"/>
  <c r="O150" i="149" s="1"/>
  <c r="S150" i="149" s="1"/>
  <c r="E150" i="149" s="1"/>
  <c r="Q23" i="61"/>
  <c r="Q22" i="61"/>
  <c r="Q21" i="61"/>
  <c r="Q20" i="61"/>
  <c r="Q17" i="61"/>
  <c r="O149" i="149" s="1"/>
  <c r="Q16" i="61"/>
  <c r="Q15" i="61"/>
  <c r="Q14" i="61"/>
  <c r="Q13" i="61"/>
  <c r="Q45" i="86"/>
  <c r="O160" i="149" s="1"/>
  <c r="S160" i="149" s="1"/>
  <c r="E160" i="149" s="1"/>
  <c r="Q44" i="86"/>
  <c r="Q42" i="86"/>
  <c r="Q41" i="86"/>
  <c r="Q38" i="86"/>
  <c r="O159" i="149" s="1"/>
  <c r="S159" i="149" s="1"/>
  <c r="E159" i="149" s="1"/>
  <c r="Q37" i="86"/>
  <c r="Q35" i="86"/>
  <c r="Q34" i="86"/>
  <c r="Q31" i="86"/>
  <c r="O158" i="149" s="1"/>
  <c r="S158" i="149" s="1"/>
  <c r="E158" i="149" s="1"/>
  <c r="Q30" i="86"/>
  <c r="Q28" i="86"/>
  <c r="Q27" i="86"/>
  <c r="Q24" i="86"/>
  <c r="O157" i="149" s="1"/>
  <c r="S157" i="149" s="1"/>
  <c r="E157" i="149" s="1"/>
  <c r="Q23" i="86"/>
  <c r="Q21" i="86"/>
  <c r="Q20" i="86"/>
  <c r="Q17" i="86"/>
  <c r="O156" i="149" s="1"/>
  <c r="Q16" i="86"/>
  <c r="Q14" i="86"/>
  <c r="Q13" i="86"/>
  <c r="Q45" i="87"/>
  <c r="O167" i="149" s="1"/>
  <c r="S167" i="149" s="1"/>
  <c r="E167" i="149" s="1"/>
  <c r="Q44" i="87"/>
  <c r="Q42" i="87"/>
  <c r="Q41" i="87"/>
  <c r="Q38" i="87"/>
  <c r="O166" i="149" s="1"/>
  <c r="S166" i="149" s="1"/>
  <c r="E166" i="149" s="1"/>
  <c r="Q37" i="87"/>
  <c r="Q34" i="87"/>
  <c r="Q31" i="87"/>
  <c r="O165" i="149" s="1"/>
  <c r="S165" i="149" s="1"/>
  <c r="E165" i="149" s="1"/>
  <c r="Q30" i="87"/>
  <c r="Q28" i="87"/>
  <c r="Q27" i="87"/>
  <c r="Q24" i="87"/>
  <c r="O164" i="149" s="1"/>
  <c r="S164" i="149" s="1"/>
  <c r="E164" i="149" s="1"/>
  <c r="Q23" i="87"/>
  <c r="Q21" i="87"/>
  <c r="Q20" i="87"/>
  <c r="Q17" i="87"/>
  <c r="O163" i="149" s="1"/>
  <c r="Q16" i="87"/>
  <c r="Q14" i="87"/>
  <c r="Q13" i="87"/>
  <c r="Q45" i="88"/>
  <c r="O174" i="149" s="1"/>
  <c r="S174" i="149" s="1"/>
  <c r="E174" i="149" s="1"/>
  <c r="Q44" i="88"/>
  <c r="Q42" i="88"/>
  <c r="Q41" i="88"/>
  <c r="Q38" i="88"/>
  <c r="O173" i="149" s="1"/>
  <c r="S173" i="149" s="1"/>
  <c r="E173" i="149" s="1"/>
  <c r="Q37" i="88"/>
  <c r="Q35" i="88"/>
  <c r="Q34" i="88"/>
  <c r="Q31" i="88"/>
  <c r="O172" i="149" s="1"/>
  <c r="S172" i="149" s="1"/>
  <c r="E172" i="149" s="1"/>
  <c r="Q30" i="88"/>
  <c r="Q28" i="88"/>
  <c r="Q27" i="88"/>
  <c r="Q24" i="88"/>
  <c r="O171" i="149" s="1"/>
  <c r="S171" i="149" s="1"/>
  <c r="E171" i="149" s="1"/>
  <c r="Q23" i="88"/>
  <c r="Q21" i="88"/>
  <c r="Q20" i="88"/>
  <c r="Q17" i="88"/>
  <c r="O170" i="149" s="1"/>
  <c r="Q16" i="88"/>
  <c r="Q14" i="88"/>
  <c r="Q13" i="88"/>
  <c r="Q45" i="89"/>
  <c r="O181" i="149" s="1"/>
  <c r="S181" i="149" s="1"/>
  <c r="E181" i="149" s="1"/>
  <c r="Q44" i="89"/>
  <c r="Q42" i="89"/>
  <c r="Q41" i="89"/>
  <c r="Q38" i="89"/>
  <c r="O180" i="149" s="1"/>
  <c r="S180" i="149" s="1"/>
  <c r="E180" i="149" s="1"/>
  <c r="Q37" i="89"/>
  <c r="Q35" i="89"/>
  <c r="Q34" i="89"/>
  <c r="Q31" i="89"/>
  <c r="O179" i="149" s="1"/>
  <c r="S179" i="149" s="1"/>
  <c r="E179" i="149" s="1"/>
  <c r="Q30" i="89"/>
  <c r="Q28" i="89"/>
  <c r="Q27" i="89"/>
  <c r="Q24" i="89"/>
  <c r="O178" i="149" s="1"/>
  <c r="S178" i="149" s="1"/>
  <c r="E178" i="149" s="1"/>
  <c r="Q23" i="89"/>
  <c r="Q21" i="89"/>
  <c r="Q20" i="89"/>
  <c r="Q17" i="89"/>
  <c r="O177" i="149" s="1"/>
  <c r="Q16" i="89"/>
  <c r="Q14" i="89"/>
  <c r="Q13" i="89"/>
  <c r="Q45" i="62"/>
  <c r="O194" i="149" s="1"/>
  <c r="S194" i="149" s="1"/>
  <c r="E194" i="149" s="1"/>
  <c r="Q44" i="62"/>
  <c r="Q43" i="62"/>
  <c r="Q42" i="62"/>
  <c r="Q41" i="62"/>
  <c r="Q38" i="62"/>
  <c r="O193" i="149" s="1"/>
  <c r="S193" i="149" s="1"/>
  <c r="E193" i="149" s="1"/>
  <c r="Q37" i="62"/>
  <c r="Q36" i="62"/>
  <c r="Q35" i="62"/>
  <c r="Q34" i="62"/>
  <c r="Q31" i="62"/>
  <c r="O192" i="149" s="1"/>
  <c r="S192" i="149" s="1"/>
  <c r="E192" i="149" s="1"/>
  <c r="Q30" i="62"/>
  <c r="Q29" i="62"/>
  <c r="Q28" i="62"/>
  <c r="Q27" i="62"/>
  <c r="Q24" i="62"/>
  <c r="O191" i="149" s="1"/>
  <c r="S191" i="149" s="1"/>
  <c r="E191" i="149" s="1"/>
  <c r="Q23" i="62"/>
  <c r="Q22" i="62"/>
  <c r="Q21" i="62"/>
  <c r="Q20" i="62"/>
  <c r="Q17" i="62"/>
  <c r="O190" i="149" s="1"/>
  <c r="Q16" i="62"/>
  <c r="Q15" i="62"/>
  <c r="Q14" i="62"/>
  <c r="Q13" i="62"/>
  <c r="Q45" i="64"/>
  <c r="O201" i="149" s="1"/>
  <c r="S201" i="149" s="1"/>
  <c r="E201" i="149" s="1"/>
  <c r="Q44" i="64"/>
  <c r="Q43" i="64"/>
  <c r="Q42" i="64"/>
  <c r="Q41" i="64"/>
  <c r="Q38" i="64"/>
  <c r="O200" i="149" s="1"/>
  <c r="S200" i="149" s="1"/>
  <c r="E200" i="149" s="1"/>
  <c r="Q37" i="64"/>
  <c r="Q36" i="64"/>
  <c r="Q35" i="64"/>
  <c r="Q34" i="64"/>
  <c r="Q31" i="64"/>
  <c r="O199" i="149" s="1"/>
  <c r="S199" i="149" s="1"/>
  <c r="E199" i="149" s="1"/>
  <c r="Q30" i="64"/>
  <c r="Q29" i="64"/>
  <c r="Q28" i="64"/>
  <c r="Q27" i="64"/>
  <c r="Q24" i="64"/>
  <c r="O198" i="149" s="1"/>
  <c r="S198" i="149" s="1"/>
  <c r="E198" i="149" s="1"/>
  <c r="Q23" i="64"/>
  <c r="Q22" i="64"/>
  <c r="Q21" i="64"/>
  <c r="Q20" i="64"/>
  <c r="Q17" i="64"/>
  <c r="O197" i="149" s="1"/>
  <c r="Q16" i="64"/>
  <c r="Q15" i="64"/>
  <c r="Q14" i="64"/>
  <c r="Q13" i="64"/>
  <c r="Q45" i="66"/>
  <c r="O208" i="149" s="1"/>
  <c r="S208" i="149" s="1"/>
  <c r="E208" i="149" s="1"/>
  <c r="Q44" i="66"/>
  <c r="Q43" i="66"/>
  <c r="Q42" i="66"/>
  <c r="Q41" i="66"/>
  <c r="Q38" i="66"/>
  <c r="O207" i="149" s="1"/>
  <c r="S207" i="149" s="1"/>
  <c r="E207" i="149" s="1"/>
  <c r="Q37" i="66"/>
  <c r="Q36" i="66"/>
  <c r="Q35" i="66"/>
  <c r="Q34" i="66"/>
  <c r="Q31" i="66"/>
  <c r="O206" i="149" s="1"/>
  <c r="S206" i="149" s="1"/>
  <c r="E206" i="149" s="1"/>
  <c r="Q30" i="66"/>
  <c r="Q29" i="66"/>
  <c r="Q28" i="66"/>
  <c r="Q27" i="66"/>
  <c r="Q24" i="66"/>
  <c r="O205" i="149" s="1"/>
  <c r="S205" i="149" s="1"/>
  <c r="E205" i="149" s="1"/>
  <c r="Q23" i="66"/>
  <c r="Q22" i="66"/>
  <c r="Q21" i="66"/>
  <c r="Q20" i="66"/>
  <c r="Q17" i="66"/>
  <c r="O204" i="149" s="1"/>
  <c r="Q16" i="66"/>
  <c r="Q15" i="66"/>
  <c r="Q14" i="66"/>
  <c r="Q13" i="66"/>
  <c r="Q45" i="70"/>
  <c r="O215" i="149" s="1"/>
  <c r="S215" i="149" s="1"/>
  <c r="E215" i="149" s="1"/>
  <c r="Q44" i="70"/>
  <c r="Q43" i="70"/>
  <c r="Q42" i="70"/>
  <c r="Q41" i="70"/>
  <c r="Q38" i="70"/>
  <c r="O214" i="149" s="1"/>
  <c r="S214" i="149" s="1"/>
  <c r="E214" i="149" s="1"/>
  <c r="Q37" i="70"/>
  <c r="Q36" i="70"/>
  <c r="Q35" i="70"/>
  <c r="Q34" i="70"/>
  <c r="Q31" i="70"/>
  <c r="O213" i="149" s="1"/>
  <c r="S213" i="149" s="1"/>
  <c r="E213" i="149" s="1"/>
  <c r="Q30" i="70"/>
  <c r="Q29" i="70"/>
  <c r="Q28" i="70"/>
  <c r="Q27" i="70"/>
  <c r="Q24" i="70"/>
  <c r="O212" i="149" s="1"/>
  <c r="S212" i="149" s="1"/>
  <c r="E212" i="149" s="1"/>
  <c r="Q23" i="70"/>
  <c r="Q22" i="70"/>
  <c r="Q21" i="70"/>
  <c r="Q20" i="70"/>
  <c r="Q17" i="70"/>
  <c r="O211" i="149" s="1"/>
  <c r="Q16" i="70"/>
  <c r="Q15" i="70"/>
  <c r="Q14" i="70"/>
  <c r="Q13" i="70"/>
  <c r="Q45" i="90"/>
  <c r="O222" i="149" s="1"/>
  <c r="S222" i="149" s="1"/>
  <c r="E222" i="149" s="1"/>
  <c r="Q44" i="90"/>
  <c r="Q43" i="90"/>
  <c r="Q42" i="90"/>
  <c r="Q41" i="90"/>
  <c r="Q38" i="90"/>
  <c r="O221" i="149" s="1"/>
  <c r="S221" i="149" s="1"/>
  <c r="E221" i="149" s="1"/>
  <c r="Q37" i="90"/>
  <c r="Q36" i="90"/>
  <c r="Q35" i="90"/>
  <c r="Q34" i="90"/>
  <c r="Q31" i="90"/>
  <c r="O220" i="149" s="1"/>
  <c r="S220" i="149" s="1"/>
  <c r="E220" i="149" s="1"/>
  <c r="Q30" i="90"/>
  <c r="Q29" i="90"/>
  <c r="Q28" i="90"/>
  <c r="Q27" i="90"/>
  <c r="Q24" i="90"/>
  <c r="O219" i="149" s="1"/>
  <c r="S219" i="149" s="1"/>
  <c r="E219" i="149" s="1"/>
  <c r="Q23" i="90"/>
  <c r="Q22" i="90"/>
  <c r="Q21" i="90"/>
  <c r="Q20" i="90"/>
  <c r="Q17" i="90"/>
  <c r="O218" i="149" s="1"/>
  <c r="Q16" i="90"/>
  <c r="Q15" i="90"/>
  <c r="Q14" i="90"/>
  <c r="Q13" i="90"/>
  <c r="Q45" i="91"/>
  <c r="O229" i="149" s="1"/>
  <c r="S229" i="149" s="1"/>
  <c r="E229" i="149" s="1"/>
  <c r="Q44" i="91"/>
  <c r="Q43" i="91"/>
  <c r="Q42" i="91"/>
  <c r="Q41" i="91"/>
  <c r="Q38" i="91"/>
  <c r="O228" i="149" s="1"/>
  <c r="S228" i="149" s="1"/>
  <c r="E228" i="149" s="1"/>
  <c r="Q37" i="91"/>
  <c r="Q36" i="91"/>
  <c r="Q35" i="91"/>
  <c r="Q34" i="91"/>
  <c r="Q31" i="91"/>
  <c r="O227" i="149" s="1"/>
  <c r="S227" i="149" s="1"/>
  <c r="E227" i="149" s="1"/>
  <c r="Q30" i="91"/>
  <c r="Q29" i="91"/>
  <c r="Q28" i="91"/>
  <c r="Q27" i="91"/>
  <c r="Q24" i="91"/>
  <c r="O226" i="149" s="1"/>
  <c r="S226" i="149" s="1"/>
  <c r="E226" i="149" s="1"/>
  <c r="Q23" i="91"/>
  <c r="Q22" i="91"/>
  <c r="Q21" i="91"/>
  <c r="Q20" i="91"/>
  <c r="Q17" i="91"/>
  <c r="O225" i="149" s="1"/>
  <c r="Q16" i="91"/>
  <c r="Q15" i="91"/>
  <c r="Q14" i="91"/>
  <c r="Q13" i="91"/>
  <c r="Q45" i="119"/>
  <c r="Q44" i="119"/>
  <c r="Q43" i="119"/>
  <c r="Q42" i="119"/>
  <c r="Q41" i="119"/>
  <c r="Q38" i="119"/>
  <c r="Q37" i="119"/>
  <c r="Q36" i="119"/>
  <c r="Q35" i="119"/>
  <c r="Q34" i="119"/>
  <c r="Q31" i="119"/>
  <c r="Q30" i="119"/>
  <c r="Q29" i="119"/>
  <c r="Q28" i="119"/>
  <c r="Q27" i="119"/>
  <c r="Q24" i="119"/>
  <c r="Q23" i="119"/>
  <c r="Q22" i="119"/>
  <c r="Q21" i="119"/>
  <c r="Q20" i="119"/>
  <c r="Q17" i="119"/>
  <c r="Q16" i="119"/>
  <c r="Q15" i="119"/>
  <c r="Q14" i="119"/>
  <c r="Q13" i="119"/>
  <c r="Q46" i="123"/>
  <c r="Q45" i="123"/>
  <c r="Q44" i="123"/>
  <c r="Q43" i="123"/>
  <c r="Q40" i="123"/>
  <c r="Q39" i="123"/>
  <c r="Q38" i="123"/>
  <c r="Q37" i="123"/>
  <c r="Q34" i="123"/>
  <c r="Q33" i="123"/>
  <c r="Q32" i="123"/>
  <c r="Q31" i="123"/>
  <c r="Q28" i="123"/>
  <c r="Q27" i="123"/>
  <c r="Q26" i="123"/>
  <c r="Q25" i="123"/>
  <c r="Q22" i="123"/>
  <c r="Q21" i="123"/>
  <c r="Q20" i="123"/>
  <c r="Q19" i="123"/>
  <c r="Q16" i="123"/>
  <c r="Q15" i="123"/>
  <c r="Q14" i="123"/>
  <c r="Q13" i="123"/>
  <c r="Q40" i="1"/>
  <c r="O23" i="149" s="1"/>
  <c r="S23" i="149" s="1"/>
  <c r="E23" i="149" s="1"/>
  <c r="Q39" i="1"/>
  <c r="Q38" i="1"/>
  <c r="Q37" i="1"/>
  <c r="Q34" i="1"/>
  <c r="O22" i="149" s="1"/>
  <c r="S22" i="149" s="1"/>
  <c r="E22" i="149" s="1"/>
  <c r="Q33" i="1"/>
  <c r="Q32" i="1"/>
  <c r="Q31" i="1"/>
  <c r="Q28" i="1"/>
  <c r="O21" i="149" s="1"/>
  <c r="S21" i="149" s="1"/>
  <c r="E21" i="149" s="1"/>
  <c r="Q27" i="1"/>
  <c r="Q26" i="1"/>
  <c r="Q25" i="1"/>
  <c r="Q22" i="1"/>
  <c r="O20" i="149" s="1"/>
  <c r="S20" i="149" s="1"/>
  <c r="E20" i="149" s="1"/>
  <c r="Q21" i="1"/>
  <c r="Q20" i="1"/>
  <c r="Q19" i="1"/>
  <c r="Q16" i="1"/>
  <c r="O19" i="149" s="1"/>
  <c r="Q15" i="1"/>
  <c r="Q14" i="1"/>
  <c r="Q13" i="1"/>
  <c r="P40" i="41"/>
  <c r="P39" i="41"/>
  <c r="P38" i="41"/>
  <c r="P37" i="41"/>
  <c r="P34" i="41"/>
  <c r="P33" i="41"/>
  <c r="P32" i="41"/>
  <c r="P31" i="41"/>
  <c r="P28" i="41"/>
  <c r="P27" i="41"/>
  <c r="P26" i="41"/>
  <c r="P25" i="41"/>
  <c r="P22" i="41"/>
  <c r="P21" i="41"/>
  <c r="P20" i="41"/>
  <c r="P19" i="41"/>
  <c r="P16" i="41"/>
  <c r="P15" i="41"/>
  <c r="P14" i="41"/>
  <c r="P13" i="41"/>
  <c r="O40" i="41"/>
  <c r="O39" i="41"/>
  <c r="O38" i="41"/>
  <c r="O37" i="41"/>
  <c r="O34" i="41"/>
  <c r="O33" i="41"/>
  <c r="O32" i="41"/>
  <c r="O31" i="41"/>
  <c r="O28" i="41"/>
  <c r="O27" i="41"/>
  <c r="O26" i="41"/>
  <c r="O25" i="41"/>
  <c r="O22" i="41"/>
  <c r="O21" i="41"/>
  <c r="O20" i="41"/>
  <c r="O19" i="41"/>
  <c r="O16" i="41"/>
  <c r="O15" i="41"/>
  <c r="O14" i="41"/>
  <c r="O13" i="41"/>
  <c r="N40" i="41"/>
  <c r="G30" i="149" s="1"/>
  <c r="N39" i="41"/>
  <c r="N38" i="41"/>
  <c r="N37" i="41"/>
  <c r="N34" i="41"/>
  <c r="G29" i="149" s="1"/>
  <c r="N33" i="41"/>
  <c r="N32" i="41"/>
  <c r="N31" i="41"/>
  <c r="N28" i="41"/>
  <c r="G28" i="149" s="1"/>
  <c r="N27" i="41"/>
  <c r="N26" i="41"/>
  <c r="N25" i="41"/>
  <c r="N22" i="41"/>
  <c r="G27" i="149" s="1"/>
  <c r="N21" i="41"/>
  <c r="N20" i="41"/>
  <c r="N19" i="41"/>
  <c r="N16" i="41"/>
  <c r="G26" i="149" s="1"/>
  <c r="N15" i="41"/>
  <c r="N14" i="41"/>
  <c r="N13" i="41"/>
  <c r="M40" i="41"/>
  <c r="M39" i="41"/>
  <c r="M38" i="41"/>
  <c r="M37" i="41"/>
  <c r="M34" i="41"/>
  <c r="M33" i="41"/>
  <c r="M32" i="41"/>
  <c r="M31" i="41"/>
  <c r="M28" i="41"/>
  <c r="M27" i="41"/>
  <c r="M26" i="41"/>
  <c r="M25" i="41"/>
  <c r="M22" i="41"/>
  <c r="M21" i="41"/>
  <c r="M20" i="41"/>
  <c r="M19" i="41"/>
  <c r="M16" i="41"/>
  <c r="M15" i="41"/>
  <c r="M14" i="41"/>
  <c r="M13" i="41"/>
  <c r="L40" i="41"/>
  <c r="L39" i="41"/>
  <c r="L38" i="41"/>
  <c r="L37" i="41"/>
  <c r="L34" i="41"/>
  <c r="L33" i="41"/>
  <c r="L32" i="41"/>
  <c r="L31" i="41"/>
  <c r="L28" i="41"/>
  <c r="L27" i="41"/>
  <c r="L26" i="41"/>
  <c r="L25" i="41"/>
  <c r="L22" i="41"/>
  <c r="L21" i="41"/>
  <c r="L20" i="41"/>
  <c r="L19" i="41"/>
  <c r="L16" i="41"/>
  <c r="L15" i="41"/>
  <c r="L14" i="41"/>
  <c r="L13" i="41"/>
  <c r="K40" i="41"/>
  <c r="K39" i="41"/>
  <c r="K38" i="41"/>
  <c r="K37" i="41"/>
  <c r="K34" i="41"/>
  <c r="K33" i="41"/>
  <c r="K32" i="41"/>
  <c r="K31" i="41"/>
  <c r="K28" i="41"/>
  <c r="K27" i="41"/>
  <c r="K26" i="41"/>
  <c r="K25" i="41"/>
  <c r="K22" i="41"/>
  <c r="K21" i="41"/>
  <c r="K20" i="41"/>
  <c r="K19" i="41"/>
  <c r="K16" i="41"/>
  <c r="K15" i="41"/>
  <c r="K14" i="41"/>
  <c r="K13" i="41"/>
  <c r="J40" i="41"/>
  <c r="J39" i="41"/>
  <c r="J38" i="41"/>
  <c r="J37" i="41"/>
  <c r="J34" i="41"/>
  <c r="J33" i="41"/>
  <c r="J32" i="41"/>
  <c r="J31" i="41"/>
  <c r="J28" i="41"/>
  <c r="J27" i="41"/>
  <c r="J26" i="41"/>
  <c r="J25" i="41"/>
  <c r="J22" i="41"/>
  <c r="J21" i="41"/>
  <c r="J20" i="41"/>
  <c r="J19" i="41"/>
  <c r="J16" i="41"/>
  <c r="J15" i="41"/>
  <c r="J14" i="41"/>
  <c r="J13" i="41"/>
  <c r="I40" i="41"/>
  <c r="I39" i="41"/>
  <c r="I38" i="41"/>
  <c r="I37" i="41"/>
  <c r="I34" i="41"/>
  <c r="I33" i="41"/>
  <c r="I32" i="41"/>
  <c r="I31" i="41"/>
  <c r="I28" i="41"/>
  <c r="I27" i="41"/>
  <c r="I26" i="41"/>
  <c r="I25" i="41"/>
  <c r="I22" i="41"/>
  <c r="I21" i="41"/>
  <c r="I20" i="41"/>
  <c r="I19" i="41"/>
  <c r="I16" i="41"/>
  <c r="I15" i="41"/>
  <c r="I14" i="41"/>
  <c r="I13" i="41"/>
  <c r="H40" i="41"/>
  <c r="H39" i="41"/>
  <c r="H38" i="41"/>
  <c r="H37" i="41"/>
  <c r="H34" i="41"/>
  <c r="H33" i="41"/>
  <c r="H32" i="41"/>
  <c r="H31" i="41"/>
  <c r="H28" i="41"/>
  <c r="H27" i="41"/>
  <c r="H26" i="41"/>
  <c r="H25" i="41"/>
  <c r="H22" i="41"/>
  <c r="H21" i="41"/>
  <c r="H20" i="41"/>
  <c r="H19" i="41"/>
  <c r="H16" i="41"/>
  <c r="H15" i="41"/>
  <c r="H14" i="41"/>
  <c r="H13" i="41"/>
  <c r="G40" i="41"/>
  <c r="G39" i="41"/>
  <c r="G38" i="41"/>
  <c r="G37" i="41"/>
  <c r="G34" i="41"/>
  <c r="G33" i="41"/>
  <c r="G32" i="41"/>
  <c r="G31" i="41"/>
  <c r="G28" i="41"/>
  <c r="G27" i="41"/>
  <c r="G26" i="41"/>
  <c r="G25" i="41"/>
  <c r="G22" i="41"/>
  <c r="G21" i="41"/>
  <c r="G20" i="41"/>
  <c r="G19" i="41"/>
  <c r="G16" i="41"/>
  <c r="G15" i="41"/>
  <c r="G14" i="41"/>
  <c r="G13" i="41"/>
  <c r="F40" i="41"/>
  <c r="D30" i="149" s="1"/>
  <c r="F39" i="41"/>
  <c r="V39" i="41" s="1"/>
  <c r="F38" i="41"/>
  <c r="V38" i="41" s="1"/>
  <c r="F37" i="41"/>
  <c r="V37" i="41" s="1"/>
  <c r="F34" i="41"/>
  <c r="D29" i="149" s="1"/>
  <c r="F33" i="41"/>
  <c r="V33" i="41" s="1"/>
  <c r="F32" i="41"/>
  <c r="V32" i="41" s="1"/>
  <c r="F31" i="41"/>
  <c r="V31" i="41" s="1"/>
  <c r="F28" i="41"/>
  <c r="D28" i="149" s="1"/>
  <c r="F27" i="41"/>
  <c r="V27" i="41" s="1"/>
  <c r="F26" i="41"/>
  <c r="V26" i="41" s="1"/>
  <c r="F25" i="41"/>
  <c r="V25" i="41" s="1"/>
  <c r="F22" i="41"/>
  <c r="D27" i="149" s="1"/>
  <c r="F21" i="41"/>
  <c r="V21" i="41" s="1"/>
  <c r="F20" i="41"/>
  <c r="V20" i="41" s="1"/>
  <c r="F19" i="41"/>
  <c r="V19" i="41" s="1"/>
  <c r="F16" i="41"/>
  <c r="D26" i="149" s="1"/>
  <c r="F15" i="41"/>
  <c r="V15" i="41" s="1"/>
  <c r="F14" i="41"/>
  <c r="V14" i="41" s="1"/>
  <c r="F13" i="41"/>
  <c r="V13" i="41" s="1"/>
  <c r="E39" i="41"/>
  <c r="E38" i="41"/>
  <c r="E37" i="41"/>
  <c r="E33" i="41"/>
  <c r="E32" i="41"/>
  <c r="E31" i="41"/>
  <c r="E27" i="41"/>
  <c r="E26" i="41"/>
  <c r="E25" i="41"/>
  <c r="E21" i="41"/>
  <c r="E20" i="41"/>
  <c r="E19" i="41"/>
  <c r="E15" i="41"/>
  <c r="E14" i="41"/>
  <c r="E13" i="41"/>
  <c r="C39" i="41"/>
  <c r="C38" i="41"/>
  <c r="C37" i="41"/>
  <c r="C33" i="41"/>
  <c r="C32" i="41"/>
  <c r="C31" i="41"/>
  <c r="C27" i="41"/>
  <c r="C26" i="41"/>
  <c r="C25" i="41"/>
  <c r="C21" i="41"/>
  <c r="C20" i="41"/>
  <c r="C19" i="41"/>
  <c r="C15" i="41"/>
  <c r="C14" i="41"/>
  <c r="C13" i="41"/>
  <c r="C8" i="41"/>
  <c r="P40" i="44"/>
  <c r="P39" i="44"/>
  <c r="P38" i="44"/>
  <c r="P37" i="44"/>
  <c r="P34" i="44"/>
  <c r="P33" i="44"/>
  <c r="P32" i="44"/>
  <c r="P31" i="44"/>
  <c r="P28" i="44"/>
  <c r="P27" i="44"/>
  <c r="P26" i="44"/>
  <c r="P25" i="44"/>
  <c r="P22" i="44"/>
  <c r="P21" i="44"/>
  <c r="P20" i="44"/>
  <c r="P19" i="44"/>
  <c r="P16" i="44"/>
  <c r="P15" i="44"/>
  <c r="P14" i="44"/>
  <c r="P13" i="44"/>
  <c r="O40" i="44"/>
  <c r="O39" i="44"/>
  <c r="O38" i="44"/>
  <c r="O37" i="44"/>
  <c r="O34" i="44"/>
  <c r="O33" i="44"/>
  <c r="O32" i="44"/>
  <c r="O31" i="44"/>
  <c r="O28" i="44"/>
  <c r="O27" i="44"/>
  <c r="O26" i="44"/>
  <c r="O25" i="44"/>
  <c r="O22" i="44"/>
  <c r="O21" i="44"/>
  <c r="O20" i="44"/>
  <c r="O19" i="44"/>
  <c r="O16" i="44"/>
  <c r="O15" i="44"/>
  <c r="O14" i="44"/>
  <c r="O13" i="44"/>
  <c r="N40" i="44"/>
  <c r="G37" i="149" s="1"/>
  <c r="N39" i="44"/>
  <c r="N38" i="44"/>
  <c r="N37" i="44"/>
  <c r="N34" i="44"/>
  <c r="G36" i="149" s="1"/>
  <c r="N33" i="44"/>
  <c r="N32" i="44"/>
  <c r="N31" i="44"/>
  <c r="N28" i="44"/>
  <c r="G35" i="149" s="1"/>
  <c r="N27" i="44"/>
  <c r="N26" i="44"/>
  <c r="N25" i="44"/>
  <c r="N22" i="44"/>
  <c r="G34" i="149" s="1"/>
  <c r="N21" i="44"/>
  <c r="N20" i="44"/>
  <c r="N19" i="44"/>
  <c r="N16" i="44"/>
  <c r="G33" i="149" s="1"/>
  <c r="N15" i="44"/>
  <c r="N14" i="44"/>
  <c r="N13" i="44"/>
  <c r="M40" i="44"/>
  <c r="M39" i="44"/>
  <c r="M38" i="44"/>
  <c r="M37" i="44"/>
  <c r="M34" i="44"/>
  <c r="M33" i="44"/>
  <c r="M32" i="44"/>
  <c r="M31" i="44"/>
  <c r="M28" i="44"/>
  <c r="M27" i="44"/>
  <c r="M26" i="44"/>
  <c r="M25" i="44"/>
  <c r="M22" i="44"/>
  <c r="M21" i="44"/>
  <c r="M20" i="44"/>
  <c r="M19" i="44"/>
  <c r="M16" i="44"/>
  <c r="M15" i="44"/>
  <c r="M14" i="44"/>
  <c r="M13" i="44"/>
  <c r="L40" i="44"/>
  <c r="L39" i="44"/>
  <c r="L38" i="44"/>
  <c r="L37" i="44"/>
  <c r="L34" i="44"/>
  <c r="L33" i="44"/>
  <c r="L32" i="44"/>
  <c r="L31" i="44"/>
  <c r="L28" i="44"/>
  <c r="L27" i="44"/>
  <c r="L26" i="44"/>
  <c r="L25" i="44"/>
  <c r="L22" i="44"/>
  <c r="L21" i="44"/>
  <c r="L20" i="44"/>
  <c r="L19" i="44"/>
  <c r="L16" i="44"/>
  <c r="L15" i="44"/>
  <c r="L14" i="44"/>
  <c r="L13" i="44"/>
  <c r="K40" i="44"/>
  <c r="K39" i="44"/>
  <c r="K38" i="44"/>
  <c r="K37" i="44"/>
  <c r="K34" i="44"/>
  <c r="K33" i="44"/>
  <c r="K32" i="44"/>
  <c r="K31" i="44"/>
  <c r="K28" i="44"/>
  <c r="K27" i="44"/>
  <c r="K26" i="44"/>
  <c r="K25" i="44"/>
  <c r="K22" i="44"/>
  <c r="K21" i="44"/>
  <c r="K20" i="44"/>
  <c r="K19" i="44"/>
  <c r="K16" i="44"/>
  <c r="K15" i="44"/>
  <c r="K14" i="44"/>
  <c r="K13" i="44"/>
  <c r="J40" i="44"/>
  <c r="J39" i="44"/>
  <c r="J38" i="44"/>
  <c r="J37" i="44"/>
  <c r="J34" i="44"/>
  <c r="J33" i="44"/>
  <c r="J32" i="44"/>
  <c r="J31" i="44"/>
  <c r="J28" i="44"/>
  <c r="J27" i="44"/>
  <c r="J26" i="44"/>
  <c r="J25" i="44"/>
  <c r="J22" i="44"/>
  <c r="J21" i="44"/>
  <c r="J20" i="44"/>
  <c r="J19" i="44"/>
  <c r="J16" i="44"/>
  <c r="J15" i="44"/>
  <c r="J14" i="44"/>
  <c r="J13" i="44"/>
  <c r="I40" i="44"/>
  <c r="I39" i="44"/>
  <c r="I38" i="44"/>
  <c r="I37" i="44"/>
  <c r="I34" i="44"/>
  <c r="I33" i="44"/>
  <c r="I32" i="44"/>
  <c r="I31" i="44"/>
  <c r="I28" i="44"/>
  <c r="I27" i="44"/>
  <c r="I26" i="44"/>
  <c r="I25" i="44"/>
  <c r="I22" i="44"/>
  <c r="I21" i="44"/>
  <c r="I20" i="44"/>
  <c r="I19" i="44"/>
  <c r="I16" i="44"/>
  <c r="I15" i="44"/>
  <c r="I14" i="44"/>
  <c r="I13" i="44"/>
  <c r="H40" i="44"/>
  <c r="H39" i="44"/>
  <c r="H38" i="44"/>
  <c r="H37" i="44"/>
  <c r="H34" i="44"/>
  <c r="H33" i="44"/>
  <c r="H32" i="44"/>
  <c r="H31" i="44"/>
  <c r="H28" i="44"/>
  <c r="H27" i="44"/>
  <c r="H26" i="44"/>
  <c r="H25" i="44"/>
  <c r="H22" i="44"/>
  <c r="H21" i="44"/>
  <c r="H20" i="44"/>
  <c r="H19" i="44"/>
  <c r="H16" i="44"/>
  <c r="H15" i="44"/>
  <c r="H14" i="44"/>
  <c r="H13" i="44"/>
  <c r="G40" i="44"/>
  <c r="G39" i="44"/>
  <c r="G38" i="44"/>
  <c r="G37" i="44"/>
  <c r="G34" i="44"/>
  <c r="G33" i="44"/>
  <c r="G32" i="44"/>
  <c r="G31" i="44"/>
  <c r="G28" i="44"/>
  <c r="G27" i="44"/>
  <c r="G26" i="44"/>
  <c r="G25" i="44"/>
  <c r="G22" i="44"/>
  <c r="G21" i="44"/>
  <c r="G20" i="44"/>
  <c r="G19" i="44"/>
  <c r="G16" i="44"/>
  <c r="G15" i="44"/>
  <c r="G14" i="44"/>
  <c r="G13" i="44"/>
  <c r="F40" i="44"/>
  <c r="D37" i="149" s="1"/>
  <c r="F39" i="44"/>
  <c r="V39" i="44" s="1"/>
  <c r="F38" i="44"/>
  <c r="V38" i="44" s="1"/>
  <c r="F37" i="44"/>
  <c r="V37" i="44" s="1"/>
  <c r="F34" i="44"/>
  <c r="D36" i="149" s="1"/>
  <c r="F33" i="44"/>
  <c r="V33" i="44" s="1"/>
  <c r="F32" i="44"/>
  <c r="V32" i="44" s="1"/>
  <c r="F31" i="44"/>
  <c r="V31" i="44" s="1"/>
  <c r="F28" i="44"/>
  <c r="D35" i="149" s="1"/>
  <c r="F27" i="44"/>
  <c r="V27" i="44" s="1"/>
  <c r="F26" i="44"/>
  <c r="V26" i="44" s="1"/>
  <c r="F25" i="44"/>
  <c r="V25" i="44" s="1"/>
  <c r="F22" i="44"/>
  <c r="D34" i="149" s="1"/>
  <c r="F21" i="44"/>
  <c r="V21" i="44" s="1"/>
  <c r="F20" i="44"/>
  <c r="V20" i="44" s="1"/>
  <c r="F19" i="44"/>
  <c r="V19" i="44" s="1"/>
  <c r="F16" i="44"/>
  <c r="D33" i="149" s="1"/>
  <c r="F15" i="44"/>
  <c r="V15" i="44" s="1"/>
  <c r="F14" i="44"/>
  <c r="V14" i="44" s="1"/>
  <c r="F13" i="44"/>
  <c r="E39" i="44"/>
  <c r="E38" i="44"/>
  <c r="E37" i="44"/>
  <c r="E33" i="44"/>
  <c r="E32" i="44"/>
  <c r="E31" i="44"/>
  <c r="E27" i="44"/>
  <c r="E26" i="44"/>
  <c r="E25" i="44"/>
  <c r="E21" i="44"/>
  <c r="E20" i="44"/>
  <c r="E19" i="44"/>
  <c r="E15" i="44"/>
  <c r="E14" i="44"/>
  <c r="E13" i="44"/>
  <c r="C39" i="44"/>
  <c r="C38" i="44"/>
  <c r="C37" i="44"/>
  <c r="C33" i="44"/>
  <c r="C32" i="44"/>
  <c r="C31" i="44"/>
  <c r="C27" i="44"/>
  <c r="C26" i="44"/>
  <c r="C25" i="44"/>
  <c r="C21" i="44"/>
  <c r="C20" i="44"/>
  <c r="C19" i="44"/>
  <c r="C15" i="44"/>
  <c r="C14" i="44"/>
  <c r="C13" i="44"/>
  <c r="C8" i="44"/>
  <c r="P40" i="45"/>
  <c r="P39" i="45"/>
  <c r="P38" i="45"/>
  <c r="P37" i="45"/>
  <c r="P34" i="45"/>
  <c r="P33" i="45"/>
  <c r="P32" i="45"/>
  <c r="P31" i="45"/>
  <c r="P28" i="45"/>
  <c r="P27" i="45"/>
  <c r="P26" i="45"/>
  <c r="P25" i="45"/>
  <c r="P22" i="45"/>
  <c r="P21" i="45"/>
  <c r="P20" i="45"/>
  <c r="P19" i="45"/>
  <c r="P16" i="45"/>
  <c r="P15" i="45"/>
  <c r="P14" i="45"/>
  <c r="P13" i="45"/>
  <c r="O40" i="45"/>
  <c r="O39" i="45"/>
  <c r="O38" i="45"/>
  <c r="O37" i="45"/>
  <c r="O34" i="45"/>
  <c r="O33" i="45"/>
  <c r="O32" i="45"/>
  <c r="O31" i="45"/>
  <c r="O28" i="45"/>
  <c r="O27" i="45"/>
  <c r="O26" i="45"/>
  <c r="O25" i="45"/>
  <c r="O22" i="45"/>
  <c r="O21" i="45"/>
  <c r="O20" i="45"/>
  <c r="O19" i="45"/>
  <c r="O16" i="45"/>
  <c r="O15" i="45"/>
  <c r="O14" i="45"/>
  <c r="O13" i="45"/>
  <c r="N40" i="45"/>
  <c r="G44" i="149" s="1"/>
  <c r="N39" i="45"/>
  <c r="N38" i="45"/>
  <c r="N37" i="45"/>
  <c r="N34" i="45"/>
  <c r="G43" i="149" s="1"/>
  <c r="N33" i="45"/>
  <c r="N32" i="45"/>
  <c r="N31" i="45"/>
  <c r="N28" i="45"/>
  <c r="G42" i="149" s="1"/>
  <c r="N27" i="45"/>
  <c r="N26" i="45"/>
  <c r="N25" i="45"/>
  <c r="N22" i="45"/>
  <c r="G41" i="149" s="1"/>
  <c r="N21" i="45"/>
  <c r="N20" i="45"/>
  <c r="N19" i="45"/>
  <c r="N16" i="45"/>
  <c r="G40" i="149" s="1"/>
  <c r="N15" i="45"/>
  <c r="N14" i="45"/>
  <c r="N13" i="45"/>
  <c r="M40" i="45"/>
  <c r="M39" i="45"/>
  <c r="M38" i="45"/>
  <c r="M37" i="45"/>
  <c r="M34" i="45"/>
  <c r="M33" i="45"/>
  <c r="M32" i="45"/>
  <c r="M31" i="45"/>
  <c r="M28" i="45"/>
  <c r="M27" i="45"/>
  <c r="M26" i="45"/>
  <c r="M25" i="45"/>
  <c r="M22" i="45"/>
  <c r="M21" i="45"/>
  <c r="M20" i="45"/>
  <c r="M19" i="45"/>
  <c r="M16" i="45"/>
  <c r="M15" i="45"/>
  <c r="M14" i="45"/>
  <c r="M13" i="45"/>
  <c r="L40" i="45"/>
  <c r="L39" i="45"/>
  <c r="L38" i="45"/>
  <c r="L37" i="45"/>
  <c r="L34" i="45"/>
  <c r="L33" i="45"/>
  <c r="L32" i="45"/>
  <c r="L31" i="45"/>
  <c r="L28" i="45"/>
  <c r="L27" i="45"/>
  <c r="L26" i="45"/>
  <c r="L25" i="45"/>
  <c r="L22" i="45"/>
  <c r="L21" i="45"/>
  <c r="L20" i="45"/>
  <c r="L19" i="45"/>
  <c r="L16" i="45"/>
  <c r="L15" i="45"/>
  <c r="L14" i="45"/>
  <c r="L13" i="45"/>
  <c r="K40" i="45"/>
  <c r="K39" i="45"/>
  <c r="K38" i="45"/>
  <c r="K37" i="45"/>
  <c r="K34" i="45"/>
  <c r="K33" i="45"/>
  <c r="K32" i="45"/>
  <c r="K31" i="45"/>
  <c r="K28" i="45"/>
  <c r="K27" i="45"/>
  <c r="K26" i="45"/>
  <c r="K25" i="45"/>
  <c r="K22" i="45"/>
  <c r="K21" i="45"/>
  <c r="K20" i="45"/>
  <c r="K19" i="45"/>
  <c r="K16" i="45"/>
  <c r="K15" i="45"/>
  <c r="K14" i="45"/>
  <c r="K13" i="45"/>
  <c r="J40" i="45"/>
  <c r="J39" i="45"/>
  <c r="J38" i="45"/>
  <c r="J37" i="45"/>
  <c r="J34" i="45"/>
  <c r="J33" i="45"/>
  <c r="J32" i="45"/>
  <c r="J31" i="45"/>
  <c r="J28" i="45"/>
  <c r="J27" i="45"/>
  <c r="J26" i="45"/>
  <c r="J25" i="45"/>
  <c r="J22" i="45"/>
  <c r="J21" i="45"/>
  <c r="J20" i="45"/>
  <c r="J19" i="45"/>
  <c r="J16" i="45"/>
  <c r="J15" i="45"/>
  <c r="J14" i="45"/>
  <c r="J13" i="45"/>
  <c r="I40" i="45"/>
  <c r="I39" i="45"/>
  <c r="I38" i="45"/>
  <c r="I37" i="45"/>
  <c r="I34" i="45"/>
  <c r="I33" i="45"/>
  <c r="I32" i="45"/>
  <c r="I31" i="45"/>
  <c r="I28" i="45"/>
  <c r="I27" i="45"/>
  <c r="I26" i="45"/>
  <c r="I25" i="45"/>
  <c r="I22" i="45"/>
  <c r="I21" i="45"/>
  <c r="I20" i="45"/>
  <c r="I19" i="45"/>
  <c r="I16" i="45"/>
  <c r="I15" i="45"/>
  <c r="I14" i="45"/>
  <c r="I13" i="45"/>
  <c r="H40" i="45"/>
  <c r="H39" i="45"/>
  <c r="H38" i="45"/>
  <c r="H37" i="45"/>
  <c r="H34" i="45"/>
  <c r="H33" i="45"/>
  <c r="H32" i="45"/>
  <c r="H31" i="45"/>
  <c r="H28" i="45"/>
  <c r="H27" i="45"/>
  <c r="H26" i="45"/>
  <c r="H25" i="45"/>
  <c r="H22" i="45"/>
  <c r="H21" i="45"/>
  <c r="H20" i="45"/>
  <c r="H19" i="45"/>
  <c r="H16" i="45"/>
  <c r="H15" i="45"/>
  <c r="H14" i="45"/>
  <c r="H13" i="45"/>
  <c r="G40" i="45"/>
  <c r="G39" i="45"/>
  <c r="G38" i="45"/>
  <c r="G37" i="45"/>
  <c r="G34" i="45"/>
  <c r="G33" i="45"/>
  <c r="G32" i="45"/>
  <c r="G31" i="45"/>
  <c r="G28" i="45"/>
  <c r="G27" i="45"/>
  <c r="G26" i="45"/>
  <c r="G25" i="45"/>
  <c r="G22" i="45"/>
  <c r="G21" i="45"/>
  <c r="G20" i="45"/>
  <c r="G19" i="45"/>
  <c r="G16" i="45"/>
  <c r="G15" i="45"/>
  <c r="G14" i="45"/>
  <c r="G13" i="45"/>
  <c r="F40" i="45"/>
  <c r="D44" i="149" s="1"/>
  <c r="F39" i="45"/>
  <c r="V39" i="45" s="1"/>
  <c r="F38" i="45"/>
  <c r="V38" i="45" s="1"/>
  <c r="F37" i="45"/>
  <c r="V37" i="45" s="1"/>
  <c r="F34" i="45"/>
  <c r="D43" i="149" s="1"/>
  <c r="F33" i="45"/>
  <c r="V33" i="45" s="1"/>
  <c r="F32" i="45"/>
  <c r="V32" i="45" s="1"/>
  <c r="F31" i="45"/>
  <c r="V31" i="45" s="1"/>
  <c r="F28" i="45"/>
  <c r="D42" i="149" s="1"/>
  <c r="F27" i="45"/>
  <c r="V27" i="45" s="1"/>
  <c r="F26" i="45"/>
  <c r="V26" i="45" s="1"/>
  <c r="F25" i="45"/>
  <c r="V25" i="45" s="1"/>
  <c r="F22" i="45"/>
  <c r="D41" i="149" s="1"/>
  <c r="F21" i="45"/>
  <c r="V21" i="45" s="1"/>
  <c r="F20" i="45"/>
  <c r="V20" i="45" s="1"/>
  <c r="F19" i="45"/>
  <c r="V19" i="45" s="1"/>
  <c r="F16" i="45"/>
  <c r="D40" i="149" s="1"/>
  <c r="F15" i="45"/>
  <c r="V15" i="45" s="1"/>
  <c r="F14" i="45"/>
  <c r="V14" i="45" s="1"/>
  <c r="F13" i="45"/>
  <c r="V13" i="45" s="1"/>
  <c r="E39" i="45"/>
  <c r="E38" i="45"/>
  <c r="E37" i="45"/>
  <c r="E33" i="45"/>
  <c r="E32" i="45"/>
  <c r="E31" i="45"/>
  <c r="E27" i="45"/>
  <c r="E26" i="45"/>
  <c r="E25" i="45"/>
  <c r="E21" i="45"/>
  <c r="E20" i="45"/>
  <c r="E19" i="45"/>
  <c r="E15" i="45"/>
  <c r="E14" i="45"/>
  <c r="E13" i="45"/>
  <c r="C39" i="45"/>
  <c r="C38" i="45"/>
  <c r="C37" i="45"/>
  <c r="C33" i="45"/>
  <c r="C32" i="45"/>
  <c r="C31" i="45"/>
  <c r="C27" i="45"/>
  <c r="C26" i="45"/>
  <c r="C25" i="45"/>
  <c r="C21" i="45"/>
  <c r="C20" i="45"/>
  <c r="C19" i="45"/>
  <c r="C15" i="45"/>
  <c r="C14" i="45"/>
  <c r="C13" i="45"/>
  <c r="C8" i="45"/>
  <c r="P40" i="47"/>
  <c r="P39" i="47"/>
  <c r="P38" i="47"/>
  <c r="P37" i="47"/>
  <c r="P34" i="47"/>
  <c r="P33" i="47"/>
  <c r="P32" i="47"/>
  <c r="P31" i="47"/>
  <c r="P28" i="47"/>
  <c r="P27" i="47"/>
  <c r="P26" i="47"/>
  <c r="P25" i="47"/>
  <c r="P22" i="47"/>
  <c r="P21" i="47"/>
  <c r="P20" i="47"/>
  <c r="P19" i="47"/>
  <c r="P16" i="47"/>
  <c r="P15" i="47"/>
  <c r="P14" i="47"/>
  <c r="P13" i="47"/>
  <c r="O40" i="47"/>
  <c r="O39" i="47"/>
  <c r="O38" i="47"/>
  <c r="O37" i="47"/>
  <c r="O34" i="47"/>
  <c r="O33" i="47"/>
  <c r="O32" i="47"/>
  <c r="O31" i="47"/>
  <c r="O28" i="47"/>
  <c r="O27" i="47"/>
  <c r="O26" i="47"/>
  <c r="O25" i="47"/>
  <c r="O22" i="47"/>
  <c r="O21" i="47"/>
  <c r="O20" i="47"/>
  <c r="O19" i="47"/>
  <c r="O16" i="47"/>
  <c r="O15" i="47"/>
  <c r="O14" i="47"/>
  <c r="O13" i="47"/>
  <c r="N40" i="47"/>
  <c r="G51" i="149" s="1"/>
  <c r="N39" i="47"/>
  <c r="N38" i="47"/>
  <c r="N37" i="47"/>
  <c r="N34" i="47"/>
  <c r="G50" i="149" s="1"/>
  <c r="N33" i="47"/>
  <c r="N32" i="47"/>
  <c r="N31" i="47"/>
  <c r="N28" i="47"/>
  <c r="G49" i="149" s="1"/>
  <c r="N27" i="47"/>
  <c r="N26" i="47"/>
  <c r="N25" i="47"/>
  <c r="N22" i="47"/>
  <c r="G48" i="149" s="1"/>
  <c r="N21" i="47"/>
  <c r="N20" i="47"/>
  <c r="N19" i="47"/>
  <c r="N16" i="47"/>
  <c r="G47" i="149" s="1"/>
  <c r="N15" i="47"/>
  <c r="N14" i="47"/>
  <c r="N13" i="47"/>
  <c r="M40" i="47"/>
  <c r="M39" i="47"/>
  <c r="M38" i="47"/>
  <c r="M37" i="47"/>
  <c r="M34" i="47"/>
  <c r="M33" i="47"/>
  <c r="M32" i="47"/>
  <c r="M31" i="47"/>
  <c r="M28" i="47"/>
  <c r="M27" i="47"/>
  <c r="M26" i="47"/>
  <c r="M25" i="47"/>
  <c r="M22" i="47"/>
  <c r="M21" i="47"/>
  <c r="M20" i="47"/>
  <c r="M19" i="47"/>
  <c r="M16" i="47"/>
  <c r="M15" i="47"/>
  <c r="M14" i="47"/>
  <c r="M13" i="47"/>
  <c r="L40" i="47"/>
  <c r="L39" i="47"/>
  <c r="L38" i="47"/>
  <c r="L37" i="47"/>
  <c r="L34" i="47"/>
  <c r="L33" i="47"/>
  <c r="L32" i="47"/>
  <c r="L31" i="47"/>
  <c r="L28" i="47"/>
  <c r="L27" i="47"/>
  <c r="L26" i="47"/>
  <c r="L25" i="47"/>
  <c r="L22" i="47"/>
  <c r="L21" i="47"/>
  <c r="L20" i="47"/>
  <c r="L19" i="47"/>
  <c r="L16" i="47"/>
  <c r="L15" i="47"/>
  <c r="L14" i="47"/>
  <c r="L13" i="47"/>
  <c r="K40" i="47"/>
  <c r="K39" i="47"/>
  <c r="K38" i="47"/>
  <c r="K37" i="47"/>
  <c r="K34" i="47"/>
  <c r="K33" i="47"/>
  <c r="K32" i="47"/>
  <c r="K31" i="47"/>
  <c r="K28" i="47"/>
  <c r="K27" i="47"/>
  <c r="K26" i="47"/>
  <c r="K25" i="47"/>
  <c r="K22" i="47"/>
  <c r="K21" i="47"/>
  <c r="K20" i="47"/>
  <c r="K19" i="47"/>
  <c r="K16" i="47"/>
  <c r="K15" i="47"/>
  <c r="K14" i="47"/>
  <c r="K13" i="47"/>
  <c r="J40" i="47"/>
  <c r="J39" i="47"/>
  <c r="J38" i="47"/>
  <c r="J37" i="47"/>
  <c r="J34" i="47"/>
  <c r="J33" i="47"/>
  <c r="J32" i="47"/>
  <c r="J31" i="47"/>
  <c r="J28" i="47"/>
  <c r="J27" i="47"/>
  <c r="J26" i="47"/>
  <c r="J25" i="47"/>
  <c r="J22" i="47"/>
  <c r="J21" i="47"/>
  <c r="J20" i="47"/>
  <c r="J19" i="47"/>
  <c r="J16" i="47"/>
  <c r="J15" i="47"/>
  <c r="J14" i="47"/>
  <c r="J13" i="47"/>
  <c r="I40" i="47"/>
  <c r="I39" i="47"/>
  <c r="I38" i="47"/>
  <c r="I37" i="47"/>
  <c r="I34" i="47"/>
  <c r="I33" i="47"/>
  <c r="I32" i="47"/>
  <c r="I31" i="47"/>
  <c r="I28" i="47"/>
  <c r="I27" i="47"/>
  <c r="I26" i="47"/>
  <c r="I25" i="47"/>
  <c r="I22" i="47"/>
  <c r="I21" i="47"/>
  <c r="I20" i="47"/>
  <c r="I19" i="47"/>
  <c r="I16" i="47"/>
  <c r="I15" i="47"/>
  <c r="I14" i="47"/>
  <c r="I13" i="47"/>
  <c r="H40" i="47"/>
  <c r="H39" i="47"/>
  <c r="H38" i="47"/>
  <c r="H37" i="47"/>
  <c r="H34" i="47"/>
  <c r="H33" i="47"/>
  <c r="H32" i="47"/>
  <c r="H31" i="47"/>
  <c r="H28" i="47"/>
  <c r="H27" i="47"/>
  <c r="H26" i="47"/>
  <c r="H25" i="47"/>
  <c r="H22" i="47"/>
  <c r="H21" i="47"/>
  <c r="H20" i="47"/>
  <c r="H19" i="47"/>
  <c r="H16" i="47"/>
  <c r="H15" i="47"/>
  <c r="H14" i="47"/>
  <c r="H13" i="47"/>
  <c r="G40" i="47"/>
  <c r="G39" i="47"/>
  <c r="G38" i="47"/>
  <c r="G37" i="47"/>
  <c r="G34" i="47"/>
  <c r="G33" i="47"/>
  <c r="G32" i="47"/>
  <c r="G31" i="47"/>
  <c r="G28" i="47"/>
  <c r="G27" i="47"/>
  <c r="G26" i="47"/>
  <c r="G25" i="47"/>
  <c r="G22" i="47"/>
  <c r="G21" i="47"/>
  <c r="G20" i="47"/>
  <c r="G19" i="47"/>
  <c r="G16" i="47"/>
  <c r="G15" i="47"/>
  <c r="G14" i="47"/>
  <c r="G13" i="47"/>
  <c r="F40" i="47"/>
  <c r="D51" i="149" s="1"/>
  <c r="F39" i="47"/>
  <c r="V39" i="47" s="1"/>
  <c r="F38" i="47"/>
  <c r="V38" i="47" s="1"/>
  <c r="F37" i="47"/>
  <c r="V37" i="47" s="1"/>
  <c r="F34" i="47"/>
  <c r="D50" i="149" s="1"/>
  <c r="F33" i="47"/>
  <c r="V33" i="47" s="1"/>
  <c r="F32" i="47"/>
  <c r="V32" i="47" s="1"/>
  <c r="F31" i="47"/>
  <c r="V31" i="47" s="1"/>
  <c r="F28" i="47"/>
  <c r="D49" i="149" s="1"/>
  <c r="F27" i="47"/>
  <c r="V27" i="47" s="1"/>
  <c r="F26" i="47"/>
  <c r="V26" i="47" s="1"/>
  <c r="F25" i="47"/>
  <c r="V25" i="47" s="1"/>
  <c r="F22" i="47"/>
  <c r="D48" i="149" s="1"/>
  <c r="F21" i="47"/>
  <c r="V21" i="47" s="1"/>
  <c r="F20" i="47"/>
  <c r="V20" i="47" s="1"/>
  <c r="F19" i="47"/>
  <c r="V19" i="47" s="1"/>
  <c r="F16" i="47"/>
  <c r="D47" i="149" s="1"/>
  <c r="F15" i="47"/>
  <c r="V15" i="47" s="1"/>
  <c r="F14" i="47"/>
  <c r="V14" i="47" s="1"/>
  <c r="F13" i="47"/>
  <c r="V13" i="47" s="1"/>
  <c r="E39" i="47"/>
  <c r="E38" i="47"/>
  <c r="E37" i="47"/>
  <c r="E33" i="47"/>
  <c r="E32" i="47"/>
  <c r="E31" i="47"/>
  <c r="E27" i="47"/>
  <c r="E26" i="47"/>
  <c r="E25" i="47"/>
  <c r="E21" i="47"/>
  <c r="E20" i="47"/>
  <c r="E19" i="47"/>
  <c r="E15" i="47"/>
  <c r="E14" i="47"/>
  <c r="E13" i="47"/>
  <c r="C39" i="47"/>
  <c r="C38" i="47"/>
  <c r="C37" i="47"/>
  <c r="C33" i="47"/>
  <c r="C32" i="47"/>
  <c r="C31" i="47"/>
  <c r="C27" i="47"/>
  <c r="C26" i="47"/>
  <c r="C25" i="47"/>
  <c r="C21" i="47"/>
  <c r="C20" i="47"/>
  <c r="C19" i="47"/>
  <c r="C15" i="47"/>
  <c r="C14" i="47"/>
  <c r="C13" i="47"/>
  <c r="C8" i="47"/>
  <c r="P40" i="48"/>
  <c r="P39" i="48"/>
  <c r="P38" i="48"/>
  <c r="P37" i="48"/>
  <c r="P34" i="48"/>
  <c r="P33" i="48"/>
  <c r="P32" i="48"/>
  <c r="P31" i="48"/>
  <c r="P28" i="48"/>
  <c r="P27" i="48"/>
  <c r="P26" i="48"/>
  <c r="P25" i="48"/>
  <c r="P22" i="48"/>
  <c r="P21" i="48"/>
  <c r="P20" i="48"/>
  <c r="P19" i="48"/>
  <c r="P16" i="48"/>
  <c r="P15" i="48"/>
  <c r="P14" i="48"/>
  <c r="P13" i="48"/>
  <c r="O40" i="48"/>
  <c r="O39" i="48"/>
  <c r="O38" i="48"/>
  <c r="O37" i="48"/>
  <c r="O34" i="48"/>
  <c r="O33" i="48"/>
  <c r="O32" i="48"/>
  <c r="O31" i="48"/>
  <c r="O28" i="48"/>
  <c r="O27" i="48"/>
  <c r="O26" i="48"/>
  <c r="O25" i="48"/>
  <c r="O22" i="48"/>
  <c r="O21" i="48"/>
  <c r="O20" i="48"/>
  <c r="O19" i="48"/>
  <c r="O16" i="48"/>
  <c r="O15" i="48"/>
  <c r="O14" i="48"/>
  <c r="O13" i="48"/>
  <c r="N40" i="48"/>
  <c r="G63" i="149" s="1"/>
  <c r="N39" i="48"/>
  <c r="N38" i="48"/>
  <c r="N37" i="48"/>
  <c r="N34" i="48"/>
  <c r="G62" i="149" s="1"/>
  <c r="N33" i="48"/>
  <c r="N32" i="48"/>
  <c r="N31" i="48"/>
  <c r="N28" i="48"/>
  <c r="N27" i="48"/>
  <c r="N26" i="48"/>
  <c r="N25" i="48"/>
  <c r="N22" i="48"/>
  <c r="G61" i="149" s="1"/>
  <c r="N21" i="48"/>
  <c r="N20" i="48"/>
  <c r="N19" i="48"/>
  <c r="N16" i="48"/>
  <c r="G60" i="149" s="1"/>
  <c r="N15" i="48"/>
  <c r="N14" i="48"/>
  <c r="N13" i="48"/>
  <c r="M40" i="48"/>
  <c r="M39" i="48"/>
  <c r="M38" i="48"/>
  <c r="M37" i="48"/>
  <c r="M34" i="48"/>
  <c r="M33" i="48"/>
  <c r="M32" i="48"/>
  <c r="M31" i="48"/>
  <c r="M28" i="48"/>
  <c r="M27" i="48"/>
  <c r="M26" i="48"/>
  <c r="M25" i="48"/>
  <c r="M22" i="48"/>
  <c r="M21" i="48"/>
  <c r="M20" i="48"/>
  <c r="M19" i="48"/>
  <c r="M16" i="48"/>
  <c r="M15" i="48"/>
  <c r="M14" i="48"/>
  <c r="M13" i="48"/>
  <c r="L40" i="48"/>
  <c r="L39" i="48"/>
  <c r="L38" i="48"/>
  <c r="L37" i="48"/>
  <c r="L34" i="48"/>
  <c r="L33" i="48"/>
  <c r="L32" i="48"/>
  <c r="L31" i="48"/>
  <c r="L28" i="48"/>
  <c r="L27" i="48"/>
  <c r="L26" i="48"/>
  <c r="L25" i="48"/>
  <c r="L22" i="48"/>
  <c r="L21" i="48"/>
  <c r="L20" i="48"/>
  <c r="L19" i="48"/>
  <c r="L16" i="48"/>
  <c r="L15" i="48"/>
  <c r="L14" i="48"/>
  <c r="L13" i="48"/>
  <c r="K40" i="48"/>
  <c r="K39" i="48"/>
  <c r="K38" i="48"/>
  <c r="K37" i="48"/>
  <c r="K34" i="48"/>
  <c r="K33" i="48"/>
  <c r="K32" i="48"/>
  <c r="K31" i="48"/>
  <c r="K28" i="48"/>
  <c r="K27" i="48"/>
  <c r="K26" i="48"/>
  <c r="K25" i="48"/>
  <c r="K22" i="48"/>
  <c r="K21" i="48"/>
  <c r="K20" i="48"/>
  <c r="K19" i="48"/>
  <c r="K16" i="48"/>
  <c r="K15" i="48"/>
  <c r="K14" i="48"/>
  <c r="K13" i="48"/>
  <c r="J40" i="48"/>
  <c r="J39" i="48"/>
  <c r="J38" i="48"/>
  <c r="J37" i="48"/>
  <c r="J34" i="48"/>
  <c r="J33" i="48"/>
  <c r="J32" i="48"/>
  <c r="J31" i="48"/>
  <c r="J28" i="48"/>
  <c r="J27" i="48"/>
  <c r="J26" i="48"/>
  <c r="J25" i="48"/>
  <c r="J22" i="48"/>
  <c r="J21" i="48"/>
  <c r="J20" i="48"/>
  <c r="J19" i="48"/>
  <c r="J16" i="48"/>
  <c r="J15" i="48"/>
  <c r="J14" i="48"/>
  <c r="J13" i="48"/>
  <c r="I40" i="48"/>
  <c r="I39" i="48"/>
  <c r="I38" i="48"/>
  <c r="I37" i="48"/>
  <c r="I34" i="48"/>
  <c r="I33" i="48"/>
  <c r="I32" i="48"/>
  <c r="I31" i="48"/>
  <c r="I28" i="48"/>
  <c r="I27" i="48"/>
  <c r="I26" i="48"/>
  <c r="I25" i="48"/>
  <c r="I22" i="48"/>
  <c r="I21" i="48"/>
  <c r="I20" i="48"/>
  <c r="I19" i="48"/>
  <c r="I16" i="48"/>
  <c r="I15" i="48"/>
  <c r="I14" i="48"/>
  <c r="I13" i="48"/>
  <c r="H40" i="48"/>
  <c r="H39" i="48"/>
  <c r="H38" i="48"/>
  <c r="H37" i="48"/>
  <c r="H34" i="48"/>
  <c r="H33" i="48"/>
  <c r="H32" i="48"/>
  <c r="H31" i="48"/>
  <c r="H28" i="48"/>
  <c r="H27" i="48"/>
  <c r="H26" i="48"/>
  <c r="H25" i="48"/>
  <c r="H22" i="48"/>
  <c r="H21" i="48"/>
  <c r="H20" i="48"/>
  <c r="H19" i="48"/>
  <c r="H16" i="48"/>
  <c r="H15" i="48"/>
  <c r="H14" i="48"/>
  <c r="H13" i="48"/>
  <c r="G40" i="48"/>
  <c r="G39" i="48"/>
  <c r="G38" i="48"/>
  <c r="G37" i="48"/>
  <c r="G34" i="48"/>
  <c r="G33" i="48"/>
  <c r="G32" i="48"/>
  <c r="G31" i="48"/>
  <c r="G28" i="48"/>
  <c r="G27" i="48"/>
  <c r="G26" i="48"/>
  <c r="G25" i="48"/>
  <c r="G22" i="48"/>
  <c r="G21" i="48"/>
  <c r="G20" i="48"/>
  <c r="G19" i="48"/>
  <c r="G16" i="48"/>
  <c r="G15" i="48"/>
  <c r="G14" i="48"/>
  <c r="G13" i="48"/>
  <c r="F40" i="48"/>
  <c r="D63" i="149" s="1"/>
  <c r="F39" i="48"/>
  <c r="V39" i="48" s="1"/>
  <c r="F38" i="48"/>
  <c r="V38" i="48" s="1"/>
  <c r="F37" i="48"/>
  <c r="V37" i="48" s="1"/>
  <c r="F34" i="48"/>
  <c r="D62" i="149" s="1"/>
  <c r="F33" i="48"/>
  <c r="V33" i="48" s="1"/>
  <c r="F32" i="48"/>
  <c r="V32" i="48" s="1"/>
  <c r="F31" i="48"/>
  <c r="V31" i="48" s="1"/>
  <c r="F28" i="48"/>
  <c r="F27" i="48"/>
  <c r="V27" i="48" s="1"/>
  <c r="F26" i="48"/>
  <c r="V26" i="48" s="1"/>
  <c r="F25" i="48"/>
  <c r="V25" i="48" s="1"/>
  <c r="F22" i="48"/>
  <c r="D61" i="149" s="1"/>
  <c r="F21" i="48"/>
  <c r="V21" i="48" s="1"/>
  <c r="F20" i="48"/>
  <c r="V20" i="48" s="1"/>
  <c r="F19" i="48"/>
  <c r="V19" i="48" s="1"/>
  <c r="F16" i="48"/>
  <c r="D60" i="149" s="1"/>
  <c r="F15" i="48"/>
  <c r="V15" i="48" s="1"/>
  <c r="F14" i="48"/>
  <c r="V14" i="48" s="1"/>
  <c r="F13" i="48"/>
  <c r="V13" i="48" s="1"/>
  <c r="E39" i="48"/>
  <c r="E38" i="48"/>
  <c r="E37" i="48"/>
  <c r="E33" i="48"/>
  <c r="E32" i="48"/>
  <c r="E31" i="48"/>
  <c r="E27" i="48"/>
  <c r="E26" i="48"/>
  <c r="E25" i="48"/>
  <c r="E21" i="48"/>
  <c r="E20" i="48"/>
  <c r="E19" i="48"/>
  <c r="E15" i="48"/>
  <c r="E14" i="48"/>
  <c r="E13" i="48"/>
  <c r="C39" i="48"/>
  <c r="C38" i="48"/>
  <c r="C37" i="48"/>
  <c r="C33" i="48"/>
  <c r="C32" i="48"/>
  <c r="C31" i="48"/>
  <c r="C27" i="48"/>
  <c r="C26" i="48"/>
  <c r="C25" i="48"/>
  <c r="C21" i="48"/>
  <c r="C20" i="48"/>
  <c r="C19" i="48"/>
  <c r="C15" i="48"/>
  <c r="C14" i="48"/>
  <c r="C13" i="48"/>
  <c r="C8" i="48"/>
  <c r="P40" i="67"/>
  <c r="P39" i="67"/>
  <c r="P38" i="67"/>
  <c r="P37" i="67"/>
  <c r="P34" i="67"/>
  <c r="P33" i="67"/>
  <c r="P32" i="67"/>
  <c r="P31" i="67"/>
  <c r="P28" i="67"/>
  <c r="P27" i="67"/>
  <c r="P26" i="67"/>
  <c r="P25" i="67"/>
  <c r="P22" i="67"/>
  <c r="P21" i="67"/>
  <c r="P20" i="67"/>
  <c r="P19" i="67"/>
  <c r="P16" i="67"/>
  <c r="P15" i="67"/>
  <c r="P14" i="67"/>
  <c r="P13" i="67"/>
  <c r="O40" i="67"/>
  <c r="O39" i="67"/>
  <c r="O38" i="67"/>
  <c r="O37" i="67"/>
  <c r="O34" i="67"/>
  <c r="O33" i="67"/>
  <c r="O32" i="67"/>
  <c r="O31" i="67"/>
  <c r="O28" i="67"/>
  <c r="O27" i="67"/>
  <c r="O26" i="67"/>
  <c r="O25" i="67"/>
  <c r="O22" i="67"/>
  <c r="O21" i="67"/>
  <c r="O20" i="67"/>
  <c r="O19" i="67"/>
  <c r="O16" i="67"/>
  <c r="O15" i="67"/>
  <c r="O14" i="67"/>
  <c r="O13" i="67"/>
  <c r="N40" i="67"/>
  <c r="G57" i="149" s="1"/>
  <c r="N39" i="67"/>
  <c r="N38" i="67"/>
  <c r="N37" i="67"/>
  <c r="N34" i="67"/>
  <c r="G56" i="149" s="1"/>
  <c r="N33" i="67"/>
  <c r="N32" i="67"/>
  <c r="N31" i="67"/>
  <c r="N28" i="67"/>
  <c r="N27" i="67"/>
  <c r="N26" i="67"/>
  <c r="N25" i="67"/>
  <c r="N22" i="67"/>
  <c r="G55" i="149" s="1"/>
  <c r="N21" i="67"/>
  <c r="N20" i="67"/>
  <c r="N19" i="67"/>
  <c r="N16" i="67"/>
  <c r="G54" i="149" s="1"/>
  <c r="N15" i="67"/>
  <c r="N14" i="67"/>
  <c r="N13" i="67"/>
  <c r="M40" i="67"/>
  <c r="M39" i="67"/>
  <c r="M38" i="67"/>
  <c r="M37" i="67"/>
  <c r="M34" i="67"/>
  <c r="M33" i="67"/>
  <c r="M32" i="67"/>
  <c r="M31" i="67"/>
  <c r="M28" i="67"/>
  <c r="M27" i="67"/>
  <c r="M26" i="67"/>
  <c r="M25" i="67"/>
  <c r="M22" i="67"/>
  <c r="M21" i="67"/>
  <c r="M20" i="67"/>
  <c r="M19" i="67"/>
  <c r="M16" i="67"/>
  <c r="M15" i="67"/>
  <c r="M14" i="67"/>
  <c r="M13" i="67"/>
  <c r="L40" i="67"/>
  <c r="L39" i="67"/>
  <c r="L38" i="67"/>
  <c r="L37" i="67"/>
  <c r="L34" i="67"/>
  <c r="L33" i="67"/>
  <c r="L32" i="67"/>
  <c r="L31" i="67"/>
  <c r="L28" i="67"/>
  <c r="L27" i="67"/>
  <c r="L26" i="67"/>
  <c r="L25" i="67"/>
  <c r="L22" i="67"/>
  <c r="L21" i="67"/>
  <c r="L20" i="67"/>
  <c r="L19" i="67"/>
  <c r="L16" i="67"/>
  <c r="L15" i="67"/>
  <c r="L14" i="67"/>
  <c r="L13" i="67"/>
  <c r="K40" i="67"/>
  <c r="K39" i="67"/>
  <c r="K38" i="67"/>
  <c r="K37" i="67"/>
  <c r="K34" i="67"/>
  <c r="K33" i="67"/>
  <c r="K32" i="67"/>
  <c r="K31" i="67"/>
  <c r="K28" i="67"/>
  <c r="K27" i="67"/>
  <c r="K26" i="67"/>
  <c r="K25" i="67"/>
  <c r="K22" i="67"/>
  <c r="K21" i="67"/>
  <c r="K20" i="67"/>
  <c r="K19" i="67"/>
  <c r="K16" i="67"/>
  <c r="K15" i="67"/>
  <c r="K14" i="67"/>
  <c r="K13" i="67"/>
  <c r="J40" i="67"/>
  <c r="J39" i="67"/>
  <c r="J38" i="67"/>
  <c r="J37" i="67"/>
  <c r="J34" i="67"/>
  <c r="J33" i="67"/>
  <c r="J32" i="67"/>
  <c r="J31" i="67"/>
  <c r="J28" i="67"/>
  <c r="J27" i="67"/>
  <c r="J26" i="67"/>
  <c r="J25" i="67"/>
  <c r="J22" i="67"/>
  <c r="J21" i="67"/>
  <c r="J20" i="67"/>
  <c r="J19" i="67"/>
  <c r="J16" i="67"/>
  <c r="J15" i="67"/>
  <c r="J14" i="67"/>
  <c r="J13" i="67"/>
  <c r="I40" i="67"/>
  <c r="I39" i="67"/>
  <c r="I38" i="67"/>
  <c r="I37" i="67"/>
  <c r="I34" i="67"/>
  <c r="I33" i="67"/>
  <c r="I32" i="67"/>
  <c r="I31" i="67"/>
  <c r="I28" i="67"/>
  <c r="I27" i="67"/>
  <c r="I26" i="67"/>
  <c r="I25" i="67"/>
  <c r="I22" i="67"/>
  <c r="I21" i="67"/>
  <c r="I20" i="67"/>
  <c r="I19" i="67"/>
  <c r="I16" i="67"/>
  <c r="I15" i="67"/>
  <c r="I14" i="67"/>
  <c r="I13" i="67"/>
  <c r="H40" i="67"/>
  <c r="H39" i="67"/>
  <c r="H38" i="67"/>
  <c r="H37" i="67"/>
  <c r="H34" i="67"/>
  <c r="H33" i="67"/>
  <c r="H32" i="67"/>
  <c r="H31" i="67"/>
  <c r="H28" i="67"/>
  <c r="H27" i="67"/>
  <c r="H26" i="67"/>
  <c r="H25" i="67"/>
  <c r="H22" i="67"/>
  <c r="H21" i="67"/>
  <c r="H20" i="67"/>
  <c r="H19" i="67"/>
  <c r="H16" i="67"/>
  <c r="H15" i="67"/>
  <c r="H14" i="67"/>
  <c r="H13" i="67"/>
  <c r="G40" i="67"/>
  <c r="G39" i="67"/>
  <c r="G38" i="67"/>
  <c r="G37" i="67"/>
  <c r="G34" i="67"/>
  <c r="G33" i="67"/>
  <c r="G32" i="67"/>
  <c r="G31" i="67"/>
  <c r="G28" i="67"/>
  <c r="G27" i="67"/>
  <c r="G26" i="67"/>
  <c r="G25" i="67"/>
  <c r="G22" i="67"/>
  <c r="G21" i="67"/>
  <c r="G20" i="67"/>
  <c r="G19" i="67"/>
  <c r="G16" i="67"/>
  <c r="G15" i="67"/>
  <c r="G14" i="67"/>
  <c r="G13" i="67"/>
  <c r="F40" i="67"/>
  <c r="D57" i="149" s="1"/>
  <c r="F39" i="67"/>
  <c r="V39" i="67" s="1"/>
  <c r="F38" i="67"/>
  <c r="V38" i="67" s="1"/>
  <c r="F37" i="67"/>
  <c r="V37" i="67" s="1"/>
  <c r="F34" i="67"/>
  <c r="D56" i="149" s="1"/>
  <c r="F33" i="67"/>
  <c r="V33" i="67" s="1"/>
  <c r="F32" i="67"/>
  <c r="V32" i="67" s="1"/>
  <c r="F31" i="67"/>
  <c r="V31" i="67" s="1"/>
  <c r="F28" i="67"/>
  <c r="F27" i="67"/>
  <c r="V27" i="67" s="1"/>
  <c r="F26" i="67"/>
  <c r="V26" i="67" s="1"/>
  <c r="F25" i="67"/>
  <c r="V25" i="67" s="1"/>
  <c r="F22" i="67"/>
  <c r="D55" i="149" s="1"/>
  <c r="F21" i="67"/>
  <c r="V21" i="67" s="1"/>
  <c r="F20" i="67"/>
  <c r="V20" i="67" s="1"/>
  <c r="F19" i="67"/>
  <c r="V19" i="67" s="1"/>
  <c r="F16" i="67"/>
  <c r="D54" i="149" s="1"/>
  <c r="F15" i="67"/>
  <c r="V15" i="67" s="1"/>
  <c r="F14" i="67"/>
  <c r="V14" i="67" s="1"/>
  <c r="F13" i="67"/>
  <c r="V13" i="67" s="1"/>
  <c r="E39" i="67"/>
  <c r="E38" i="67"/>
  <c r="E37" i="67"/>
  <c r="E33" i="67"/>
  <c r="E32" i="67"/>
  <c r="E31" i="67"/>
  <c r="E27" i="67"/>
  <c r="E26" i="67"/>
  <c r="E25" i="67"/>
  <c r="E21" i="67"/>
  <c r="E20" i="67"/>
  <c r="E19" i="67"/>
  <c r="E15" i="67"/>
  <c r="E14" i="67"/>
  <c r="E13" i="67"/>
  <c r="C39" i="67"/>
  <c r="C38" i="67"/>
  <c r="C37" i="67"/>
  <c r="C33" i="67"/>
  <c r="C32" i="67"/>
  <c r="C31" i="67"/>
  <c r="C27" i="67"/>
  <c r="C26" i="67"/>
  <c r="C25" i="67"/>
  <c r="C21" i="67"/>
  <c r="C20" i="67"/>
  <c r="C19" i="67"/>
  <c r="C15" i="67"/>
  <c r="C14" i="67"/>
  <c r="C13" i="67"/>
  <c r="C8" i="67"/>
  <c r="P40" i="99"/>
  <c r="P39" i="99"/>
  <c r="P38" i="99"/>
  <c r="P37" i="99"/>
  <c r="P34" i="99"/>
  <c r="P33" i="99"/>
  <c r="P32" i="99"/>
  <c r="P31" i="99"/>
  <c r="P28" i="99"/>
  <c r="P27" i="99"/>
  <c r="P26" i="99"/>
  <c r="P25" i="99"/>
  <c r="P22" i="99"/>
  <c r="P21" i="99"/>
  <c r="P20" i="99"/>
  <c r="P19" i="99"/>
  <c r="P16" i="99"/>
  <c r="P15" i="99"/>
  <c r="P14" i="99"/>
  <c r="P13" i="99"/>
  <c r="O40" i="99"/>
  <c r="O39" i="99"/>
  <c r="O38" i="99"/>
  <c r="O37" i="99"/>
  <c r="O34" i="99"/>
  <c r="O33" i="99"/>
  <c r="O32" i="99"/>
  <c r="O31" i="99"/>
  <c r="O28" i="99"/>
  <c r="O27" i="99"/>
  <c r="O26" i="99"/>
  <c r="O25" i="99"/>
  <c r="O22" i="99"/>
  <c r="O21" i="99"/>
  <c r="O20" i="99"/>
  <c r="O19" i="99"/>
  <c r="O16" i="99"/>
  <c r="O15" i="99"/>
  <c r="O14" i="99"/>
  <c r="O13" i="99"/>
  <c r="N40" i="99"/>
  <c r="G69" i="149" s="1"/>
  <c r="N39" i="99"/>
  <c r="N38" i="99"/>
  <c r="N37" i="99"/>
  <c r="N34" i="99"/>
  <c r="G68" i="149" s="1"/>
  <c r="N33" i="99"/>
  <c r="N32" i="99"/>
  <c r="N31" i="99"/>
  <c r="N28" i="99"/>
  <c r="N27" i="99"/>
  <c r="N26" i="99"/>
  <c r="N25" i="99"/>
  <c r="N22" i="99"/>
  <c r="G67" i="149" s="1"/>
  <c r="N21" i="99"/>
  <c r="N20" i="99"/>
  <c r="N19" i="99"/>
  <c r="N16" i="99"/>
  <c r="G66" i="149" s="1"/>
  <c r="N15" i="99"/>
  <c r="N14" i="99"/>
  <c r="N13" i="99"/>
  <c r="M40" i="99"/>
  <c r="M39" i="99"/>
  <c r="M38" i="99"/>
  <c r="M37" i="99"/>
  <c r="M34" i="99"/>
  <c r="M33" i="99"/>
  <c r="M32" i="99"/>
  <c r="M31" i="99"/>
  <c r="M28" i="99"/>
  <c r="M27" i="99"/>
  <c r="M26" i="99"/>
  <c r="M25" i="99"/>
  <c r="M22" i="99"/>
  <c r="M21" i="99"/>
  <c r="M20" i="99"/>
  <c r="M19" i="99"/>
  <c r="M16" i="99"/>
  <c r="M15" i="99"/>
  <c r="M14" i="99"/>
  <c r="M13" i="99"/>
  <c r="L40" i="99"/>
  <c r="L39" i="99"/>
  <c r="L38" i="99"/>
  <c r="L37" i="99"/>
  <c r="L34" i="99"/>
  <c r="L33" i="99"/>
  <c r="L32" i="99"/>
  <c r="L31" i="99"/>
  <c r="L28" i="99"/>
  <c r="L27" i="99"/>
  <c r="L26" i="99"/>
  <c r="L25" i="99"/>
  <c r="L22" i="99"/>
  <c r="L21" i="99"/>
  <c r="L20" i="99"/>
  <c r="L19" i="99"/>
  <c r="L16" i="99"/>
  <c r="L15" i="99"/>
  <c r="L14" i="99"/>
  <c r="L13" i="99"/>
  <c r="K40" i="99"/>
  <c r="K39" i="99"/>
  <c r="K38" i="99"/>
  <c r="K37" i="99"/>
  <c r="K34" i="99"/>
  <c r="K33" i="99"/>
  <c r="K32" i="99"/>
  <c r="K31" i="99"/>
  <c r="K28" i="99"/>
  <c r="K27" i="99"/>
  <c r="K26" i="99"/>
  <c r="K25" i="99"/>
  <c r="K22" i="99"/>
  <c r="K21" i="99"/>
  <c r="K20" i="99"/>
  <c r="K19" i="99"/>
  <c r="K16" i="99"/>
  <c r="K15" i="99"/>
  <c r="K14" i="99"/>
  <c r="K13" i="99"/>
  <c r="J40" i="99"/>
  <c r="J39" i="99"/>
  <c r="J38" i="99"/>
  <c r="J37" i="99"/>
  <c r="J34" i="99"/>
  <c r="J33" i="99"/>
  <c r="J32" i="99"/>
  <c r="J31" i="99"/>
  <c r="J28" i="99"/>
  <c r="J27" i="99"/>
  <c r="J26" i="99"/>
  <c r="J25" i="99"/>
  <c r="J22" i="99"/>
  <c r="J21" i="99"/>
  <c r="J20" i="99"/>
  <c r="J19" i="99"/>
  <c r="J16" i="99"/>
  <c r="J15" i="99"/>
  <c r="J14" i="99"/>
  <c r="J13" i="99"/>
  <c r="I40" i="99"/>
  <c r="I39" i="99"/>
  <c r="I38" i="99"/>
  <c r="I37" i="99"/>
  <c r="I34" i="99"/>
  <c r="I33" i="99"/>
  <c r="I32" i="99"/>
  <c r="I31" i="99"/>
  <c r="I28" i="99"/>
  <c r="I27" i="99"/>
  <c r="I26" i="99"/>
  <c r="I25" i="99"/>
  <c r="I22" i="99"/>
  <c r="I21" i="99"/>
  <c r="I20" i="99"/>
  <c r="I19" i="99"/>
  <c r="I16" i="99"/>
  <c r="I15" i="99"/>
  <c r="I14" i="99"/>
  <c r="I13" i="99"/>
  <c r="H40" i="99"/>
  <c r="H39" i="99"/>
  <c r="H38" i="99"/>
  <c r="H37" i="99"/>
  <c r="H34" i="99"/>
  <c r="H33" i="99"/>
  <c r="H32" i="99"/>
  <c r="H31" i="99"/>
  <c r="H28" i="99"/>
  <c r="H27" i="99"/>
  <c r="H26" i="99"/>
  <c r="H25" i="99"/>
  <c r="H22" i="99"/>
  <c r="H21" i="99"/>
  <c r="H20" i="99"/>
  <c r="H19" i="99"/>
  <c r="H16" i="99"/>
  <c r="H15" i="99"/>
  <c r="H14" i="99"/>
  <c r="H13" i="99"/>
  <c r="G40" i="99"/>
  <c r="G39" i="99"/>
  <c r="G38" i="99"/>
  <c r="G37" i="99"/>
  <c r="G34" i="99"/>
  <c r="G33" i="99"/>
  <c r="G32" i="99"/>
  <c r="G31" i="99"/>
  <c r="G28" i="99"/>
  <c r="G27" i="99"/>
  <c r="G26" i="99"/>
  <c r="G25" i="99"/>
  <c r="G22" i="99"/>
  <c r="G21" i="99"/>
  <c r="G20" i="99"/>
  <c r="G19" i="99"/>
  <c r="G16" i="99"/>
  <c r="G15" i="99"/>
  <c r="G14" i="99"/>
  <c r="G13" i="99"/>
  <c r="F40" i="99"/>
  <c r="D69" i="149" s="1"/>
  <c r="F39" i="99"/>
  <c r="V39" i="99" s="1"/>
  <c r="F38" i="99"/>
  <c r="V38" i="99" s="1"/>
  <c r="F37" i="99"/>
  <c r="V37" i="99" s="1"/>
  <c r="F34" i="99"/>
  <c r="D68" i="149" s="1"/>
  <c r="F33" i="99"/>
  <c r="V33" i="99" s="1"/>
  <c r="F32" i="99"/>
  <c r="V32" i="99" s="1"/>
  <c r="F31" i="99"/>
  <c r="V31" i="99" s="1"/>
  <c r="F28" i="99"/>
  <c r="F27" i="99"/>
  <c r="V27" i="99" s="1"/>
  <c r="F26" i="99"/>
  <c r="V26" i="99" s="1"/>
  <c r="F25" i="99"/>
  <c r="V25" i="99" s="1"/>
  <c r="F22" i="99"/>
  <c r="D67" i="149" s="1"/>
  <c r="F21" i="99"/>
  <c r="V21" i="99" s="1"/>
  <c r="F20" i="99"/>
  <c r="V20" i="99" s="1"/>
  <c r="F19" i="99"/>
  <c r="V19" i="99" s="1"/>
  <c r="F16" i="99"/>
  <c r="D66" i="149" s="1"/>
  <c r="F15" i="99"/>
  <c r="V15" i="99" s="1"/>
  <c r="F14" i="99"/>
  <c r="V14" i="99" s="1"/>
  <c r="F13" i="99"/>
  <c r="V13" i="99" s="1"/>
  <c r="E39" i="99"/>
  <c r="E38" i="99"/>
  <c r="E37" i="99"/>
  <c r="E33" i="99"/>
  <c r="E32" i="99"/>
  <c r="E31" i="99"/>
  <c r="E27" i="99"/>
  <c r="E26" i="99"/>
  <c r="E25" i="99"/>
  <c r="E21" i="99"/>
  <c r="E20" i="99"/>
  <c r="E19" i="99"/>
  <c r="E15" i="99"/>
  <c r="E14" i="99"/>
  <c r="E13" i="99"/>
  <c r="C39" i="99"/>
  <c r="C38" i="99"/>
  <c r="C37" i="99"/>
  <c r="C33" i="99"/>
  <c r="C32" i="99"/>
  <c r="C31" i="99"/>
  <c r="C27" i="99"/>
  <c r="C26" i="99"/>
  <c r="C25" i="99"/>
  <c r="C21" i="99"/>
  <c r="C20" i="99"/>
  <c r="C19" i="99"/>
  <c r="C15" i="99"/>
  <c r="C14" i="99"/>
  <c r="C13" i="99"/>
  <c r="C8" i="99"/>
  <c r="P40" i="98"/>
  <c r="P39" i="98"/>
  <c r="P38" i="98"/>
  <c r="P37" i="98"/>
  <c r="P34" i="98"/>
  <c r="P33" i="98"/>
  <c r="P32" i="98"/>
  <c r="P31" i="98"/>
  <c r="P28" i="98"/>
  <c r="P27" i="98"/>
  <c r="P26" i="98"/>
  <c r="P25" i="98"/>
  <c r="P22" i="98"/>
  <c r="P21" i="98"/>
  <c r="P20" i="98"/>
  <c r="P19" i="98"/>
  <c r="P16" i="98"/>
  <c r="P15" i="98"/>
  <c r="P14" i="98"/>
  <c r="P13" i="98"/>
  <c r="O40" i="98"/>
  <c r="O39" i="98"/>
  <c r="O38" i="98"/>
  <c r="O37" i="98"/>
  <c r="O34" i="98"/>
  <c r="O33" i="98"/>
  <c r="O32" i="98"/>
  <c r="O31" i="98"/>
  <c r="O28" i="98"/>
  <c r="O27" i="98"/>
  <c r="O26" i="98"/>
  <c r="O25" i="98"/>
  <c r="O22" i="98"/>
  <c r="O21" i="98"/>
  <c r="O20" i="98"/>
  <c r="O19" i="98"/>
  <c r="O16" i="98"/>
  <c r="O15" i="98"/>
  <c r="O14" i="98"/>
  <c r="O13" i="98"/>
  <c r="N40" i="98"/>
  <c r="G75" i="149" s="1"/>
  <c r="N39" i="98"/>
  <c r="N38" i="98"/>
  <c r="N37" i="98"/>
  <c r="N34" i="98"/>
  <c r="G74" i="149" s="1"/>
  <c r="N33" i="98"/>
  <c r="N32" i="98"/>
  <c r="N31" i="98"/>
  <c r="N28" i="98"/>
  <c r="N27" i="98"/>
  <c r="N26" i="98"/>
  <c r="N25" i="98"/>
  <c r="N22" i="98"/>
  <c r="G73" i="149" s="1"/>
  <c r="N21" i="98"/>
  <c r="N20" i="98"/>
  <c r="N19" i="98"/>
  <c r="N16" i="98"/>
  <c r="G72" i="149" s="1"/>
  <c r="N15" i="98"/>
  <c r="N14" i="98"/>
  <c r="N13" i="98"/>
  <c r="M40" i="98"/>
  <c r="M39" i="98"/>
  <c r="M38" i="98"/>
  <c r="M37" i="98"/>
  <c r="M34" i="98"/>
  <c r="M33" i="98"/>
  <c r="M32" i="98"/>
  <c r="M31" i="98"/>
  <c r="M28" i="98"/>
  <c r="M27" i="98"/>
  <c r="M26" i="98"/>
  <c r="M25" i="98"/>
  <c r="M22" i="98"/>
  <c r="M21" i="98"/>
  <c r="M20" i="98"/>
  <c r="M19" i="98"/>
  <c r="M16" i="98"/>
  <c r="M15" i="98"/>
  <c r="M14" i="98"/>
  <c r="M13" i="98"/>
  <c r="L40" i="98"/>
  <c r="L39" i="98"/>
  <c r="L38" i="98"/>
  <c r="L37" i="98"/>
  <c r="L34" i="98"/>
  <c r="L33" i="98"/>
  <c r="L32" i="98"/>
  <c r="L31" i="98"/>
  <c r="L28" i="98"/>
  <c r="L27" i="98"/>
  <c r="L26" i="98"/>
  <c r="L25" i="98"/>
  <c r="L22" i="98"/>
  <c r="L21" i="98"/>
  <c r="L20" i="98"/>
  <c r="L19" i="98"/>
  <c r="L16" i="98"/>
  <c r="L15" i="98"/>
  <c r="L14" i="98"/>
  <c r="L13" i="98"/>
  <c r="K40" i="98"/>
  <c r="K39" i="98"/>
  <c r="K38" i="98"/>
  <c r="K37" i="98"/>
  <c r="K34" i="98"/>
  <c r="K33" i="98"/>
  <c r="K32" i="98"/>
  <c r="K31" i="98"/>
  <c r="K28" i="98"/>
  <c r="K27" i="98"/>
  <c r="K26" i="98"/>
  <c r="K25" i="98"/>
  <c r="K22" i="98"/>
  <c r="K21" i="98"/>
  <c r="K20" i="98"/>
  <c r="K19" i="98"/>
  <c r="K16" i="98"/>
  <c r="K15" i="98"/>
  <c r="K14" i="98"/>
  <c r="K13" i="98"/>
  <c r="J40" i="98"/>
  <c r="J39" i="98"/>
  <c r="J38" i="98"/>
  <c r="J37" i="98"/>
  <c r="J34" i="98"/>
  <c r="J33" i="98"/>
  <c r="J32" i="98"/>
  <c r="J31" i="98"/>
  <c r="J28" i="98"/>
  <c r="J27" i="98"/>
  <c r="J26" i="98"/>
  <c r="J25" i="98"/>
  <c r="J22" i="98"/>
  <c r="J21" i="98"/>
  <c r="J20" i="98"/>
  <c r="J19" i="98"/>
  <c r="J16" i="98"/>
  <c r="J15" i="98"/>
  <c r="J14" i="98"/>
  <c r="J13" i="98"/>
  <c r="I40" i="98"/>
  <c r="I39" i="98"/>
  <c r="I38" i="98"/>
  <c r="I37" i="98"/>
  <c r="I34" i="98"/>
  <c r="I33" i="98"/>
  <c r="I32" i="98"/>
  <c r="I31" i="98"/>
  <c r="I28" i="98"/>
  <c r="I27" i="98"/>
  <c r="I26" i="98"/>
  <c r="I25" i="98"/>
  <c r="I22" i="98"/>
  <c r="I21" i="98"/>
  <c r="I20" i="98"/>
  <c r="I19" i="98"/>
  <c r="I16" i="98"/>
  <c r="I15" i="98"/>
  <c r="I14" i="98"/>
  <c r="I13" i="98"/>
  <c r="H40" i="98"/>
  <c r="H39" i="98"/>
  <c r="H38" i="98"/>
  <c r="H37" i="98"/>
  <c r="H34" i="98"/>
  <c r="H33" i="98"/>
  <c r="H32" i="98"/>
  <c r="H31" i="98"/>
  <c r="H28" i="98"/>
  <c r="H27" i="98"/>
  <c r="H26" i="98"/>
  <c r="H25" i="98"/>
  <c r="H22" i="98"/>
  <c r="H21" i="98"/>
  <c r="H20" i="98"/>
  <c r="H19" i="98"/>
  <c r="H16" i="98"/>
  <c r="H15" i="98"/>
  <c r="H14" i="98"/>
  <c r="H13" i="98"/>
  <c r="G40" i="98"/>
  <c r="G39" i="98"/>
  <c r="G38" i="98"/>
  <c r="G37" i="98"/>
  <c r="G34" i="98"/>
  <c r="G33" i="98"/>
  <c r="G32" i="98"/>
  <c r="G31" i="98"/>
  <c r="G28" i="98"/>
  <c r="G27" i="98"/>
  <c r="G26" i="98"/>
  <c r="G25" i="98"/>
  <c r="G22" i="98"/>
  <c r="G21" i="98"/>
  <c r="G20" i="98"/>
  <c r="G19" i="98"/>
  <c r="G16" i="98"/>
  <c r="G15" i="98"/>
  <c r="G14" i="98"/>
  <c r="G13" i="98"/>
  <c r="F40" i="98"/>
  <c r="D75" i="149" s="1"/>
  <c r="F39" i="98"/>
  <c r="V39" i="98" s="1"/>
  <c r="F38" i="98"/>
  <c r="V38" i="98" s="1"/>
  <c r="F37" i="98"/>
  <c r="V37" i="98" s="1"/>
  <c r="F34" i="98"/>
  <c r="D74" i="149" s="1"/>
  <c r="F33" i="98"/>
  <c r="V33" i="98" s="1"/>
  <c r="F32" i="98"/>
  <c r="V32" i="98" s="1"/>
  <c r="F31" i="98"/>
  <c r="V31" i="98" s="1"/>
  <c r="F28" i="98"/>
  <c r="F27" i="98"/>
  <c r="V27" i="98" s="1"/>
  <c r="F26" i="98"/>
  <c r="V26" i="98" s="1"/>
  <c r="F25" i="98"/>
  <c r="V25" i="98" s="1"/>
  <c r="F22" i="98"/>
  <c r="D73" i="149" s="1"/>
  <c r="F21" i="98"/>
  <c r="V21" i="98" s="1"/>
  <c r="F20" i="98"/>
  <c r="V20" i="98" s="1"/>
  <c r="F19" i="98"/>
  <c r="V19" i="98" s="1"/>
  <c r="F16" i="98"/>
  <c r="D72" i="149" s="1"/>
  <c r="F15" i="98"/>
  <c r="V15" i="98" s="1"/>
  <c r="F14" i="98"/>
  <c r="V14" i="98" s="1"/>
  <c r="F13" i="98"/>
  <c r="V13" i="98" s="1"/>
  <c r="E39" i="98"/>
  <c r="E38" i="98"/>
  <c r="E37" i="98"/>
  <c r="E33" i="98"/>
  <c r="E32" i="98"/>
  <c r="E31" i="98"/>
  <c r="E27" i="98"/>
  <c r="E26" i="98"/>
  <c r="E25" i="98"/>
  <c r="E21" i="98"/>
  <c r="E20" i="98"/>
  <c r="E19" i="98"/>
  <c r="E15" i="98"/>
  <c r="E14" i="98"/>
  <c r="E13" i="98"/>
  <c r="C39" i="98"/>
  <c r="C38" i="98"/>
  <c r="C37" i="98"/>
  <c r="C33" i="98"/>
  <c r="C32" i="98"/>
  <c r="C31" i="98"/>
  <c r="C27" i="98"/>
  <c r="C26" i="98"/>
  <c r="C25" i="98"/>
  <c r="C21" i="98"/>
  <c r="C20" i="98"/>
  <c r="C19" i="98"/>
  <c r="C15" i="98"/>
  <c r="C14" i="98"/>
  <c r="C13" i="98"/>
  <c r="C8" i="98"/>
  <c r="P40" i="97"/>
  <c r="P39" i="97"/>
  <c r="P38" i="97"/>
  <c r="P37" i="97"/>
  <c r="P34" i="97"/>
  <c r="P33" i="97"/>
  <c r="P32" i="97"/>
  <c r="P31" i="97"/>
  <c r="P28" i="97"/>
  <c r="P27" i="97"/>
  <c r="P26" i="97"/>
  <c r="P25" i="97"/>
  <c r="P22" i="97"/>
  <c r="P21" i="97"/>
  <c r="P20" i="97"/>
  <c r="P19" i="97"/>
  <c r="P16" i="97"/>
  <c r="P15" i="97"/>
  <c r="P14" i="97"/>
  <c r="P13" i="97"/>
  <c r="O40" i="97"/>
  <c r="O39" i="97"/>
  <c r="O38" i="97"/>
  <c r="O37" i="97"/>
  <c r="O34" i="97"/>
  <c r="O33" i="97"/>
  <c r="O32" i="97"/>
  <c r="O31" i="97"/>
  <c r="O28" i="97"/>
  <c r="O27" i="97"/>
  <c r="O26" i="97"/>
  <c r="O25" i="97"/>
  <c r="O22" i="97"/>
  <c r="O21" i="97"/>
  <c r="O20" i="97"/>
  <c r="O19" i="97"/>
  <c r="O16" i="97"/>
  <c r="O15" i="97"/>
  <c r="O14" i="97"/>
  <c r="O13" i="97"/>
  <c r="N40" i="97"/>
  <c r="G81" i="149" s="1"/>
  <c r="N39" i="97"/>
  <c r="N38" i="97"/>
  <c r="N37" i="97"/>
  <c r="N34" i="97"/>
  <c r="G80" i="149" s="1"/>
  <c r="N33" i="97"/>
  <c r="N32" i="97"/>
  <c r="N31" i="97"/>
  <c r="N28" i="97"/>
  <c r="N27" i="97"/>
  <c r="N26" i="97"/>
  <c r="N25" i="97"/>
  <c r="N22" i="97"/>
  <c r="G79" i="149" s="1"/>
  <c r="N21" i="97"/>
  <c r="N20" i="97"/>
  <c r="N19" i="97"/>
  <c r="N16" i="97"/>
  <c r="G78" i="149" s="1"/>
  <c r="N15" i="97"/>
  <c r="N14" i="97"/>
  <c r="N13" i="97"/>
  <c r="M40" i="97"/>
  <c r="M39" i="97"/>
  <c r="M38" i="97"/>
  <c r="M37" i="97"/>
  <c r="M34" i="97"/>
  <c r="M33" i="97"/>
  <c r="M32" i="97"/>
  <c r="M31" i="97"/>
  <c r="M28" i="97"/>
  <c r="M27" i="97"/>
  <c r="M26" i="97"/>
  <c r="M25" i="97"/>
  <c r="M22" i="97"/>
  <c r="M21" i="97"/>
  <c r="M20" i="97"/>
  <c r="M19" i="97"/>
  <c r="M16" i="97"/>
  <c r="M15" i="97"/>
  <c r="M14" i="97"/>
  <c r="M13" i="97"/>
  <c r="L40" i="97"/>
  <c r="L39" i="97"/>
  <c r="L38" i="97"/>
  <c r="L37" i="97"/>
  <c r="L34" i="97"/>
  <c r="L33" i="97"/>
  <c r="L32" i="97"/>
  <c r="L31" i="97"/>
  <c r="L28" i="97"/>
  <c r="L27" i="97"/>
  <c r="L26" i="97"/>
  <c r="L25" i="97"/>
  <c r="L22" i="97"/>
  <c r="L21" i="97"/>
  <c r="L20" i="97"/>
  <c r="L19" i="97"/>
  <c r="L16" i="97"/>
  <c r="L15" i="97"/>
  <c r="L14" i="97"/>
  <c r="L13" i="97"/>
  <c r="K40" i="97"/>
  <c r="K39" i="97"/>
  <c r="K38" i="97"/>
  <c r="K37" i="97"/>
  <c r="K34" i="97"/>
  <c r="K33" i="97"/>
  <c r="K32" i="97"/>
  <c r="K31" i="97"/>
  <c r="K28" i="97"/>
  <c r="K27" i="97"/>
  <c r="K26" i="97"/>
  <c r="K25" i="97"/>
  <c r="K22" i="97"/>
  <c r="K21" i="97"/>
  <c r="K20" i="97"/>
  <c r="K19" i="97"/>
  <c r="K16" i="97"/>
  <c r="K15" i="97"/>
  <c r="K14" i="97"/>
  <c r="K13" i="97"/>
  <c r="J40" i="97"/>
  <c r="J39" i="97"/>
  <c r="J38" i="97"/>
  <c r="J37" i="97"/>
  <c r="J34" i="97"/>
  <c r="J33" i="97"/>
  <c r="J32" i="97"/>
  <c r="J31" i="97"/>
  <c r="J28" i="97"/>
  <c r="J27" i="97"/>
  <c r="J26" i="97"/>
  <c r="J25" i="97"/>
  <c r="J22" i="97"/>
  <c r="J21" i="97"/>
  <c r="J20" i="97"/>
  <c r="J19" i="97"/>
  <c r="J16" i="97"/>
  <c r="J15" i="97"/>
  <c r="J14" i="97"/>
  <c r="J13" i="97"/>
  <c r="I40" i="97"/>
  <c r="I39" i="97"/>
  <c r="I38" i="97"/>
  <c r="I37" i="97"/>
  <c r="I34" i="97"/>
  <c r="I33" i="97"/>
  <c r="I32" i="97"/>
  <c r="I31" i="97"/>
  <c r="I28" i="97"/>
  <c r="I27" i="97"/>
  <c r="I26" i="97"/>
  <c r="I25" i="97"/>
  <c r="I22" i="97"/>
  <c r="I21" i="97"/>
  <c r="I20" i="97"/>
  <c r="I19" i="97"/>
  <c r="I16" i="97"/>
  <c r="I15" i="97"/>
  <c r="I14" i="97"/>
  <c r="I13" i="97"/>
  <c r="H40" i="97"/>
  <c r="H39" i="97"/>
  <c r="H38" i="97"/>
  <c r="H37" i="97"/>
  <c r="H34" i="97"/>
  <c r="H33" i="97"/>
  <c r="H32" i="97"/>
  <c r="H31" i="97"/>
  <c r="H28" i="97"/>
  <c r="H27" i="97"/>
  <c r="H26" i="97"/>
  <c r="H25" i="97"/>
  <c r="H22" i="97"/>
  <c r="H21" i="97"/>
  <c r="H20" i="97"/>
  <c r="H19" i="97"/>
  <c r="H16" i="97"/>
  <c r="H15" i="97"/>
  <c r="H14" i="97"/>
  <c r="H13" i="97"/>
  <c r="G40" i="97"/>
  <c r="G39" i="97"/>
  <c r="G38" i="97"/>
  <c r="G37" i="97"/>
  <c r="G34" i="97"/>
  <c r="G33" i="97"/>
  <c r="G32" i="97"/>
  <c r="G31" i="97"/>
  <c r="G28" i="97"/>
  <c r="G27" i="97"/>
  <c r="G26" i="97"/>
  <c r="G25" i="97"/>
  <c r="G22" i="97"/>
  <c r="G21" i="97"/>
  <c r="G20" i="97"/>
  <c r="G19" i="97"/>
  <c r="G16" i="97"/>
  <c r="G15" i="97"/>
  <c r="G14" i="97"/>
  <c r="G13" i="97"/>
  <c r="F40" i="97"/>
  <c r="D81" i="149" s="1"/>
  <c r="F39" i="97"/>
  <c r="V39" i="97" s="1"/>
  <c r="F38" i="97"/>
  <c r="V38" i="97" s="1"/>
  <c r="F37" i="97"/>
  <c r="V37" i="97" s="1"/>
  <c r="F34" i="97"/>
  <c r="D80" i="149" s="1"/>
  <c r="F33" i="97"/>
  <c r="V33" i="97" s="1"/>
  <c r="F32" i="97"/>
  <c r="V32" i="97" s="1"/>
  <c r="F31" i="97"/>
  <c r="V31" i="97" s="1"/>
  <c r="F28" i="97"/>
  <c r="F27" i="97"/>
  <c r="V27" i="97" s="1"/>
  <c r="F26" i="97"/>
  <c r="V26" i="97" s="1"/>
  <c r="F25" i="97"/>
  <c r="V25" i="97" s="1"/>
  <c r="F22" i="97"/>
  <c r="D79" i="149" s="1"/>
  <c r="F21" i="97"/>
  <c r="V21" i="97" s="1"/>
  <c r="F20" i="97"/>
  <c r="V20" i="97" s="1"/>
  <c r="F19" i="97"/>
  <c r="V19" i="97" s="1"/>
  <c r="F16" i="97"/>
  <c r="D78" i="149" s="1"/>
  <c r="F15" i="97"/>
  <c r="V15" i="97" s="1"/>
  <c r="F14" i="97"/>
  <c r="V14" i="97" s="1"/>
  <c r="F13" i="97"/>
  <c r="V13" i="97" s="1"/>
  <c r="E39" i="97"/>
  <c r="E38" i="97"/>
  <c r="E37" i="97"/>
  <c r="E33" i="97"/>
  <c r="E32" i="97"/>
  <c r="E31" i="97"/>
  <c r="E27" i="97"/>
  <c r="E26" i="97"/>
  <c r="E25" i="97"/>
  <c r="E21" i="97"/>
  <c r="E20" i="97"/>
  <c r="E19" i="97"/>
  <c r="E15" i="97"/>
  <c r="E14" i="97"/>
  <c r="E13" i="97"/>
  <c r="C39" i="97"/>
  <c r="C38" i="97"/>
  <c r="C37" i="97"/>
  <c r="C8" i="97"/>
  <c r="P40" i="95"/>
  <c r="P39" i="95"/>
  <c r="P38" i="95"/>
  <c r="P37" i="95"/>
  <c r="P34" i="95"/>
  <c r="P33" i="95"/>
  <c r="P32" i="95"/>
  <c r="P31" i="95"/>
  <c r="P28" i="95"/>
  <c r="P27" i="95"/>
  <c r="P26" i="95"/>
  <c r="P25" i="95"/>
  <c r="P22" i="95"/>
  <c r="P21" i="95"/>
  <c r="P20" i="95"/>
  <c r="P19" i="95"/>
  <c r="P16" i="95"/>
  <c r="P15" i="95"/>
  <c r="P14" i="95"/>
  <c r="P13" i="95"/>
  <c r="O40" i="95"/>
  <c r="O39" i="95"/>
  <c r="O38" i="95"/>
  <c r="O37" i="95"/>
  <c r="O34" i="95"/>
  <c r="O33" i="95"/>
  <c r="O32" i="95"/>
  <c r="O31" i="95"/>
  <c r="O28" i="95"/>
  <c r="O27" i="95"/>
  <c r="O26" i="95"/>
  <c r="O25" i="95"/>
  <c r="O22" i="95"/>
  <c r="O21" i="95"/>
  <c r="O20" i="95"/>
  <c r="O19" i="95"/>
  <c r="O16" i="95"/>
  <c r="O15" i="95"/>
  <c r="O14" i="95"/>
  <c r="O13" i="95"/>
  <c r="N40" i="95"/>
  <c r="G87" i="149" s="1"/>
  <c r="N39" i="95"/>
  <c r="N38" i="95"/>
  <c r="N37" i="95"/>
  <c r="N34" i="95"/>
  <c r="G86" i="149" s="1"/>
  <c r="N33" i="95"/>
  <c r="N32" i="95"/>
  <c r="N31" i="95"/>
  <c r="N28" i="95"/>
  <c r="N27" i="95"/>
  <c r="N26" i="95"/>
  <c r="N25" i="95"/>
  <c r="N22" i="95"/>
  <c r="G85" i="149" s="1"/>
  <c r="N21" i="95"/>
  <c r="N20" i="95"/>
  <c r="N19" i="95"/>
  <c r="N16" i="95"/>
  <c r="G84" i="149" s="1"/>
  <c r="N15" i="95"/>
  <c r="N14" i="95"/>
  <c r="N13" i="95"/>
  <c r="M40" i="95"/>
  <c r="M39" i="95"/>
  <c r="M38" i="95"/>
  <c r="M37" i="95"/>
  <c r="M34" i="95"/>
  <c r="M33" i="95"/>
  <c r="M32" i="95"/>
  <c r="M31" i="95"/>
  <c r="M28" i="95"/>
  <c r="M27" i="95"/>
  <c r="M26" i="95"/>
  <c r="M25" i="95"/>
  <c r="M22" i="95"/>
  <c r="M21" i="95"/>
  <c r="M20" i="95"/>
  <c r="M19" i="95"/>
  <c r="M16" i="95"/>
  <c r="M15" i="95"/>
  <c r="M14" i="95"/>
  <c r="M13" i="95"/>
  <c r="L40" i="95"/>
  <c r="L39" i="95"/>
  <c r="L38" i="95"/>
  <c r="L37" i="95"/>
  <c r="L34" i="95"/>
  <c r="L33" i="95"/>
  <c r="L32" i="95"/>
  <c r="L31" i="95"/>
  <c r="L28" i="95"/>
  <c r="L27" i="95"/>
  <c r="L26" i="95"/>
  <c r="L25" i="95"/>
  <c r="L22" i="95"/>
  <c r="L21" i="95"/>
  <c r="L20" i="95"/>
  <c r="L19" i="95"/>
  <c r="L16" i="95"/>
  <c r="L15" i="95"/>
  <c r="L14" i="95"/>
  <c r="L13" i="95"/>
  <c r="K40" i="95"/>
  <c r="K39" i="95"/>
  <c r="K38" i="95"/>
  <c r="K37" i="95"/>
  <c r="K34" i="95"/>
  <c r="K33" i="95"/>
  <c r="K32" i="95"/>
  <c r="K31" i="95"/>
  <c r="K28" i="95"/>
  <c r="K27" i="95"/>
  <c r="K26" i="95"/>
  <c r="K25" i="95"/>
  <c r="K22" i="95"/>
  <c r="K21" i="95"/>
  <c r="K20" i="95"/>
  <c r="K19" i="95"/>
  <c r="K16" i="95"/>
  <c r="K15" i="95"/>
  <c r="K14" i="95"/>
  <c r="K13" i="95"/>
  <c r="J40" i="95"/>
  <c r="J39" i="95"/>
  <c r="J38" i="95"/>
  <c r="J37" i="95"/>
  <c r="J34" i="95"/>
  <c r="J33" i="95"/>
  <c r="J32" i="95"/>
  <c r="J31" i="95"/>
  <c r="J28" i="95"/>
  <c r="J27" i="95"/>
  <c r="J26" i="95"/>
  <c r="J25" i="95"/>
  <c r="J22" i="95"/>
  <c r="J21" i="95"/>
  <c r="J20" i="95"/>
  <c r="J19" i="95"/>
  <c r="J16" i="95"/>
  <c r="J15" i="95"/>
  <c r="J14" i="95"/>
  <c r="J13" i="95"/>
  <c r="I40" i="95"/>
  <c r="I39" i="95"/>
  <c r="I38" i="95"/>
  <c r="I37" i="95"/>
  <c r="I34" i="95"/>
  <c r="I33" i="95"/>
  <c r="I32" i="95"/>
  <c r="I31" i="95"/>
  <c r="I28" i="95"/>
  <c r="I27" i="95"/>
  <c r="I26" i="95"/>
  <c r="I25" i="95"/>
  <c r="I22" i="95"/>
  <c r="I21" i="95"/>
  <c r="I20" i="95"/>
  <c r="I19" i="95"/>
  <c r="I16" i="95"/>
  <c r="I15" i="95"/>
  <c r="I14" i="95"/>
  <c r="I13" i="95"/>
  <c r="H40" i="95"/>
  <c r="H39" i="95"/>
  <c r="H38" i="95"/>
  <c r="H37" i="95"/>
  <c r="H34" i="95"/>
  <c r="H33" i="95"/>
  <c r="H32" i="95"/>
  <c r="H31" i="95"/>
  <c r="H28" i="95"/>
  <c r="H27" i="95"/>
  <c r="H26" i="95"/>
  <c r="H25" i="95"/>
  <c r="H22" i="95"/>
  <c r="H21" i="95"/>
  <c r="H20" i="95"/>
  <c r="H19" i="95"/>
  <c r="H16" i="95"/>
  <c r="H15" i="95"/>
  <c r="H14" i="95"/>
  <c r="H13" i="95"/>
  <c r="G40" i="95"/>
  <c r="G39" i="95"/>
  <c r="G38" i="95"/>
  <c r="G37" i="95"/>
  <c r="G34" i="95"/>
  <c r="G33" i="95"/>
  <c r="G32" i="95"/>
  <c r="G31" i="95"/>
  <c r="G28" i="95"/>
  <c r="G27" i="95"/>
  <c r="G26" i="95"/>
  <c r="G25" i="95"/>
  <c r="G22" i="95"/>
  <c r="G21" i="95"/>
  <c r="G20" i="95"/>
  <c r="G19" i="95"/>
  <c r="G16" i="95"/>
  <c r="G15" i="95"/>
  <c r="G14" i="95"/>
  <c r="G13" i="95"/>
  <c r="F40" i="95"/>
  <c r="D87" i="149" s="1"/>
  <c r="F39" i="95"/>
  <c r="V39" i="95" s="1"/>
  <c r="F38" i="95"/>
  <c r="V38" i="95" s="1"/>
  <c r="F37" i="95"/>
  <c r="V37" i="95" s="1"/>
  <c r="F34" i="95"/>
  <c r="D86" i="149" s="1"/>
  <c r="F33" i="95"/>
  <c r="V33" i="95" s="1"/>
  <c r="F32" i="95"/>
  <c r="V32" i="95" s="1"/>
  <c r="F31" i="95"/>
  <c r="V31" i="95" s="1"/>
  <c r="F28" i="95"/>
  <c r="F27" i="95"/>
  <c r="V27" i="95" s="1"/>
  <c r="F26" i="95"/>
  <c r="V26" i="95" s="1"/>
  <c r="F25" i="95"/>
  <c r="V25" i="95" s="1"/>
  <c r="F22" i="95"/>
  <c r="D85" i="149" s="1"/>
  <c r="F21" i="95"/>
  <c r="V21" i="95" s="1"/>
  <c r="F20" i="95"/>
  <c r="V20" i="95" s="1"/>
  <c r="F19" i="95"/>
  <c r="V19" i="95" s="1"/>
  <c r="F16" i="95"/>
  <c r="D84" i="149" s="1"/>
  <c r="F15" i="95"/>
  <c r="V15" i="95" s="1"/>
  <c r="F14" i="95"/>
  <c r="V14" i="95" s="1"/>
  <c r="F13" i="95"/>
  <c r="V13" i="95" s="1"/>
  <c r="E39" i="95"/>
  <c r="E38" i="95"/>
  <c r="E37" i="95"/>
  <c r="E33" i="95"/>
  <c r="E32" i="95"/>
  <c r="E31" i="95"/>
  <c r="E27" i="95"/>
  <c r="E26" i="95"/>
  <c r="E25" i="95"/>
  <c r="E21" i="95"/>
  <c r="E20" i="95"/>
  <c r="E19" i="95"/>
  <c r="E15" i="95"/>
  <c r="E14" i="95"/>
  <c r="E13" i="95"/>
  <c r="C39" i="95"/>
  <c r="C38" i="95"/>
  <c r="C37" i="95"/>
  <c r="C33" i="95"/>
  <c r="C32" i="95"/>
  <c r="C31" i="95"/>
  <c r="C27" i="95"/>
  <c r="C26" i="95"/>
  <c r="C25" i="95"/>
  <c r="C21" i="95"/>
  <c r="C20" i="95"/>
  <c r="C19" i="95"/>
  <c r="C15" i="95"/>
  <c r="C14" i="95"/>
  <c r="C13" i="95"/>
  <c r="C8" i="95"/>
  <c r="P40" i="84"/>
  <c r="P39" i="84"/>
  <c r="P38" i="84"/>
  <c r="P37" i="84"/>
  <c r="P34" i="84"/>
  <c r="P33" i="84"/>
  <c r="P32" i="84"/>
  <c r="P31" i="84"/>
  <c r="P28" i="84"/>
  <c r="P27" i="84"/>
  <c r="P26" i="84"/>
  <c r="P25" i="84"/>
  <c r="P22" i="84"/>
  <c r="P21" i="84"/>
  <c r="P20" i="84"/>
  <c r="P19" i="84"/>
  <c r="P16" i="84"/>
  <c r="P15" i="84"/>
  <c r="P14" i="84"/>
  <c r="P13" i="84"/>
  <c r="O40" i="84"/>
  <c r="O39" i="84"/>
  <c r="O38" i="84"/>
  <c r="O37" i="84"/>
  <c r="O34" i="84"/>
  <c r="O33" i="84"/>
  <c r="O32" i="84"/>
  <c r="O31" i="84"/>
  <c r="O28" i="84"/>
  <c r="O27" i="84"/>
  <c r="O26" i="84"/>
  <c r="O25" i="84"/>
  <c r="O22" i="84"/>
  <c r="O21" i="84"/>
  <c r="O20" i="84"/>
  <c r="O19" i="84"/>
  <c r="O16" i="84"/>
  <c r="O15" i="84"/>
  <c r="O14" i="84"/>
  <c r="O13" i="84"/>
  <c r="N40" i="84"/>
  <c r="G107" i="149" s="1"/>
  <c r="N39" i="84"/>
  <c r="N38" i="84"/>
  <c r="N37" i="84"/>
  <c r="N34" i="84"/>
  <c r="G106" i="149" s="1"/>
  <c r="N33" i="84"/>
  <c r="N32" i="84"/>
  <c r="N31" i="84"/>
  <c r="N28" i="84"/>
  <c r="G105" i="149" s="1"/>
  <c r="N27" i="84"/>
  <c r="N26" i="84"/>
  <c r="N25" i="84"/>
  <c r="N22" i="84"/>
  <c r="G104" i="149" s="1"/>
  <c r="N21" i="84"/>
  <c r="N20" i="84"/>
  <c r="N19" i="84"/>
  <c r="N16" i="84"/>
  <c r="G103" i="149" s="1"/>
  <c r="N15" i="84"/>
  <c r="N14" i="84"/>
  <c r="N13" i="84"/>
  <c r="M40" i="84"/>
  <c r="M39" i="84"/>
  <c r="M38" i="84"/>
  <c r="M37" i="84"/>
  <c r="M34" i="84"/>
  <c r="M33" i="84"/>
  <c r="M32" i="84"/>
  <c r="M31" i="84"/>
  <c r="M28" i="84"/>
  <c r="M27" i="84"/>
  <c r="M26" i="84"/>
  <c r="M25" i="84"/>
  <c r="M22" i="84"/>
  <c r="M21" i="84"/>
  <c r="M20" i="84"/>
  <c r="M19" i="84"/>
  <c r="M16" i="84"/>
  <c r="M15" i="84"/>
  <c r="M14" i="84"/>
  <c r="M13" i="84"/>
  <c r="L40" i="84"/>
  <c r="L39" i="84"/>
  <c r="L38" i="84"/>
  <c r="L37" i="84"/>
  <c r="L34" i="84"/>
  <c r="L33" i="84"/>
  <c r="L32" i="84"/>
  <c r="L31" i="84"/>
  <c r="L28" i="84"/>
  <c r="L27" i="84"/>
  <c r="L26" i="84"/>
  <c r="L25" i="84"/>
  <c r="L22" i="84"/>
  <c r="L21" i="84"/>
  <c r="L20" i="84"/>
  <c r="L19" i="84"/>
  <c r="L16" i="84"/>
  <c r="L15" i="84"/>
  <c r="L14" i="84"/>
  <c r="L13" i="84"/>
  <c r="K40" i="84"/>
  <c r="K39" i="84"/>
  <c r="K38" i="84"/>
  <c r="K37" i="84"/>
  <c r="K34" i="84"/>
  <c r="K33" i="84"/>
  <c r="K32" i="84"/>
  <c r="K31" i="84"/>
  <c r="K28" i="84"/>
  <c r="K27" i="84"/>
  <c r="K26" i="84"/>
  <c r="K25" i="84"/>
  <c r="K22" i="84"/>
  <c r="K21" i="84"/>
  <c r="K20" i="84"/>
  <c r="K19" i="84"/>
  <c r="K16" i="84"/>
  <c r="K15" i="84"/>
  <c r="K14" i="84"/>
  <c r="K13" i="84"/>
  <c r="J40" i="84"/>
  <c r="J39" i="84"/>
  <c r="J38" i="84"/>
  <c r="J37" i="84"/>
  <c r="J34" i="84"/>
  <c r="J33" i="84"/>
  <c r="J32" i="84"/>
  <c r="J31" i="84"/>
  <c r="J28" i="84"/>
  <c r="J27" i="84"/>
  <c r="J26" i="84"/>
  <c r="J25" i="84"/>
  <c r="J22" i="84"/>
  <c r="J21" i="84"/>
  <c r="J20" i="84"/>
  <c r="J19" i="84"/>
  <c r="J16" i="84"/>
  <c r="J15" i="84"/>
  <c r="J14" i="84"/>
  <c r="J13" i="84"/>
  <c r="I40" i="84"/>
  <c r="O107" i="76" s="1"/>
  <c r="I39" i="84"/>
  <c r="I38" i="84"/>
  <c r="I37" i="84"/>
  <c r="I34" i="84"/>
  <c r="O106" i="76" s="1"/>
  <c r="I33" i="84"/>
  <c r="I32" i="84"/>
  <c r="I31" i="84"/>
  <c r="I28" i="84"/>
  <c r="O105" i="76" s="1"/>
  <c r="I27" i="84"/>
  <c r="I26" i="84"/>
  <c r="I25" i="84"/>
  <c r="I22" i="84"/>
  <c r="O104" i="76" s="1"/>
  <c r="I21" i="84"/>
  <c r="I20" i="84"/>
  <c r="I19" i="84"/>
  <c r="I16" i="84"/>
  <c r="O103" i="76" s="1"/>
  <c r="I15" i="84"/>
  <c r="I14" i="84"/>
  <c r="I13" i="84"/>
  <c r="H40" i="84"/>
  <c r="H39" i="84"/>
  <c r="H38" i="84"/>
  <c r="H37" i="84"/>
  <c r="H34" i="84"/>
  <c r="H33" i="84"/>
  <c r="H32" i="84"/>
  <c r="H31" i="84"/>
  <c r="H28" i="84"/>
  <c r="H27" i="84"/>
  <c r="H26" i="84"/>
  <c r="H25" i="84"/>
  <c r="H22" i="84"/>
  <c r="H21" i="84"/>
  <c r="H20" i="84"/>
  <c r="H19" i="84"/>
  <c r="H16" i="84"/>
  <c r="H15" i="84"/>
  <c r="H14" i="84"/>
  <c r="H13" i="84"/>
  <c r="G40" i="84"/>
  <c r="M107" i="76" s="1"/>
  <c r="N107" i="76" s="1"/>
  <c r="G39" i="84"/>
  <c r="G38" i="84"/>
  <c r="G37" i="84"/>
  <c r="G34" i="84"/>
  <c r="M106" i="76" s="1"/>
  <c r="N106" i="76" s="1"/>
  <c r="G33" i="84"/>
  <c r="G32" i="84"/>
  <c r="G31" i="84"/>
  <c r="G28" i="84"/>
  <c r="M105" i="76" s="1"/>
  <c r="N105" i="76" s="1"/>
  <c r="G27" i="84"/>
  <c r="G26" i="84"/>
  <c r="G25" i="84"/>
  <c r="G22" i="84"/>
  <c r="M104" i="76" s="1"/>
  <c r="N104" i="76" s="1"/>
  <c r="G21" i="84"/>
  <c r="G20" i="84"/>
  <c r="G19" i="84"/>
  <c r="G16" i="84"/>
  <c r="M103" i="76" s="1"/>
  <c r="N103" i="76" s="1"/>
  <c r="G15" i="84"/>
  <c r="G14" i="84"/>
  <c r="G13" i="84"/>
  <c r="F40" i="84"/>
  <c r="D107" i="149" s="1"/>
  <c r="F39" i="84"/>
  <c r="V39" i="84" s="1"/>
  <c r="F38" i="84"/>
  <c r="V38" i="84" s="1"/>
  <c r="F37" i="84"/>
  <c r="V37" i="84" s="1"/>
  <c r="F34" i="84"/>
  <c r="D106" i="149" s="1"/>
  <c r="F33" i="84"/>
  <c r="V33" i="84" s="1"/>
  <c r="F32" i="84"/>
  <c r="V32" i="84" s="1"/>
  <c r="F31" i="84"/>
  <c r="V31" i="84" s="1"/>
  <c r="F28" i="84"/>
  <c r="D105" i="149" s="1"/>
  <c r="F27" i="84"/>
  <c r="V27" i="84" s="1"/>
  <c r="F26" i="84"/>
  <c r="V26" i="84" s="1"/>
  <c r="F25" i="84"/>
  <c r="V25" i="84" s="1"/>
  <c r="F22" i="84"/>
  <c r="D104" i="149" s="1"/>
  <c r="F21" i="84"/>
  <c r="V21" i="84" s="1"/>
  <c r="F20" i="84"/>
  <c r="V20" i="84" s="1"/>
  <c r="F19" i="84"/>
  <c r="V19" i="84" s="1"/>
  <c r="F16" i="84"/>
  <c r="D103" i="149" s="1"/>
  <c r="F15" i="84"/>
  <c r="V15" i="84" s="1"/>
  <c r="F14" i="84"/>
  <c r="V14" i="84" s="1"/>
  <c r="V13" i="84"/>
  <c r="E39" i="84"/>
  <c r="E38" i="84"/>
  <c r="E37" i="84"/>
  <c r="E33" i="84"/>
  <c r="E32" i="84"/>
  <c r="E31" i="84"/>
  <c r="E27" i="84"/>
  <c r="E26" i="84"/>
  <c r="E25" i="84"/>
  <c r="E21" i="84"/>
  <c r="E20" i="84"/>
  <c r="E19" i="84"/>
  <c r="E15" i="84"/>
  <c r="E14" i="84"/>
  <c r="E13" i="84"/>
  <c r="C39" i="84"/>
  <c r="C38" i="84"/>
  <c r="C37" i="84"/>
  <c r="C33" i="84"/>
  <c r="C32" i="84"/>
  <c r="C31" i="84"/>
  <c r="C27" i="84"/>
  <c r="C26" i="84"/>
  <c r="C25" i="84"/>
  <c r="C21" i="84"/>
  <c r="C20" i="84"/>
  <c r="C19" i="84"/>
  <c r="C15" i="84"/>
  <c r="C14" i="84"/>
  <c r="C13" i="84"/>
  <c r="C8" i="84"/>
  <c r="P45" i="49"/>
  <c r="P44" i="49"/>
  <c r="P43" i="49"/>
  <c r="P42" i="49"/>
  <c r="P41" i="49"/>
  <c r="P38" i="49"/>
  <c r="P37" i="49"/>
  <c r="P36" i="49"/>
  <c r="P35" i="49"/>
  <c r="P34" i="49"/>
  <c r="P31" i="49"/>
  <c r="P30" i="49"/>
  <c r="P29" i="49"/>
  <c r="P28" i="49"/>
  <c r="P27" i="49"/>
  <c r="P24" i="49"/>
  <c r="P23" i="49"/>
  <c r="P22" i="49"/>
  <c r="P21" i="49"/>
  <c r="P20" i="49"/>
  <c r="P17" i="49"/>
  <c r="P16" i="49"/>
  <c r="P15" i="49"/>
  <c r="P14" i="49"/>
  <c r="P13" i="49"/>
  <c r="O45" i="49"/>
  <c r="O44" i="49"/>
  <c r="O43" i="49"/>
  <c r="O42" i="49"/>
  <c r="O41" i="49"/>
  <c r="O38" i="49"/>
  <c r="O37" i="49"/>
  <c r="O36" i="49"/>
  <c r="O35" i="49"/>
  <c r="O34" i="49"/>
  <c r="O31" i="49"/>
  <c r="O30" i="49"/>
  <c r="O29" i="49"/>
  <c r="O28" i="49"/>
  <c r="O27" i="49"/>
  <c r="O24" i="49"/>
  <c r="O23" i="49"/>
  <c r="O22" i="49"/>
  <c r="O21" i="49"/>
  <c r="O20" i="49"/>
  <c r="O17" i="49"/>
  <c r="O16" i="49"/>
  <c r="O15" i="49"/>
  <c r="O14" i="49"/>
  <c r="O13" i="49"/>
  <c r="N45" i="49"/>
  <c r="G139" i="149" s="1"/>
  <c r="N44" i="49"/>
  <c r="N43" i="49"/>
  <c r="N42" i="49"/>
  <c r="N41" i="49"/>
  <c r="N38" i="49"/>
  <c r="G138" i="149" s="1"/>
  <c r="N37" i="49"/>
  <c r="N36" i="49"/>
  <c r="N35" i="49"/>
  <c r="N34" i="49"/>
  <c r="N31" i="49"/>
  <c r="G137" i="149" s="1"/>
  <c r="N30" i="49"/>
  <c r="N29" i="49"/>
  <c r="N28" i="49"/>
  <c r="N27" i="49"/>
  <c r="N24" i="49"/>
  <c r="G136" i="149" s="1"/>
  <c r="N23" i="49"/>
  <c r="N22" i="49"/>
  <c r="N21" i="49"/>
  <c r="N20" i="49"/>
  <c r="N17" i="49"/>
  <c r="G135" i="149" s="1"/>
  <c r="N16" i="49"/>
  <c r="N15" i="49"/>
  <c r="N14" i="49"/>
  <c r="N13" i="49"/>
  <c r="M45" i="49"/>
  <c r="M44" i="49"/>
  <c r="M43" i="49"/>
  <c r="M42" i="49"/>
  <c r="M41" i="49"/>
  <c r="M38" i="49"/>
  <c r="M37" i="49"/>
  <c r="M36" i="49"/>
  <c r="M35" i="49"/>
  <c r="M34" i="49"/>
  <c r="M31" i="49"/>
  <c r="M30" i="49"/>
  <c r="M29" i="49"/>
  <c r="M28" i="49"/>
  <c r="M27" i="49"/>
  <c r="M24" i="49"/>
  <c r="M23" i="49"/>
  <c r="M22" i="49"/>
  <c r="M21" i="49"/>
  <c r="M20" i="49"/>
  <c r="M17" i="49"/>
  <c r="M16" i="49"/>
  <c r="M15" i="49"/>
  <c r="M14" i="49"/>
  <c r="M13" i="49"/>
  <c r="L45" i="49"/>
  <c r="L44" i="49"/>
  <c r="L43" i="49"/>
  <c r="L42" i="49"/>
  <c r="L41" i="49"/>
  <c r="L38" i="49"/>
  <c r="L37" i="49"/>
  <c r="L36" i="49"/>
  <c r="L35" i="49"/>
  <c r="L34" i="49"/>
  <c r="L31" i="49"/>
  <c r="L30" i="49"/>
  <c r="L29" i="49"/>
  <c r="L28" i="49"/>
  <c r="L27" i="49"/>
  <c r="L24" i="49"/>
  <c r="L23" i="49"/>
  <c r="L22" i="49"/>
  <c r="L21" i="49"/>
  <c r="L20" i="49"/>
  <c r="L17" i="49"/>
  <c r="L16" i="49"/>
  <c r="L15" i="49"/>
  <c r="L14" i="49"/>
  <c r="L13" i="49"/>
  <c r="K45" i="49"/>
  <c r="K44" i="49"/>
  <c r="K43" i="49"/>
  <c r="K42" i="49"/>
  <c r="K41" i="49"/>
  <c r="K38" i="49"/>
  <c r="K37" i="49"/>
  <c r="K36" i="49"/>
  <c r="K35" i="49"/>
  <c r="K34" i="49"/>
  <c r="K31" i="49"/>
  <c r="K30" i="49"/>
  <c r="K29" i="49"/>
  <c r="K28" i="49"/>
  <c r="K27" i="49"/>
  <c r="K24" i="49"/>
  <c r="K23" i="49"/>
  <c r="K22" i="49"/>
  <c r="K21" i="49"/>
  <c r="K20" i="49"/>
  <c r="K17" i="49"/>
  <c r="K16" i="49"/>
  <c r="K15" i="49"/>
  <c r="K14" i="49"/>
  <c r="K13" i="49"/>
  <c r="J45" i="49"/>
  <c r="J44" i="49"/>
  <c r="J43" i="49"/>
  <c r="J42" i="49"/>
  <c r="J41" i="49"/>
  <c r="J38" i="49"/>
  <c r="J37" i="49"/>
  <c r="J36" i="49"/>
  <c r="J35" i="49"/>
  <c r="J34" i="49"/>
  <c r="J31" i="49"/>
  <c r="J30" i="49"/>
  <c r="J29" i="49"/>
  <c r="J28" i="49"/>
  <c r="J27" i="49"/>
  <c r="J24" i="49"/>
  <c r="J23" i="49"/>
  <c r="J22" i="49"/>
  <c r="J21" i="49"/>
  <c r="J20" i="49"/>
  <c r="J17" i="49"/>
  <c r="J16" i="49"/>
  <c r="J15" i="49"/>
  <c r="J14" i="49"/>
  <c r="J13" i="49"/>
  <c r="I45" i="49"/>
  <c r="I44" i="49"/>
  <c r="I43" i="49"/>
  <c r="I42" i="49"/>
  <c r="I41" i="49"/>
  <c r="I38" i="49"/>
  <c r="I37" i="49"/>
  <c r="I36" i="49"/>
  <c r="I35" i="49"/>
  <c r="I34" i="49"/>
  <c r="I31" i="49"/>
  <c r="I30" i="49"/>
  <c r="I29" i="49"/>
  <c r="I28" i="49"/>
  <c r="I27" i="49"/>
  <c r="I24" i="49"/>
  <c r="I23" i="49"/>
  <c r="I22" i="49"/>
  <c r="I21" i="49"/>
  <c r="I20" i="49"/>
  <c r="I17" i="49"/>
  <c r="I16" i="49"/>
  <c r="I15" i="49"/>
  <c r="I14" i="49"/>
  <c r="I13" i="49"/>
  <c r="H45" i="49"/>
  <c r="H44" i="49"/>
  <c r="H43" i="49"/>
  <c r="H42" i="49"/>
  <c r="H41" i="49"/>
  <c r="H38" i="49"/>
  <c r="H37" i="49"/>
  <c r="H36" i="49"/>
  <c r="H35" i="49"/>
  <c r="H34" i="49"/>
  <c r="H31" i="49"/>
  <c r="H30" i="49"/>
  <c r="H29" i="49"/>
  <c r="H28" i="49"/>
  <c r="H27" i="49"/>
  <c r="H24" i="49"/>
  <c r="H23" i="49"/>
  <c r="H22" i="49"/>
  <c r="H21" i="49"/>
  <c r="H20" i="49"/>
  <c r="H17" i="49"/>
  <c r="H16" i="49"/>
  <c r="H15" i="49"/>
  <c r="H14" i="49"/>
  <c r="H13" i="49"/>
  <c r="G45" i="49"/>
  <c r="G44" i="49"/>
  <c r="G43" i="49"/>
  <c r="G42" i="49"/>
  <c r="G41" i="49"/>
  <c r="G38" i="49"/>
  <c r="G37" i="49"/>
  <c r="G36" i="49"/>
  <c r="G35" i="49"/>
  <c r="G34" i="49"/>
  <c r="G31" i="49"/>
  <c r="G30" i="49"/>
  <c r="G29" i="49"/>
  <c r="G28" i="49"/>
  <c r="G27" i="49"/>
  <c r="G24" i="49"/>
  <c r="G23" i="49"/>
  <c r="G22" i="49"/>
  <c r="G21" i="49"/>
  <c r="G20" i="49"/>
  <c r="G17" i="49"/>
  <c r="G16" i="49"/>
  <c r="G15" i="49"/>
  <c r="G14" i="49"/>
  <c r="G13" i="49"/>
  <c r="F45" i="49"/>
  <c r="D139" i="149" s="1"/>
  <c r="F44" i="49"/>
  <c r="V44" i="49" s="1"/>
  <c r="F43" i="49"/>
  <c r="V43" i="49" s="1"/>
  <c r="F42" i="49"/>
  <c r="V42" i="49" s="1"/>
  <c r="F41" i="49"/>
  <c r="V41" i="49" s="1"/>
  <c r="F38" i="49"/>
  <c r="D138" i="149" s="1"/>
  <c r="F37" i="49"/>
  <c r="V37" i="49" s="1"/>
  <c r="F36" i="49"/>
  <c r="V36" i="49" s="1"/>
  <c r="F35" i="49"/>
  <c r="V35" i="49" s="1"/>
  <c r="F34" i="49"/>
  <c r="V34" i="49" s="1"/>
  <c r="F31" i="49"/>
  <c r="D137" i="149" s="1"/>
  <c r="F30" i="49"/>
  <c r="V30" i="49" s="1"/>
  <c r="F29" i="49"/>
  <c r="V29" i="49" s="1"/>
  <c r="F28" i="49"/>
  <c r="V28" i="49" s="1"/>
  <c r="F27" i="49"/>
  <c r="V27" i="49" s="1"/>
  <c r="F24" i="49"/>
  <c r="D136" i="149" s="1"/>
  <c r="F23" i="49"/>
  <c r="V23" i="49" s="1"/>
  <c r="F22" i="49"/>
  <c r="V22" i="49" s="1"/>
  <c r="F21" i="49"/>
  <c r="V21" i="49" s="1"/>
  <c r="F20" i="49"/>
  <c r="V20" i="49" s="1"/>
  <c r="F17" i="49"/>
  <c r="D135" i="149" s="1"/>
  <c r="F16" i="49"/>
  <c r="V16" i="49" s="1"/>
  <c r="F15" i="49"/>
  <c r="V15" i="49" s="1"/>
  <c r="F14" i="49"/>
  <c r="V14" i="49" s="1"/>
  <c r="F13" i="49"/>
  <c r="V13" i="49" s="1"/>
  <c r="E44" i="49"/>
  <c r="E43" i="49"/>
  <c r="E42" i="49"/>
  <c r="E41" i="49"/>
  <c r="E37" i="49"/>
  <c r="E36" i="49"/>
  <c r="E35" i="49"/>
  <c r="E34" i="49"/>
  <c r="E30" i="49"/>
  <c r="E29" i="49"/>
  <c r="E28" i="49"/>
  <c r="E27" i="49"/>
  <c r="E23" i="49"/>
  <c r="E22" i="49"/>
  <c r="E21" i="49"/>
  <c r="E20" i="49"/>
  <c r="E16" i="49"/>
  <c r="E15" i="49"/>
  <c r="E14" i="49"/>
  <c r="E13" i="49"/>
  <c r="C44" i="49"/>
  <c r="C43" i="49"/>
  <c r="C42" i="49"/>
  <c r="C41" i="49"/>
  <c r="C37" i="49"/>
  <c r="C36" i="49"/>
  <c r="C35" i="49"/>
  <c r="C34" i="49"/>
  <c r="C30" i="49"/>
  <c r="C29" i="49"/>
  <c r="C28" i="49"/>
  <c r="C27" i="49"/>
  <c r="C23" i="49"/>
  <c r="C22" i="49"/>
  <c r="C21" i="49"/>
  <c r="C20" i="49"/>
  <c r="C16" i="49"/>
  <c r="C15" i="49"/>
  <c r="C14" i="49"/>
  <c r="C13" i="49"/>
  <c r="C8" i="49"/>
  <c r="P45" i="60"/>
  <c r="P44" i="60"/>
  <c r="P43" i="60"/>
  <c r="P42" i="60"/>
  <c r="P41" i="60"/>
  <c r="P38" i="60"/>
  <c r="P37" i="60"/>
  <c r="P36" i="60"/>
  <c r="P35" i="60"/>
  <c r="P34" i="60"/>
  <c r="P31" i="60"/>
  <c r="P30" i="60"/>
  <c r="P29" i="60"/>
  <c r="P28" i="60"/>
  <c r="P27" i="60"/>
  <c r="P24" i="60"/>
  <c r="P23" i="60"/>
  <c r="P22" i="60"/>
  <c r="P21" i="60"/>
  <c r="P20" i="60"/>
  <c r="P17" i="60"/>
  <c r="P16" i="60"/>
  <c r="P15" i="60"/>
  <c r="P14" i="60"/>
  <c r="P13" i="60"/>
  <c r="O45" i="60"/>
  <c r="O44" i="60"/>
  <c r="O43" i="60"/>
  <c r="O42" i="60"/>
  <c r="O41" i="60"/>
  <c r="O38" i="60"/>
  <c r="O37" i="60"/>
  <c r="O36" i="60"/>
  <c r="O35" i="60"/>
  <c r="O34" i="60"/>
  <c r="O31" i="60"/>
  <c r="O30" i="60"/>
  <c r="O29" i="60"/>
  <c r="O28" i="60"/>
  <c r="O27" i="60"/>
  <c r="O24" i="60"/>
  <c r="O23" i="60"/>
  <c r="O22" i="60"/>
  <c r="O21" i="60"/>
  <c r="O20" i="60"/>
  <c r="O17" i="60"/>
  <c r="O16" i="60"/>
  <c r="O15" i="60"/>
  <c r="O14" i="60"/>
  <c r="O13" i="60"/>
  <c r="N45" i="60"/>
  <c r="G146" i="149" s="1"/>
  <c r="N44" i="60"/>
  <c r="N43" i="60"/>
  <c r="N42" i="60"/>
  <c r="N41" i="60"/>
  <c r="N38" i="60"/>
  <c r="G145" i="149" s="1"/>
  <c r="N37" i="60"/>
  <c r="N36" i="60"/>
  <c r="N35" i="60"/>
  <c r="N34" i="60"/>
  <c r="N31" i="60"/>
  <c r="G144" i="149" s="1"/>
  <c r="N30" i="60"/>
  <c r="N29" i="60"/>
  <c r="N28" i="60"/>
  <c r="N27" i="60"/>
  <c r="N24" i="60"/>
  <c r="G143" i="149" s="1"/>
  <c r="N23" i="60"/>
  <c r="N22" i="60"/>
  <c r="N21" i="60"/>
  <c r="N20" i="60"/>
  <c r="N17" i="60"/>
  <c r="G142" i="149" s="1"/>
  <c r="N16" i="60"/>
  <c r="N15" i="60"/>
  <c r="N14" i="60"/>
  <c r="N13" i="60"/>
  <c r="M45" i="60"/>
  <c r="M44" i="60"/>
  <c r="M43" i="60"/>
  <c r="M42" i="60"/>
  <c r="M41" i="60"/>
  <c r="M38" i="60"/>
  <c r="M37" i="60"/>
  <c r="M36" i="60"/>
  <c r="M35" i="60"/>
  <c r="M34" i="60"/>
  <c r="M31" i="60"/>
  <c r="M30" i="60"/>
  <c r="M29" i="60"/>
  <c r="M28" i="60"/>
  <c r="M27" i="60"/>
  <c r="M24" i="60"/>
  <c r="M23" i="60"/>
  <c r="M22" i="60"/>
  <c r="M21" i="60"/>
  <c r="M20" i="60"/>
  <c r="M17" i="60"/>
  <c r="M16" i="60"/>
  <c r="M15" i="60"/>
  <c r="M14" i="60"/>
  <c r="M13" i="60"/>
  <c r="L45" i="60"/>
  <c r="L44" i="60"/>
  <c r="L43" i="60"/>
  <c r="L42" i="60"/>
  <c r="L41" i="60"/>
  <c r="L38" i="60"/>
  <c r="L37" i="60"/>
  <c r="L36" i="60"/>
  <c r="L35" i="60"/>
  <c r="L34" i="60"/>
  <c r="L31" i="60"/>
  <c r="L30" i="60"/>
  <c r="L29" i="60"/>
  <c r="L28" i="60"/>
  <c r="L27" i="60"/>
  <c r="L24" i="60"/>
  <c r="L23" i="60"/>
  <c r="L22" i="60"/>
  <c r="L21" i="60"/>
  <c r="L20" i="60"/>
  <c r="L17" i="60"/>
  <c r="L16" i="60"/>
  <c r="L15" i="60"/>
  <c r="L14" i="60"/>
  <c r="L13" i="60"/>
  <c r="K45" i="60"/>
  <c r="K44" i="60"/>
  <c r="K43" i="60"/>
  <c r="K42" i="60"/>
  <c r="K41" i="60"/>
  <c r="K38" i="60"/>
  <c r="K37" i="60"/>
  <c r="K36" i="60"/>
  <c r="K35" i="60"/>
  <c r="K34" i="60"/>
  <c r="K31" i="60"/>
  <c r="K30" i="60"/>
  <c r="K29" i="60"/>
  <c r="K28" i="60"/>
  <c r="K27" i="60"/>
  <c r="K24" i="60"/>
  <c r="K23" i="60"/>
  <c r="K22" i="60"/>
  <c r="K21" i="60"/>
  <c r="K20" i="60"/>
  <c r="K17" i="60"/>
  <c r="K16" i="60"/>
  <c r="K15" i="60"/>
  <c r="K14" i="60"/>
  <c r="K13" i="60"/>
  <c r="J45" i="60"/>
  <c r="J44" i="60"/>
  <c r="J43" i="60"/>
  <c r="J42" i="60"/>
  <c r="J41" i="60"/>
  <c r="J38" i="60"/>
  <c r="J37" i="60"/>
  <c r="J36" i="60"/>
  <c r="J35" i="60"/>
  <c r="J34" i="60"/>
  <c r="J31" i="60"/>
  <c r="J30" i="60"/>
  <c r="J29" i="60"/>
  <c r="J28" i="60"/>
  <c r="J27" i="60"/>
  <c r="J24" i="60"/>
  <c r="J23" i="60"/>
  <c r="J22" i="60"/>
  <c r="J21" i="60"/>
  <c r="J20" i="60"/>
  <c r="J17" i="60"/>
  <c r="J16" i="60"/>
  <c r="J15" i="60"/>
  <c r="J14" i="60"/>
  <c r="J13" i="60"/>
  <c r="I45" i="60"/>
  <c r="I44" i="60"/>
  <c r="I43" i="60"/>
  <c r="I42" i="60"/>
  <c r="I41" i="60"/>
  <c r="I38" i="60"/>
  <c r="I37" i="60"/>
  <c r="I36" i="60"/>
  <c r="I35" i="60"/>
  <c r="I34" i="60"/>
  <c r="I31" i="60"/>
  <c r="I30" i="60"/>
  <c r="I29" i="60"/>
  <c r="I28" i="60"/>
  <c r="I27" i="60"/>
  <c r="I24" i="60"/>
  <c r="I23" i="60"/>
  <c r="I22" i="60"/>
  <c r="I21" i="60"/>
  <c r="I20" i="60"/>
  <c r="I17" i="60"/>
  <c r="I16" i="60"/>
  <c r="I15" i="60"/>
  <c r="I14" i="60"/>
  <c r="I13" i="60"/>
  <c r="H45" i="60"/>
  <c r="H44" i="60"/>
  <c r="H43" i="60"/>
  <c r="H42" i="60"/>
  <c r="H41" i="60"/>
  <c r="H38" i="60"/>
  <c r="H37" i="60"/>
  <c r="H36" i="60"/>
  <c r="H35" i="60"/>
  <c r="H34" i="60"/>
  <c r="H31" i="60"/>
  <c r="H30" i="60"/>
  <c r="H29" i="60"/>
  <c r="H28" i="60"/>
  <c r="H27" i="60"/>
  <c r="H24" i="60"/>
  <c r="H23" i="60"/>
  <c r="H22" i="60"/>
  <c r="H21" i="60"/>
  <c r="H20" i="60"/>
  <c r="H17" i="60"/>
  <c r="H16" i="60"/>
  <c r="H15" i="60"/>
  <c r="H14" i="60"/>
  <c r="H13" i="60"/>
  <c r="G45" i="60"/>
  <c r="G44" i="60"/>
  <c r="G43" i="60"/>
  <c r="G42" i="60"/>
  <c r="G41" i="60"/>
  <c r="G38" i="60"/>
  <c r="G37" i="60"/>
  <c r="G36" i="60"/>
  <c r="G35" i="60"/>
  <c r="G34" i="60"/>
  <c r="G31" i="60"/>
  <c r="G30" i="60"/>
  <c r="G29" i="60"/>
  <c r="G28" i="60"/>
  <c r="G27" i="60"/>
  <c r="G24" i="60"/>
  <c r="G23" i="60"/>
  <c r="G22" i="60"/>
  <c r="G21" i="60"/>
  <c r="G20" i="60"/>
  <c r="G17" i="60"/>
  <c r="G16" i="60"/>
  <c r="G15" i="60"/>
  <c r="G14" i="60"/>
  <c r="G13" i="60"/>
  <c r="F45" i="60"/>
  <c r="D146" i="149" s="1"/>
  <c r="F44" i="60"/>
  <c r="V44" i="60" s="1"/>
  <c r="F43" i="60"/>
  <c r="V43" i="60" s="1"/>
  <c r="F42" i="60"/>
  <c r="V42" i="60" s="1"/>
  <c r="F41" i="60"/>
  <c r="V41" i="60" s="1"/>
  <c r="F38" i="60"/>
  <c r="D145" i="149" s="1"/>
  <c r="F37" i="60"/>
  <c r="V37" i="60" s="1"/>
  <c r="F36" i="60"/>
  <c r="V36" i="60" s="1"/>
  <c r="F35" i="60"/>
  <c r="V35" i="60" s="1"/>
  <c r="F34" i="60"/>
  <c r="V34" i="60" s="1"/>
  <c r="F31" i="60"/>
  <c r="D144" i="149" s="1"/>
  <c r="F30" i="60"/>
  <c r="V30" i="60" s="1"/>
  <c r="F29" i="60"/>
  <c r="V29" i="60" s="1"/>
  <c r="F28" i="60"/>
  <c r="V28" i="60" s="1"/>
  <c r="F27" i="60"/>
  <c r="V27" i="60" s="1"/>
  <c r="F24" i="60"/>
  <c r="D143" i="149" s="1"/>
  <c r="F23" i="60"/>
  <c r="V23" i="60" s="1"/>
  <c r="F22" i="60"/>
  <c r="V22" i="60" s="1"/>
  <c r="F21" i="60"/>
  <c r="V21" i="60" s="1"/>
  <c r="F20" i="60"/>
  <c r="V20" i="60" s="1"/>
  <c r="F17" i="60"/>
  <c r="D142" i="149" s="1"/>
  <c r="F16" i="60"/>
  <c r="V16" i="60" s="1"/>
  <c r="F15" i="60"/>
  <c r="V15" i="60" s="1"/>
  <c r="F14" i="60"/>
  <c r="V14" i="60" s="1"/>
  <c r="F13" i="60"/>
  <c r="V13" i="60" s="1"/>
  <c r="E44" i="60"/>
  <c r="E43" i="60"/>
  <c r="E42" i="60"/>
  <c r="E41" i="60"/>
  <c r="E37" i="60"/>
  <c r="E36" i="60"/>
  <c r="E35" i="60"/>
  <c r="E34" i="60"/>
  <c r="E30" i="60"/>
  <c r="E29" i="60"/>
  <c r="E28" i="60"/>
  <c r="E27" i="60"/>
  <c r="E23" i="60"/>
  <c r="E22" i="60"/>
  <c r="E21" i="60"/>
  <c r="E20" i="60"/>
  <c r="E16" i="60"/>
  <c r="E15" i="60"/>
  <c r="E14" i="60"/>
  <c r="E13" i="60"/>
  <c r="C44" i="60"/>
  <c r="C43" i="60"/>
  <c r="C42" i="60"/>
  <c r="C41" i="60"/>
  <c r="C37" i="60"/>
  <c r="C36" i="60"/>
  <c r="C35" i="60"/>
  <c r="C34" i="60"/>
  <c r="C30" i="60"/>
  <c r="C29" i="60"/>
  <c r="C28" i="60"/>
  <c r="C27" i="60"/>
  <c r="C23" i="60"/>
  <c r="C22" i="60"/>
  <c r="C21" i="60"/>
  <c r="C20" i="60"/>
  <c r="C16" i="60"/>
  <c r="C15" i="60"/>
  <c r="C14" i="60"/>
  <c r="C13" i="60"/>
  <c r="C8" i="60"/>
  <c r="P45" i="61"/>
  <c r="P44" i="61"/>
  <c r="P43" i="61"/>
  <c r="P42" i="61"/>
  <c r="P41" i="61"/>
  <c r="P38" i="61"/>
  <c r="P37" i="61"/>
  <c r="P36" i="61"/>
  <c r="P35" i="61"/>
  <c r="P34" i="61"/>
  <c r="P31" i="61"/>
  <c r="P30" i="61"/>
  <c r="P29" i="61"/>
  <c r="P28" i="61"/>
  <c r="P27" i="61"/>
  <c r="P24" i="61"/>
  <c r="P23" i="61"/>
  <c r="P22" i="61"/>
  <c r="P21" i="61"/>
  <c r="P20" i="61"/>
  <c r="P17" i="61"/>
  <c r="P16" i="61"/>
  <c r="P15" i="61"/>
  <c r="P14" i="61"/>
  <c r="P13" i="61"/>
  <c r="O45" i="61"/>
  <c r="O44" i="61"/>
  <c r="O43" i="61"/>
  <c r="O42" i="61"/>
  <c r="O41" i="61"/>
  <c r="O38" i="61"/>
  <c r="O37" i="61"/>
  <c r="O36" i="61"/>
  <c r="O35" i="61"/>
  <c r="O34" i="61"/>
  <c r="O31" i="61"/>
  <c r="O30" i="61"/>
  <c r="O29" i="61"/>
  <c r="O28" i="61"/>
  <c r="O27" i="61"/>
  <c r="O24" i="61"/>
  <c r="O23" i="61"/>
  <c r="O22" i="61"/>
  <c r="O21" i="61"/>
  <c r="O20" i="61"/>
  <c r="O17" i="61"/>
  <c r="O16" i="61"/>
  <c r="O15" i="61"/>
  <c r="O14" i="61"/>
  <c r="O13" i="61"/>
  <c r="N45" i="61"/>
  <c r="G153" i="149" s="1"/>
  <c r="N44" i="61"/>
  <c r="N43" i="61"/>
  <c r="N42" i="61"/>
  <c r="N41" i="61"/>
  <c r="N38" i="61"/>
  <c r="G152" i="149" s="1"/>
  <c r="N37" i="61"/>
  <c r="N36" i="61"/>
  <c r="N35" i="61"/>
  <c r="N34" i="61"/>
  <c r="N31" i="61"/>
  <c r="G151" i="149" s="1"/>
  <c r="N30" i="61"/>
  <c r="N29" i="61"/>
  <c r="N28" i="61"/>
  <c r="N27" i="61"/>
  <c r="N24" i="61"/>
  <c r="G150" i="149" s="1"/>
  <c r="N23" i="61"/>
  <c r="N22" i="61"/>
  <c r="N21" i="61"/>
  <c r="N20" i="61"/>
  <c r="N17" i="61"/>
  <c r="G149" i="149" s="1"/>
  <c r="N16" i="61"/>
  <c r="N15" i="61"/>
  <c r="N14" i="61"/>
  <c r="N13" i="61"/>
  <c r="M45" i="61"/>
  <c r="M44" i="61"/>
  <c r="M43" i="61"/>
  <c r="M42" i="61"/>
  <c r="M41" i="61"/>
  <c r="M38" i="61"/>
  <c r="M37" i="61"/>
  <c r="M36" i="61"/>
  <c r="M35" i="61"/>
  <c r="M34" i="61"/>
  <c r="M31" i="61"/>
  <c r="M30" i="61"/>
  <c r="M29" i="61"/>
  <c r="M28" i="61"/>
  <c r="M27" i="61"/>
  <c r="M24" i="61"/>
  <c r="M23" i="61"/>
  <c r="M22" i="61"/>
  <c r="M21" i="61"/>
  <c r="M20" i="61"/>
  <c r="M17" i="61"/>
  <c r="M16" i="61"/>
  <c r="M15" i="61"/>
  <c r="M14" i="61"/>
  <c r="M13" i="61"/>
  <c r="L45" i="61"/>
  <c r="L44" i="61"/>
  <c r="L43" i="61"/>
  <c r="L42" i="61"/>
  <c r="L41" i="61"/>
  <c r="L38" i="61"/>
  <c r="L37" i="61"/>
  <c r="L36" i="61"/>
  <c r="L35" i="61"/>
  <c r="L34" i="61"/>
  <c r="L31" i="61"/>
  <c r="L30" i="61"/>
  <c r="L29" i="61"/>
  <c r="L28" i="61"/>
  <c r="L27" i="61"/>
  <c r="L24" i="61"/>
  <c r="L23" i="61"/>
  <c r="L22" i="61"/>
  <c r="L21" i="61"/>
  <c r="L20" i="61"/>
  <c r="L17" i="61"/>
  <c r="L16" i="61"/>
  <c r="L15" i="61"/>
  <c r="L14" i="61"/>
  <c r="L13" i="61"/>
  <c r="K45" i="61"/>
  <c r="K44" i="61"/>
  <c r="K43" i="61"/>
  <c r="K42" i="61"/>
  <c r="K41" i="61"/>
  <c r="K38" i="61"/>
  <c r="K37" i="61"/>
  <c r="K36" i="61"/>
  <c r="K35" i="61"/>
  <c r="K34" i="61"/>
  <c r="K31" i="61"/>
  <c r="K30" i="61"/>
  <c r="K29" i="61"/>
  <c r="K28" i="61"/>
  <c r="K27" i="61"/>
  <c r="K24" i="61"/>
  <c r="K23" i="61"/>
  <c r="K22" i="61"/>
  <c r="K21" i="61"/>
  <c r="K20" i="61"/>
  <c r="K17" i="61"/>
  <c r="K16" i="61"/>
  <c r="K15" i="61"/>
  <c r="K14" i="61"/>
  <c r="K13" i="61"/>
  <c r="J45" i="61"/>
  <c r="J44" i="61"/>
  <c r="J43" i="61"/>
  <c r="J42" i="61"/>
  <c r="J41" i="61"/>
  <c r="J38" i="61"/>
  <c r="J37" i="61"/>
  <c r="J36" i="61"/>
  <c r="J35" i="61"/>
  <c r="J34" i="61"/>
  <c r="J31" i="61"/>
  <c r="J30" i="61"/>
  <c r="J29" i="61"/>
  <c r="J28" i="61"/>
  <c r="J27" i="61"/>
  <c r="J24" i="61"/>
  <c r="J23" i="61"/>
  <c r="J22" i="61"/>
  <c r="J21" i="61"/>
  <c r="J20" i="61"/>
  <c r="J17" i="61"/>
  <c r="J16" i="61"/>
  <c r="J15" i="61"/>
  <c r="J14" i="61"/>
  <c r="J13" i="61"/>
  <c r="I45" i="61"/>
  <c r="I44" i="61"/>
  <c r="I43" i="61"/>
  <c r="I42" i="61"/>
  <c r="I41" i="61"/>
  <c r="I38" i="61"/>
  <c r="I37" i="61"/>
  <c r="I36" i="61"/>
  <c r="I35" i="61"/>
  <c r="I34" i="61"/>
  <c r="I31" i="61"/>
  <c r="I30" i="61"/>
  <c r="I29" i="61"/>
  <c r="I28" i="61"/>
  <c r="I27" i="61"/>
  <c r="I24" i="61"/>
  <c r="I23" i="61"/>
  <c r="I22" i="61"/>
  <c r="I21" i="61"/>
  <c r="I20" i="61"/>
  <c r="I17" i="61"/>
  <c r="I16" i="61"/>
  <c r="I15" i="61"/>
  <c r="I14" i="61"/>
  <c r="I13" i="61"/>
  <c r="H45" i="61"/>
  <c r="H44" i="61"/>
  <c r="H43" i="61"/>
  <c r="H42" i="61"/>
  <c r="H41" i="61"/>
  <c r="H38" i="61"/>
  <c r="H37" i="61"/>
  <c r="H36" i="61"/>
  <c r="H35" i="61"/>
  <c r="H34" i="61"/>
  <c r="H31" i="61"/>
  <c r="H30" i="61"/>
  <c r="H29" i="61"/>
  <c r="H28" i="61"/>
  <c r="H27" i="61"/>
  <c r="H24" i="61"/>
  <c r="H23" i="61"/>
  <c r="H22" i="61"/>
  <c r="H21" i="61"/>
  <c r="H20" i="61"/>
  <c r="H17" i="61"/>
  <c r="H16" i="61"/>
  <c r="H15" i="61"/>
  <c r="H14" i="61"/>
  <c r="H13" i="61"/>
  <c r="G45" i="61"/>
  <c r="G44" i="61"/>
  <c r="G43" i="61"/>
  <c r="G42" i="61"/>
  <c r="G41" i="61"/>
  <c r="G38" i="61"/>
  <c r="G37" i="61"/>
  <c r="G36" i="61"/>
  <c r="G35" i="61"/>
  <c r="G34" i="61"/>
  <c r="G31" i="61"/>
  <c r="G30" i="61"/>
  <c r="G29" i="61"/>
  <c r="G28" i="61"/>
  <c r="G27" i="61"/>
  <c r="G24" i="61"/>
  <c r="G23" i="61"/>
  <c r="G22" i="61"/>
  <c r="G21" i="61"/>
  <c r="G20" i="61"/>
  <c r="G17" i="61"/>
  <c r="G16" i="61"/>
  <c r="G15" i="61"/>
  <c r="G14" i="61"/>
  <c r="G13" i="61"/>
  <c r="F45" i="61"/>
  <c r="D153" i="149" s="1"/>
  <c r="F44" i="61"/>
  <c r="V44" i="61" s="1"/>
  <c r="F43" i="61"/>
  <c r="V43" i="61" s="1"/>
  <c r="F42" i="61"/>
  <c r="V42" i="61" s="1"/>
  <c r="F41" i="61"/>
  <c r="V41" i="61" s="1"/>
  <c r="F38" i="61"/>
  <c r="D152" i="149" s="1"/>
  <c r="F37" i="61"/>
  <c r="V37" i="61" s="1"/>
  <c r="F36" i="61"/>
  <c r="V36" i="61" s="1"/>
  <c r="F35" i="61"/>
  <c r="V35" i="61" s="1"/>
  <c r="F34" i="61"/>
  <c r="V34" i="61" s="1"/>
  <c r="F31" i="61"/>
  <c r="D151" i="149" s="1"/>
  <c r="F30" i="61"/>
  <c r="V30" i="61" s="1"/>
  <c r="F29" i="61"/>
  <c r="V29" i="61" s="1"/>
  <c r="F28" i="61"/>
  <c r="V28" i="61" s="1"/>
  <c r="F27" i="61"/>
  <c r="V27" i="61" s="1"/>
  <c r="F24" i="61"/>
  <c r="D150" i="149" s="1"/>
  <c r="F23" i="61"/>
  <c r="V23" i="61" s="1"/>
  <c r="F22" i="61"/>
  <c r="V22" i="61" s="1"/>
  <c r="F21" i="61"/>
  <c r="V21" i="61" s="1"/>
  <c r="F20" i="61"/>
  <c r="V20" i="61" s="1"/>
  <c r="F17" i="61"/>
  <c r="D149" i="149" s="1"/>
  <c r="F16" i="61"/>
  <c r="V16" i="61" s="1"/>
  <c r="F15" i="61"/>
  <c r="V15" i="61" s="1"/>
  <c r="F14" i="61"/>
  <c r="V14" i="61" s="1"/>
  <c r="F13" i="61"/>
  <c r="V13" i="61" s="1"/>
  <c r="E44" i="61"/>
  <c r="E43" i="61"/>
  <c r="E42" i="61"/>
  <c r="E41" i="61"/>
  <c r="E37" i="61"/>
  <c r="E36" i="61"/>
  <c r="E35" i="61"/>
  <c r="E34" i="61"/>
  <c r="E30" i="61"/>
  <c r="E29" i="61"/>
  <c r="E28" i="61"/>
  <c r="E27" i="61"/>
  <c r="E23" i="61"/>
  <c r="E22" i="61"/>
  <c r="E21" i="61"/>
  <c r="E20" i="61"/>
  <c r="E16" i="61"/>
  <c r="E15" i="61"/>
  <c r="E14" i="61"/>
  <c r="E13" i="61"/>
  <c r="C44" i="61"/>
  <c r="C43" i="61"/>
  <c r="C42" i="61"/>
  <c r="C41" i="61"/>
  <c r="C37" i="61"/>
  <c r="C36" i="61"/>
  <c r="C35" i="61"/>
  <c r="C34" i="61"/>
  <c r="C30" i="61"/>
  <c r="C29" i="61"/>
  <c r="C28" i="61"/>
  <c r="C27" i="61"/>
  <c r="C23" i="61"/>
  <c r="C22" i="61"/>
  <c r="C21" i="61"/>
  <c r="C20" i="61"/>
  <c r="C16" i="61"/>
  <c r="C15" i="61"/>
  <c r="C14" i="61"/>
  <c r="C13" i="61"/>
  <c r="C8" i="61"/>
  <c r="P45" i="86"/>
  <c r="P44" i="86"/>
  <c r="P42" i="86"/>
  <c r="P41" i="86"/>
  <c r="P38" i="86"/>
  <c r="P37" i="86"/>
  <c r="P35" i="86"/>
  <c r="P34" i="86"/>
  <c r="P31" i="86"/>
  <c r="P30" i="86"/>
  <c r="P28" i="86"/>
  <c r="P27" i="86"/>
  <c r="P24" i="86"/>
  <c r="P23" i="86"/>
  <c r="P21" i="86"/>
  <c r="P20" i="86"/>
  <c r="P17" i="86"/>
  <c r="P16" i="86"/>
  <c r="P14" i="86"/>
  <c r="P13" i="86"/>
  <c r="O45" i="86"/>
  <c r="T160" i="76" s="1"/>
  <c r="O44" i="86"/>
  <c r="O42" i="86"/>
  <c r="O41" i="86"/>
  <c r="O38" i="86"/>
  <c r="T159" i="76" s="1"/>
  <c r="O37" i="86"/>
  <c r="O35" i="86"/>
  <c r="O34" i="86"/>
  <c r="O31" i="86"/>
  <c r="T158" i="76" s="1"/>
  <c r="O30" i="86"/>
  <c r="O28" i="86"/>
  <c r="O27" i="86"/>
  <c r="O24" i="86"/>
  <c r="T157" i="76" s="1"/>
  <c r="O23" i="86"/>
  <c r="O21" i="86"/>
  <c r="O20" i="86"/>
  <c r="O17" i="86"/>
  <c r="T156" i="76" s="1"/>
  <c r="O16" i="86"/>
  <c r="O14" i="86"/>
  <c r="O13" i="86"/>
  <c r="N45" i="86"/>
  <c r="G160" i="149" s="1"/>
  <c r="N44" i="86"/>
  <c r="N42" i="86"/>
  <c r="N41" i="86"/>
  <c r="N38" i="86"/>
  <c r="G159" i="149" s="1"/>
  <c r="N37" i="86"/>
  <c r="N35" i="86"/>
  <c r="N34" i="86"/>
  <c r="N31" i="86"/>
  <c r="G158" i="149" s="1"/>
  <c r="N30" i="86"/>
  <c r="N28" i="86"/>
  <c r="N27" i="86"/>
  <c r="N24" i="86"/>
  <c r="G157" i="149" s="1"/>
  <c r="N23" i="86"/>
  <c r="N21" i="86"/>
  <c r="N20" i="86"/>
  <c r="N17" i="86"/>
  <c r="G156" i="149" s="1"/>
  <c r="N16" i="86"/>
  <c r="N14" i="86"/>
  <c r="N13" i="86"/>
  <c r="M45" i="86"/>
  <c r="M44" i="86"/>
  <c r="M42" i="86"/>
  <c r="M41" i="86"/>
  <c r="M38" i="86"/>
  <c r="M37" i="86"/>
  <c r="M35" i="86"/>
  <c r="M34" i="86"/>
  <c r="M31" i="86"/>
  <c r="M30" i="86"/>
  <c r="M28" i="86"/>
  <c r="M27" i="86"/>
  <c r="M24" i="86"/>
  <c r="M23" i="86"/>
  <c r="M21" i="86"/>
  <c r="M20" i="86"/>
  <c r="M17" i="86"/>
  <c r="M16" i="86"/>
  <c r="M14" i="86"/>
  <c r="M13" i="86"/>
  <c r="L45" i="86"/>
  <c r="L44" i="86"/>
  <c r="L42" i="86"/>
  <c r="L41" i="86"/>
  <c r="L38" i="86"/>
  <c r="L37" i="86"/>
  <c r="L35" i="86"/>
  <c r="L34" i="86"/>
  <c r="L31" i="86"/>
  <c r="L30" i="86"/>
  <c r="L28" i="86"/>
  <c r="L27" i="86"/>
  <c r="L24" i="86"/>
  <c r="L23" i="86"/>
  <c r="L21" i="86"/>
  <c r="L20" i="86"/>
  <c r="L17" i="86"/>
  <c r="L16" i="86"/>
  <c r="L14" i="86"/>
  <c r="L13" i="86"/>
  <c r="K45" i="86"/>
  <c r="Q160" i="76" s="1"/>
  <c r="K44" i="86"/>
  <c r="K42" i="86"/>
  <c r="K41" i="86"/>
  <c r="K38" i="86"/>
  <c r="Q159" i="76" s="1"/>
  <c r="K37" i="86"/>
  <c r="K35" i="86"/>
  <c r="K34" i="86"/>
  <c r="K31" i="86"/>
  <c r="Q158" i="76" s="1"/>
  <c r="K30" i="86"/>
  <c r="K28" i="86"/>
  <c r="K27" i="86"/>
  <c r="K24" i="86"/>
  <c r="Q157" i="76" s="1"/>
  <c r="K23" i="86"/>
  <c r="K21" i="86"/>
  <c r="K20" i="86"/>
  <c r="K17" i="86"/>
  <c r="Q156" i="76" s="1"/>
  <c r="K16" i="86"/>
  <c r="K14" i="86"/>
  <c r="K13" i="86"/>
  <c r="J45" i="86"/>
  <c r="J44" i="86"/>
  <c r="J42" i="86"/>
  <c r="J41" i="86"/>
  <c r="J38" i="86"/>
  <c r="J37" i="86"/>
  <c r="J35" i="86"/>
  <c r="J34" i="86"/>
  <c r="J31" i="86"/>
  <c r="J30" i="86"/>
  <c r="J28" i="86"/>
  <c r="J27" i="86"/>
  <c r="J24" i="86"/>
  <c r="J23" i="86"/>
  <c r="J21" i="86"/>
  <c r="J20" i="86"/>
  <c r="J17" i="86"/>
  <c r="J16" i="86"/>
  <c r="J14" i="86"/>
  <c r="J13" i="86"/>
  <c r="I45" i="86"/>
  <c r="O160" i="76" s="1"/>
  <c r="P160" i="76" s="1"/>
  <c r="I44" i="86"/>
  <c r="I42" i="86"/>
  <c r="I41" i="86"/>
  <c r="I38" i="86"/>
  <c r="O159" i="76" s="1"/>
  <c r="P159" i="76" s="1"/>
  <c r="I37" i="86"/>
  <c r="I35" i="86"/>
  <c r="I34" i="86"/>
  <c r="I31" i="86"/>
  <c r="O158" i="76" s="1"/>
  <c r="P158" i="76" s="1"/>
  <c r="I30" i="86"/>
  <c r="I28" i="86"/>
  <c r="I27" i="86"/>
  <c r="I24" i="86"/>
  <c r="O157" i="76" s="1"/>
  <c r="P157" i="76" s="1"/>
  <c r="I23" i="86"/>
  <c r="I21" i="86"/>
  <c r="I20" i="86"/>
  <c r="I17" i="86"/>
  <c r="O156" i="76" s="1"/>
  <c r="P156" i="76" s="1"/>
  <c r="I16" i="86"/>
  <c r="I14" i="86"/>
  <c r="I13" i="86"/>
  <c r="H45" i="86"/>
  <c r="H44" i="86"/>
  <c r="H42" i="86"/>
  <c r="H41" i="86"/>
  <c r="H38" i="86"/>
  <c r="H37" i="86"/>
  <c r="H35" i="86"/>
  <c r="H34" i="86"/>
  <c r="H31" i="86"/>
  <c r="H30" i="86"/>
  <c r="H28" i="86"/>
  <c r="H27" i="86"/>
  <c r="H24" i="86"/>
  <c r="H23" i="86"/>
  <c r="H21" i="86"/>
  <c r="H20" i="86"/>
  <c r="H17" i="86"/>
  <c r="H16" i="86"/>
  <c r="H14" i="86"/>
  <c r="H13" i="86"/>
  <c r="G45" i="86"/>
  <c r="M160" i="76" s="1"/>
  <c r="N160" i="76" s="1"/>
  <c r="G44" i="86"/>
  <c r="G42" i="86"/>
  <c r="G41" i="86"/>
  <c r="G38" i="86"/>
  <c r="M159" i="76" s="1"/>
  <c r="N159" i="76" s="1"/>
  <c r="G37" i="86"/>
  <c r="G35" i="86"/>
  <c r="G34" i="86"/>
  <c r="G31" i="86"/>
  <c r="M158" i="76" s="1"/>
  <c r="N158" i="76" s="1"/>
  <c r="G30" i="86"/>
  <c r="G28" i="86"/>
  <c r="G27" i="86"/>
  <c r="G24" i="86"/>
  <c r="M157" i="76" s="1"/>
  <c r="N157" i="76" s="1"/>
  <c r="G23" i="86"/>
  <c r="G21" i="86"/>
  <c r="G20" i="86"/>
  <c r="G17" i="86"/>
  <c r="M156" i="76" s="1"/>
  <c r="N156" i="76" s="1"/>
  <c r="G16" i="86"/>
  <c r="G14" i="86"/>
  <c r="G13" i="86"/>
  <c r="F45" i="86"/>
  <c r="D160" i="149" s="1"/>
  <c r="F44" i="86"/>
  <c r="V44" i="86" s="1"/>
  <c r="F42" i="86"/>
  <c r="V42" i="86" s="1"/>
  <c r="F41" i="86"/>
  <c r="V41" i="86" s="1"/>
  <c r="F38" i="86"/>
  <c r="D159" i="149" s="1"/>
  <c r="F37" i="86"/>
  <c r="V37" i="86" s="1"/>
  <c r="F35" i="86"/>
  <c r="V35" i="86" s="1"/>
  <c r="F34" i="86"/>
  <c r="V34" i="86" s="1"/>
  <c r="F31" i="86"/>
  <c r="D158" i="149" s="1"/>
  <c r="F30" i="86"/>
  <c r="V30" i="86" s="1"/>
  <c r="F28" i="86"/>
  <c r="V28" i="86" s="1"/>
  <c r="F27" i="86"/>
  <c r="V27" i="86" s="1"/>
  <c r="F24" i="86"/>
  <c r="D157" i="149" s="1"/>
  <c r="F23" i="86"/>
  <c r="V23" i="86" s="1"/>
  <c r="F21" i="86"/>
  <c r="V21" i="86" s="1"/>
  <c r="F20" i="86"/>
  <c r="V20" i="86" s="1"/>
  <c r="F17" i="86"/>
  <c r="D156" i="149" s="1"/>
  <c r="F16" i="86"/>
  <c r="V16" i="86" s="1"/>
  <c r="F14" i="86"/>
  <c r="F13" i="86"/>
  <c r="V13" i="86" s="1"/>
  <c r="E44" i="86"/>
  <c r="E42" i="86"/>
  <c r="E41" i="86"/>
  <c r="E37" i="86"/>
  <c r="E35" i="86"/>
  <c r="E34" i="86"/>
  <c r="E30" i="86"/>
  <c r="E28" i="86"/>
  <c r="E27" i="86"/>
  <c r="E23" i="86"/>
  <c r="E21" i="86"/>
  <c r="E20" i="86"/>
  <c r="E16" i="86"/>
  <c r="E14" i="86"/>
  <c r="E13" i="86"/>
  <c r="C44" i="86"/>
  <c r="C42" i="86"/>
  <c r="C41" i="86"/>
  <c r="C37" i="86"/>
  <c r="C35" i="86"/>
  <c r="C34" i="86"/>
  <c r="C30" i="86"/>
  <c r="C28" i="86"/>
  <c r="C27" i="86"/>
  <c r="C23" i="86"/>
  <c r="C21" i="86"/>
  <c r="C20" i="86"/>
  <c r="C16" i="86"/>
  <c r="C14" i="86"/>
  <c r="C13" i="86"/>
  <c r="C8" i="86"/>
  <c r="P45" i="87"/>
  <c r="P44" i="87"/>
  <c r="P42" i="87"/>
  <c r="P41" i="87"/>
  <c r="P38" i="87"/>
  <c r="P37" i="87"/>
  <c r="P34" i="87"/>
  <c r="P31" i="87"/>
  <c r="P30" i="87"/>
  <c r="P28" i="87"/>
  <c r="P27" i="87"/>
  <c r="P24" i="87"/>
  <c r="P23" i="87"/>
  <c r="P21" i="87"/>
  <c r="P20" i="87"/>
  <c r="P17" i="87"/>
  <c r="P16" i="87"/>
  <c r="P14" i="87"/>
  <c r="P13" i="87"/>
  <c r="O45" i="87"/>
  <c r="T167" i="76" s="1"/>
  <c r="O44" i="87"/>
  <c r="O42" i="87"/>
  <c r="O41" i="87"/>
  <c r="O38" i="87"/>
  <c r="T166" i="76" s="1"/>
  <c r="O37" i="87"/>
  <c r="O34" i="87"/>
  <c r="O31" i="87"/>
  <c r="T165" i="76" s="1"/>
  <c r="O30" i="87"/>
  <c r="O28" i="87"/>
  <c r="O27" i="87"/>
  <c r="O24" i="87"/>
  <c r="T164" i="76" s="1"/>
  <c r="O23" i="87"/>
  <c r="O21" i="87"/>
  <c r="O20" i="87"/>
  <c r="O17" i="87"/>
  <c r="T163" i="76" s="1"/>
  <c r="O16" i="87"/>
  <c r="O14" i="87"/>
  <c r="O13" i="87"/>
  <c r="N45" i="87"/>
  <c r="G167" i="149" s="1"/>
  <c r="N44" i="87"/>
  <c r="N42" i="87"/>
  <c r="N41" i="87"/>
  <c r="N38" i="87"/>
  <c r="G166" i="149" s="1"/>
  <c r="N37" i="87"/>
  <c r="N34" i="87"/>
  <c r="N31" i="87"/>
  <c r="G165" i="149" s="1"/>
  <c r="N30" i="87"/>
  <c r="N28" i="87"/>
  <c r="N27" i="87"/>
  <c r="N24" i="87"/>
  <c r="G164" i="149" s="1"/>
  <c r="N23" i="87"/>
  <c r="N21" i="87"/>
  <c r="N20" i="87"/>
  <c r="N17" i="87"/>
  <c r="G163" i="149" s="1"/>
  <c r="N16" i="87"/>
  <c r="N14" i="87"/>
  <c r="N13" i="87"/>
  <c r="M45" i="87"/>
  <c r="M44" i="87"/>
  <c r="M42" i="87"/>
  <c r="M41" i="87"/>
  <c r="M38" i="87"/>
  <c r="M37" i="87"/>
  <c r="M34" i="87"/>
  <c r="M31" i="87"/>
  <c r="M30" i="87"/>
  <c r="M28" i="87"/>
  <c r="M27" i="87"/>
  <c r="M24" i="87"/>
  <c r="M23" i="87"/>
  <c r="M21" i="87"/>
  <c r="M20" i="87"/>
  <c r="M17" i="87"/>
  <c r="M16" i="87"/>
  <c r="M14" i="87"/>
  <c r="M13" i="87"/>
  <c r="L45" i="87"/>
  <c r="L44" i="87"/>
  <c r="L42" i="87"/>
  <c r="L41" i="87"/>
  <c r="L38" i="87"/>
  <c r="L37" i="87"/>
  <c r="L34" i="87"/>
  <c r="L31" i="87"/>
  <c r="L30" i="87"/>
  <c r="L28" i="87"/>
  <c r="L27" i="87"/>
  <c r="L24" i="87"/>
  <c r="L23" i="87"/>
  <c r="L21" i="87"/>
  <c r="L20" i="87"/>
  <c r="L17" i="87"/>
  <c r="L16" i="87"/>
  <c r="L14" i="87"/>
  <c r="L13" i="87"/>
  <c r="K45" i="87"/>
  <c r="Q167" i="76" s="1"/>
  <c r="K44" i="87"/>
  <c r="K42" i="87"/>
  <c r="K41" i="87"/>
  <c r="K38" i="87"/>
  <c r="Q166" i="76" s="1"/>
  <c r="K37" i="87"/>
  <c r="K34" i="87"/>
  <c r="K31" i="87"/>
  <c r="Q165" i="76" s="1"/>
  <c r="K30" i="87"/>
  <c r="K28" i="87"/>
  <c r="K27" i="87"/>
  <c r="K24" i="87"/>
  <c r="Q164" i="76" s="1"/>
  <c r="K23" i="87"/>
  <c r="K21" i="87"/>
  <c r="K20" i="87"/>
  <c r="K17" i="87"/>
  <c r="Q163" i="76" s="1"/>
  <c r="R163" i="76" s="1"/>
  <c r="K16" i="87"/>
  <c r="K14" i="87"/>
  <c r="K13" i="87"/>
  <c r="J45" i="87"/>
  <c r="J44" i="87"/>
  <c r="J42" i="87"/>
  <c r="J41" i="87"/>
  <c r="J38" i="87"/>
  <c r="J37" i="87"/>
  <c r="J34" i="87"/>
  <c r="J31" i="87"/>
  <c r="J30" i="87"/>
  <c r="J28" i="87"/>
  <c r="J27" i="87"/>
  <c r="J24" i="87"/>
  <c r="J23" i="87"/>
  <c r="J21" i="87"/>
  <c r="J20" i="87"/>
  <c r="J17" i="87"/>
  <c r="J16" i="87"/>
  <c r="J14" i="87"/>
  <c r="J13" i="87"/>
  <c r="I45" i="87"/>
  <c r="O167" i="76" s="1"/>
  <c r="P167" i="76" s="1"/>
  <c r="I44" i="87"/>
  <c r="I42" i="87"/>
  <c r="I41" i="87"/>
  <c r="I38" i="87"/>
  <c r="O166" i="76" s="1"/>
  <c r="P166" i="76" s="1"/>
  <c r="I37" i="87"/>
  <c r="I34" i="87"/>
  <c r="I31" i="87"/>
  <c r="O165" i="76" s="1"/>
  <c r="P165" i="76" s="1"/>
  <c r="I30" i="87"/>
  <c r="I28" i="87"/>
  <c r="I27" i="87"/>
  <c r="I24" i="87"/>
  <c r="O164" i="76" s="1"/>
  <c r="P164" i="76" s="1"/>
  <c r="I23" i="87"/>
  <c r="I21" i="87"/>
  <c r="I20" i="87"/>
  <c r="I17" i="87"/>
  <c r="O163" i="76" s="1"/>
  <c r="P163" i="76" s="1"/>
  <c r="I16" i="87"/>
  <c r="I14" i="87"/>
  <c r="I13" i="87"/>
  <c r="H45" i="87"/>
  <c r="H44" i="87"/>
  <c r="H42" i="87"/>
  <c r="H41" i="87"/>
  <c r="H38" i="87"/>
  <c r="H37" i="87"/>
  <c r="H34" i="87"/>
  <c r="H31" i="87"/>
  <c r="H30" i="87"/>
  <c r="H28" i="87"/>
  <c r="H27" i="87"/>
  <c r="H24" i="87"/>
  <c r="H23" i="87"/>
  <c r="H21" i="87"/>
  <c r="H20" i="87"/>
  <c r="H17" i="87"/>
  <c r="H16" i="87"/>
  <c r="H14" i="87"/>
  <c r="H13" i="87"/>
  <c r="G45" i="87"/>
  <c r="M167" i="76" s="1"/>
  <c r="N167" i="76" s="1"/>
  <c r="G44" i="87"/>
  <c r="G42" i="87"/>
  <c r="G41" i="87"/>
  <c r="G38" i="87"/>
  <c r="M166" i="76" s="1"/>
  <c r="N166" i="76" s="1"/>
  <c r="G37" i="87"/>
  <c r="G34" i="87"/>
  <c r="G31" i="87"/>
  <c r="M165" i="76" s="1"/>
  <c r="N165" i="76" s="1"/>
  <c r="G30" i="87"/>
  <c r="G28" i="87"/>
  <c r="G27" i="87"/>
  <c r="G24" i="87"/>
  <c r="M164" i="76" s="1"/>
  <c r="N164" i="76" s="1"/>
  <c r="G23" i="87"/>
  <c r="G21" i="87"/>
  <c r="G20" i="87"/>
  <c r="G17" i="87"/>
  <c r="M163" i="76" s="1"/>
  <c r="N163" i="76" s="1"/>
  <c r="G16" i="87"/>
  <c r="G14" i="87"/>
  <c r="G13" i="87"/>
  <c r="F45" i="87"/>
  <c r="D167" i="149" s="1"/>
  <c r="S167" i="76" s="1"/>
  <c r="F44" i="87"/>
  <c r="V44" i="87" s="1"/>
  <c r="F42" i="87"/>
  <c r="V42" i="87" s="1"/>
  <c r="F41" i="87"/>
  <c r="V41" i="87" s="1"/>
  <c r="F38" i="87"/>
  <c r="D166" i="149" s="1"/>
  <c r="S166" i="76" s="1"/>
  <c r="F37" i="87"/>
  <c r="V37" i="87" s="1"/>
  <c r="F34" i="87"/>
  <c r="V34" i="87" s="1"/>
  <c r="F31" i="87"/>
  <c r="D165" i="149" s="1"/>
  <c r="S165" i="76" s="1"/>
  <c r="F30" i="87"/>
  <c r="V30" i="87" s="1"/>
  <c r="F28" i="87"/>
  <c r="V28" i="87" s="1"/>
  <c r="F27" i="87"/>
  <c r="V27" i="87" s="1"/>
  <c r="F24" i="87"/>
  <c r="D164" i="149" s="1"/>
  <c r="S164" i="76" s="1"/>
  <c r="F23" i="87"/>
  <c r="V23" i="87" s="1"/>
  <c r="F21" i="87"/>
  <c r="V21" i="87" s="1"/>
  <c r="F20" i="87"/>
  <c r="V20" i="87" s="1"/>
  <c r="F17" i="87"/>
  <c r="D163" i="149" s="1"/>
  <c r="F16" i="87"/>
  <c r="F14" i="87"/>
  <c r="F13" i="87"/>
  <c r="E44" i="87"/>
  <c r="E42" i="87"/>
  <c r="E41" i="87"/>
  <c r="E37" i="87"/>
  <c r="E34" i="87"/>
  <c r="E30" i="87"/>
  <c r="E28" i="87"/>
  <c r="E27" i="87"/>
  <c r="E23" i="87"/>
  <c r="E21" i="87"/>
  <c r="E20" i="87"/>
  <c r="E16" i="87"/>
  <c r="E14" i="87"/>
  <c r="E13" i="87"/>
  <c r="C44" i="87"/>
  <c r="C42" i="87"/>
  <c r="C41" i="87"/>
  <c r="C37" i="87"/>
  <c r="C34" i="87"/>
  <c r="C30" i="87"/>
  <c r="C28" i="87"/>
  <c r="C27" i="87"/>
  <c r="C23" i="87"/>
  <c r="C21" i="87"/>
  <c r="C20" i="87"/>
  <c r="C16" i="87"/>
  <c r="C14" i="87"/>
  <c r="C13" i="87"/>
  <c r="C8" i="87"/>
  <c r="P45" i="88"/>
  <c r="P44" i="88"/>
  <c r="P42" i="88"/>
  <c r="P41" i="88"/>
  <c r="P38" i="88"/>
  <c r="P37" i="88"/>
  <c r="P35" i="88"/>
  <c r="P34" i="88"/>
  <c r="P31" i="88"/>
  <c r="P30" i="88"/>
  <c r="P28" i="88"/>
  <c r="P27" i="88"/>
  <c r="P24" i="88"/>
  <c r="P23" i="88"/>
  <c r="P21" i="88"/>
  <c r="P20" i="88"/>
  <c r="P17" i="88"/>
  <c r="P16" i="88"/>
  <c r="P14" i="88"/>
  <c r="P13" i="88"/>
  <c r="O45" i="88"/>
  <c r="O44" i="88"/>
  <c r="O42" i="88"/>
  <c r="O41" i="88"/>
  <c r="O38" i="88"/>
  <c r="T173" i="76" s="1"/>
  <c r="O37" i="88"/>
  <c r="O35" i="88"/>
  <c r="O34" i="88"/>
  <c r="O31" i="88"/>
  <c r="T172" i="76" s="1"/>
  <c r="O30" i="88"/>
  <c r="O28" i="88"/>
  <c r="O27" i="88"/>
  <c r="O24" i="88"/>
  <c r="T171" i="76" s="1"/>
  <c r="O23" i="88"/>
  <c r="O21" i="88"/>
  <c r="O20" i="88"/>
  <c r="O17" i="88"/>
  <c r="T170" i="76" s="1"/>
  <c r="O16" i="88"/>
  <c r="O14" i="88"/>
  <c r="O13" i="88"/>
  <c r="N45" i="88"/>
  <c r="G174" i="149" s="1"/>
  <c r="J174" i="149" s="1"/>
  <c r="N44" i="88"/>
  <c r="N42" i="88"/>
  <c r="N41" i="88"/>
  <c r="N38" i="88"/>
  <c r="G173" i="149" s="1"/>
  <c r="N37" i="88"/>
  <c r="N35" i="88"/>
  <c r="N34" i="88"/>
  <c r="N31" i="88"/>
  <c r="G172" i="149" s="1"/>
  <c r="N30" i="88"/>
  <c r="N28" i="88"/>
  <c r="N27" i="88"/>
  <c r="N24" i="88"/>
  <c r="G171" i="149" s="1"/>
  <c r="N23" i="88"/>
  <c r="N21" i="88"/>
  <c r="N20" i="88"/>
  <c r="N17" i="88"/>
  <c r="G170" i="149" s="1"/>
  <c r="N16" i="88"/>
  <c r="N14" i="88"/>
  <c r="N13" i="88"/>
  <c r="M45" i="88"/>
  <c r="M44" i="88"/>
  <c r="M42" i="88"/>
  <c r="M41" i="88"/>
  <c r="M38" i="88"/>
  <c r="M37" i="88"/>
  <c r="M35" i="88"/>
  <c r="M34" i="88"/>
  <c r="M31" i="88"/>
  <c r="M30" i="88"/>
  <c r="M28" i="88"/>
  <c r="M27" i="88"/>
  <c r="M24" i="88"/>
  <c r="M23" i="88"/>
  <c r="M21" i="88"/>
  <c r="M20" i="88"/>
  <c r="M17" i="88"/>
  <c r="M16" i="88"/>
  <c r="M14" i="88"/>
  <c r="M13" i="88"/>
  <c r="L45" i="88"/>
  <c r="L44" i="88"/>
  <c r="L42" i="88"/>
  <c r="L41" i="88"/>
  <c r="L38" i="88"/>
  <c r="L37" i="88"/>
  <c r="L35" i="88"/>
  <c r="L34" i="88"/>
  <c r="L31" i="88"/>
  <c r="L30" i="88"/>
  <c r="L28" i="88"/>
  <c r="L27" i="88"/>
  <c r="L24" i="88"/>
  <c r="L23" i="88"/>
  <c r="L21" i="88"/>
  <c r="L20" i="88"/>
  <c r="L17" i="88"/>
  <c r="L16" i="88"/>
  <c r="L14" i="88"/>
  <c r="L13" i="88"/>
  <c r="K45" i="88"/>
  <c r="K44" i="88"/>
  <c r="K42" i="88"/>
  <c r="K41" i="88"/>
  <c r="K38" i="88"/>
  <c r="Q173" i="76" s="1"/>
  <c r="K37" i="88"/>
  <c r="K35" i="88"/>
  <c r="K34" i="88"/>
  <c r="K31" i="88"/>
  <c r="Q172" i="76" s="1"/>
  <c r="K30" i="88"/>
  <c r="K28" i="88"/>
  <c r="K27" i="88"/>
  <c r="K24" i="88"/>
  <c r="Q171" i="76" s="1"/>
  <c r="K23" i="88"/>
  <c r="K21" i="88"/>
  <c r="K20" i="88"/>
  <c r="K17" i="88"/>
  <c r="Q170" i="76" s="1"/>
  <c r="K16" i="88"/>
  <c r="K14" i="88"/>
  <c r="K13" i="88"/>
  <c r="J45" i="88"/>
  <c r="J44" i="88"/>
  <c r="J42" i="88"/>
  <c r="J41" i="88"/>
  <c r="J38" i="88"/>
  <c r="J37" i="88"/>
  <c r="J35" i="88"/>
  <c r="J34" i="88"/>
  <c r="J31" i="88"/>
  <c r="J30" i="88"/>
  <c r="J28" i="88"/>
  <c r="J27" i="88"/>
  <c r="J24" i="88"/>
  <c r="J23" i="88"/>
  <c r="J21" i="88"/>
  <c r="J20" i="88"/>
  <c r="J17" i="88"/>
  <c r="J16" i="88"/>
  <c r="J14" i="88"/>
  <c r="J13" i="88"/>
  <c r="I45" i="88"/>
  <c r="I44" i="88"/>
  <c r="I42" i="88"/>
  <c r="I41" i="88"/>
  <c r="I38" i="88"/>
  <c r="O173" i="76" s="1"/>
  <c r="I37" i="88"/>
  <c r="I35" i="88"/>
  <c r="I34" i="88"/>
  <c r="I31" i="88"/>
  <c r="O172" i="76" s="1"/>
  <c r="P172" i="76" s="1"/>
  <c r="I30" i="88"/>
  <c r="I28" i="88"/>
  <c r="I27" i="88"/>
  <c r="I24" i="88"/>
  <c r="O171" i="76" s="1"/>
  <c r="P171" i="76" s="1"/>
  <c r="I23" i="88"/>
  <c r="I21" i="88"/>
  <c r="I20" i="88"/>
  <c r="I17" i="88"/>
  <c r="O170" i="76" s="1"/>
  <c r="P170" i="76" s="1"/>
  <c r="I16" i="88"/>
  <c r="I14" i="88"/>
  <c r="I13" i="88"/>
  <c r="H45" i="88"/>
  <c r="H44" i="88"/>
  <c r="H42" i="88"/>
  <c r="H41" i="88"/>
  <c r="H38" i="88"/>
  <c r="H37" i="88"/>
  <c r="H35" i="88"/>
  <c r="H34" i="88"/>
  <c r="H31" i="88"/>
  <c r="H30" i="88"/>
  <c r="H28" i="88"/>
  <c r="H27" i="88"/>
  <c r="H24" i="88"/>
  <c r="H23" i="88"/>
  <c r="H21" i="88"/>
  <c r="H20" i="88"/>
  <c r="H17" i="88"/>
  <c r="H16" i="88"/>
  <c r="H14" i="88"/>
  <c r="H13" i="88"/>
  <c r="G45" i="88"/>
  <c r="G44" i="88"/>
  <c r="G42" i="88"/>
  <c r="G41" i="88"/>
  <c r="G38" i="88"/>
  <c r="M173" i="76" s="1"/>
  <c r="G37" i="88"/>
  <c r="G35" i="88"/>
  <c r="G34" i="88"/>
  <c r="G31" i="88"/>
  <c r="M172" i="76" s="1"/>
  <c r="N172" i="76" s="1"/>
  <c r="G30" i="88"/>
  <c r="G28" i="88"/>
  <c r="G27" i="88"/>
  <c r="G24" i="88"/>
  <c r="M171" i="76" s="1"/>
  <c r="N171" i="76" s="1"/>
  <c r="G23" i="88"/>
  <c r="G21" i="88"/>
  <c r="G20" i="88"/>
  <c r="G17" i="88"/>
  <c r="M170" i="76" s="1"/>
  <c r="N170" i="76" s="1"/>
  <c r="G16" i="88"/>
  <c r="G14" i="88"/>
  <c r="G13" i="88"/>
  <c r="F45" i="88"/>
  <c r="D174" i="149" s="1"/>
  <c r="S174" i="76" s="1"/>
  <c r="F44" i="88"/>
  <c r="V44" i="88" s="1"/>
  <c r="F42" i="88"/>
  <c r="V42" i="88" s="1"/>
  <c r="F41" i="88"/>
  <c r="V41" i="88" s="1"/>
  <c r="F38" i="88"/>
  <c r="D173" i="149" s="1"/>
  <c r="F37" i="88"/>
  <c r="V37" i="88" s="1"/>
  <c r="F35" i="88"/>
  <c r="V35" i="88" s="1"/>
  <c r="F34" i="88"/>
  <c r="V34" i="88" s="1"/>
  <c r="F31" i="88"/>
  <c r="D172" i="149" s="1"/>
  <c r="F30" i="88"/>
  <c r="V30" i="88" s="1"/>
  <c r="F28" i="88"/>
  <c r="V28" i="88" s="1"/>
  <c r="F27" i="88"/>
  <c r="V27" i="88" s="1"/>
  <c r="F24" i="88"/>
  <c r="D171" i="149" s="1"/>
  <c r="F23" i="88"/>
  <c r="V23" i="88" s="1"/>
  <c r="F21" i="88"/>
  <c r="V21" i="88" s="1"/>
  <c r="F20" i="88"/>
  <c r="V20" i="88" s="1"/>
  <c r="F17" i="88"/>
  <c r="D170" i="149" s="1"/>
  <c r="F16" i="88"/>
  <c r="V16" i="88" s="1"/>
  <c r="F14" i="88"/>
  <c r="F13" i="88"/>
  <c r="V13" i="88" s="1"/>
  <c r="E44" i="88"/>
  <c r="E42" i="88"/>
  <c r="E41" i="88"/>
  <c r="E37" i="88"/>
  <c r="E35" i="88"/>
  <c r="E34" i="88"/>
  <c r="E30" i="88"/>
  <c r="E28" i="88"/>
  <c r="E27" i="88"/>
  <c r="E23" i="88"/>
  <c r="E21" i="88"/>
  <c r="E20" i="88"/>
  <c r="E16" i="88"/>
  <c r="E14" i="88"/>
  <c r="E13" i="88"/>
  <c r="C44" i="88"/>
  <c r="C42" i="88"/>
  <c r="C41" i="88"/>
  <c r="C37" i="88"/>
  <c r="C35" i="88"/>
  <c r="C34" i="88"/>
  <c r="C30" i="88"/>
  <c r="C28" i="88"/>
  <c r="C27" i="88"/>
  <c r="C23" i="88"/>
  <c r="C21" i="88"/>
  <c r="C20" i="88"/>
  <c r="C16" i="88"/>
  <c r="C14" i="88"/>
  <c r="C13" i="88"/>
  <c r="C8" i="88"/>
  <c r="P45" i="89"/>
  <c r="P44" i="89"/>
  <c r="P42" i="89"/>
  <c r="P41" i="89"/>
  <c r="P38" i="89"/>
  <c r="P37" i="89"/>
  <c r="P35" i="89"/>
  <c r="P34" i="89"/>
  <c r="P31" i="89"/>
  <c r="P30" i="89"/>
  <c r="P28" i="89"/>
  <c r="P27" i="89"/>
  <c r="P24" i="89"/>
  <c r="P23" i="89"/>
  <c r="P21" i="89"/>
  <c r="P20" i="89"/>
  <c r="P17" i="89"/>
  <c r="P16" i="89"/>
  <c r="P14" i="89"/>
  <c r="P13" i="89"/>
  <c r="O45" i="89"/>
  <c r="T181" i="76" s="1"/>
  <c r="O44" i="89"/>
  <c r="O42" i="89"/>
  <c r="O41" i="89"/>
  <c r="O38" i="89"/>
  <c r="T180" i="76" s="1"/>
  <c r="O37" i="89"/>
  <c r="O35" i="89"/>
  <c r="O34" i="89"/>
  <c r="O31" i="89"/>
  <c r="T179" i="76" s="1"/>
  <c r="O30" i="89"/>
  <c r="O28" i="89"/>
  <c r="O27" i="89"/>
  <c r="O24" i="89"/>
  <c r="T178" i="76" s="1"/>
  <c r="O23" i="89"/>
  <c r="O21" i="89"/>
  <c r="O20" i="89"/>
  <c r="O17" i="89"/>
  <c r="T177" i="76" s="1"/>
  <c r="O16" i="89"/>
  <c r="O14" i="89"/>
  <c r="O13" i="89"/>
  <c r="N45" i="89"/>
  <c r="G181" i="149" s="1"/>
  <c r="N44" i="89"/>
  <c r="N42" i="89"/>
  <c r="N41" i="89"/>
  <c r="N38" i="89"/>
  <c r="G180" i="149" s="1"/>
  <c r="N37" i="89"/>
  <c r="N35" i="89"/>
  <c r="N34" i="89"/>
  <c r="N31" i="89"/>
  <c r="G179" i="149" s="1"/>
  <c r="N30" i="89"/>
  <c r="N28" i="89"/>
  <c r="N27" i="89"/>
  <c r="N24" i="89"/>
  <c r="G178" i="149" s="1"/>
  <c r="N23" i="89"/>
  <c r="N21" i="89"/>
  <c r="N20" i="89"/>
  <c r="N17" i="89"/>
  <c r="G177" i="149" s="1"/>
  <c r="N16" i="89"/>
  <c r="N14" i="89"/>
  <c r="N13" i="89"/>
  <c r="M45" i="89"/>
  <c r="M44" i="89"/>
  <c r="M42" i="89"/>
  <c r="M41" i="89"/>
  <c r="M38" i="89"/>
  <c r="M37" i="89"/>
  <c r="M35" i="89"/>
  <c r="M34" i="89"/>
  <c r="M31" i="89"/>
  <c r="M30" i="89"/>
  <c r="M28" i="89"/>
  <c r="M27" i="89"/>
  <c r="M24" i="89"/>
  <c r="M23" i="89"/>
  <c r="M21" i="89"/>
  <c r="M20" i="89"/>
  <c r="M17" i="89"/>
  <c r="M16" i="89"/>
  <c r="M14" i="89"/>
  <c r="M13" i="89"/>
  <c r="L45" i="89"/>
  <c r="L44" i="89"/>
  <c r="L42" i="89"/>
  <c r="L41" i="89"/>
  <c r="L38" i="89"/>
  <c r="L37" i="89"/>
  <c r="L35" i="89"/>
  <c r="L34" i="89"/>
  <c r="L31" i="89"/>
  <c r="L30" i="89"/>
  <c r="L28" i="89"/>
  <c r="L27" i="89"/>
  <c r="L24" i="89"/>
  <c r="L23" i="89"/>
  <c r="L21" i="89"/>
  <c r="L20" i="89"/>
  <c r="L17" i="89"/>
  <c r="L16" i="89"/>
  <c r="L14" i="89"/>
  <c r="L13" i="89"/>
  <c r="K45" i="89"/>
  <c r="Q181" i="76" s="1"/>
  <c r="K44" i="89"/>
  <c r="K42" i="89"/>
  <c r="K41" i="89"/>
  <c r="K38" i="89"/>
  <c r="Q180" i="76" s="1"/>
  <c r="K37" i="89"/>
  <c r="K35" i="89"/>
  <c r="K34" i="89"/>
  <c r="K31" i="89"/>
  <c r="Q179" i="76" s="1"/>
  <c r="K30" i="89"/>
  <c r="K28" i="89"/>
  <c r="K27" i="89"/>
  <c r="K24" i="89"/>
  <c r="Q178" i="76" s="1"/>
  <c r="K23" i="89"/>
  <c r="K21" i="89"/>
  <c r="K20" i="89"/>
  <c r="K17" i="89"/>
  <c r="Q177" i="76" s="1"/>
  <c r="K16" i="89"/>
  <c r="K14" i="89"/>
  <c r="K13" i="89"/>
  <c r="J45" i="89"/>
  <c r="J44" i="89"/>
  <c r="J42" i="89"/>
  <c r="J41" i="89"/>
  <c r="J38" i="89"/>
  <c r="J37" i="89"/>
  <c r="J35" i="89"/>
  <c r="J34" i="89"/>
  <c r="J31" i="89"/>
  <c r="J30" i="89"/>
  <c r="J28" i="89"/>
  <c r="J27" i="89"/>
  <c r="J24" i="89"/>
  <c r="J23" i="89"/>
  <c r="J21" i="89"/>
  <c r="J20" i="89"/>
  <c r="J17" i="89"/>
  <c r="J16" i="89"/>
  <c r="J14" i="89"/>
  <c r="J13" i="89"/>
  <c r="I45" i="89"/>
  <c r="O181" i="76" s="1"/>
  <c r="P181" i="76" s="1"/>
  <c r="I44" i="89"/>
  <c r="I42" i="89"/>
  <c r="I41" i="89"/>
  <c r="I38" i="89"/>
  <c r="O180" i="76" s="1"/>
  <c r="P180" i="76" s="1"/>
  <c r="I37" i="89"/>
  <c r="I35" i="89"/>
  <c r="I34" i="89"/>
  <c r="I31" i="89"/>
  <c r="O179" i="76" s="1"/>
  <c r="P179" i="76" s="1"/>
  <c r="I30" i="89"/>
  <c r="I28" i="89"/>
  <c r="I27" i="89"/>
  <c r="I24" i="89"/>
  <c r="O178" i="76" s="1"/>
  <c r="P178" i="76" s="1"/>
  <c r="I23" i="89"/>
  <c r="I21" i="89"/>
  <c r="I20" i="89"/>
  <c r="I17" i="89"/>
  <c r="O177" i="76" s="1"/>
  <c r="P177" i="76" s="1"/>
  <c r="I16" i="89"/>
  <c r="I14" i="89"/>
  <c r="I13" i="89"/>
  <c r="H45" i="89"/>
  <c r="H44" i="89"/>
  <c r="H42" i="89"/>
  <c r="H41" i="89"/>
  <c r="H38" i="89"/>
  <c r="H37" i="89"/>
  <c r="H35" i="89"/>
  <c r="H34" i="89"/>
  <c r="H31" i="89"/>
  <c r="H30" i="89"/>
  <c r="H28" i="89"/>
  <c r="H27" i="89"/>
  <c r="H24" i="89"/>
  <c r="H23" i="89"/>
  <c r="H21" i="89"/>
  <c r="H20" i="89"/>
  <c r="H17" i="89"/>
  <c r="H16" i="89"/>
  <c r="H14" i="89"/>
  <c r="H13" i="89"/>
  <c r="G45" i="89"/>
  <c r="M181" i="76" s="1"/>
  <c r="N181" i="76" s="1"/>
  <c r="G44" i="89"/>
  <c r="G42" i="89"/>
  <c r="G41" i="89"/>
  <c r="G38" i="89"/>
  <c r="M180" i="76" s="1"/>
  <c r="N180" i="76" s="1"/>
  <c r="G37" i="89"/>
  <c r="G35" i="89"/>
  <c r="G34" i="89"/>
  <c r="G31" i="89"/>
  <c r="M179" i="76" s="1"/>
  <c r="N179" i="76" s="1"/>
  <c r="G30" i="89"/>
  <c r="G28" i="89"/>
  <c r="G27" i="89"/>
  <c r="G24" i="89"/>
  <c r="M178" i="76" s="1"/>
  <c r="N178" i="76" s="1"/>
  <c r="G23" i="89"/>
  <c r="G21" i="89"/>
  <c r="G20" i="89"/>
  <c r="G17" i="89"/>
  <c r="M177" i="76" s="1"/>
  <c r="N177" i="76" s="1"/>
  <c r="G16" i="89"/>
  <c r="G14" i="89"/>
  <c r="G13" i="89"/>
  <c r="F45" i="89"/>
  <c r="D181" i="149" s="1"/>
  <c r="S181" i="76" s="1"/>
  <c r="F44" i="89"/>
  <c r="V44" i="89" s="1"/>
  <c r="F42" i="89"/>
  <c r="V42" i="89" s="1"/>
  <c r="F41" i="89"/>
  <c r="V41" i="89" s="1"/>
  <c r="F38" i="89"/>
  <c r="D180" i="149" s="1"/>
  <c r="S180" i="76" s="1"/>
  <c r="F37" i="89"/>
  <c r="V37" i="89" s="1"/>
  <c r="F35" i="89"/>
  <c r="V35" i="89" s="1"/>
  <c r="F34" i="89"/>
  <c r="V34" i="89" s="1"/>
  <c r="F31" i="89"/>
  <c r="D179" i="149" s="1"/>
  <c r="S179" i="76" s="1"/>
  <c r="F30" i="89"/>
  <c r="V30" i="89" s="1"/>
  <c r="F28" i="89"/>
  <c r="V28" i="89" s="1"/>
  <c r="F27" i="89"/>
  <c r="V27" i="89" s="1"/>
  <c r="F24" i="89"/>
  <c r="D178" i="149" s="1"/>
  <c r="S178" i="76" s="1"/>
  <c r="F23" i="89"/>
  <c r="V23" i="89" s="1"/>
  <c r="F21" i="89"/>
  <c r="V21" i="89" s="1"/>
  <c r="F20" i="89"/>
  <c r="V20" i="89" s="1"/>
  <c r="F17" i="89"/>
  <c r="D177" i="149" s="1"/>
  <c r="F16" i="89"/>
  <c r="V16" i="89" s="1"/>
  <c r="F14" i="89"/>
  <c r="V14" i="89" s="1"/>
  <c r="F13" i="89"/>
  <c r="V13" i="89" s="1"/>
  <c r="E44" i="89"/>
  <c r="E42" i="89"/>
  <c r="E41" i="89"/>
  <c r="E37" i="89"/>
  <c r="E35" i="89"/>
  <c r="E34" i="89"/>
  <c r="E30" i="89"/>
  <c r="E28" i="89"/>
  <c r="E27" i="89"/>
  <c r="E23" i="89"/>
  <c r="E21" i="89"/>
  <c r="E20" i="89"/>
  <c r="E16" i="89"/>
  <c r="E14" i="89"/>
  <c r="E13" i="89"/>
  <c r="C44" i="89"/>
  <c r="C42" i="89"/>
  <c r="C41" i="89"/>
  <c r="C37" i="89"/>
  <c r="C35" i="89"/>
  <c r="C34" i="89"/>
  <c r="C30" i="89"/>
  <c r="C28" i="89"/>
  <c r="C27" i="89"/>
  <c r="C23" i="89"/>
  <c r="C21" i="89"/>
  <c r="C20" i="89"/>
  <c r="C16" i="89"/>
  <c r="C14" i="89"/>
  <c r="C13" i="89"/>
  <c r="C8" i="89"/>
  <c r="P45" i="62"/>
  <c r="P44" i="62"/>
  <c r="P43" i="62"/>
  <c r="P42" i="62"/>
  <c r="P41" i="62"/>
  <c r="P38" i="62"/>
  <c r="P37" i="62"/>
  <c r="P36" i="62"/>
  <c r="P35" i="62"/>
  <c r="P34" i="62"/>
  <c r="P31" i="62"/>
  <c r="P30" i="62"/>
  <c r="P29" i="62"/>
  <c r="P28" i="62"/>
  <c r="P27" i="62"/>
  <c r="P24" i="62"/>
  <c r="P23" i="62"/>
  <c r="P22" i="62"/>
  <c r="P21" i="62"/>
  <c r="P20" i="62"/>
  <c r="P17" i="62"/>
  <c r="P16" i="62"/>
  <c r="P15" i="62"/>
  <c r="P14" i="62"/>
  <c r="P13" i="62"/>
  <c r="O45" i="62"/>
  <c r="O44" i="62"/>
  <c r="O43" i="62"/>
  <c r="O42" i="62"/>
  <c r="O41" i="62"/>
  <c r="O38" i="62"/>
  <c r="O37" i="62"/>
  <c r="O36" i="62"/>
  <c r="O35" i="62"/>
  <c r="O34" i="62"/>
  <c r="O31" i="62"/>
  <c r="O30" i="62"/>
  <c r="O29" i="62"/>
  <c r="O28" i="62"/>
  <c r="O27" i="62"/>
  <c r="O24" i="62"/>
  <c r="O23" i="62"/>
  <c r="O22" i="62"/>
  <c r="O21" i="62"/>
  <c r="O20" i="62"/>
  <c r="O17" i="62"/>
  <c r="O16" i="62"/>
  <c r="O15" i="62"/>
  <c r="O14" i="62"/>
  <c r="O13" i="62"/>
  <c r="N45" i="62"/>
  <c r="G194" i="149" s="1"/>
  <c r="N44" i="62"/>
  <c r="N43" i="62"/>
  <c r="N42" i="62"/>
  <c r="N41" i="62"/>
  <c r="N38" i="62"/>
  <c r="G193" i="149" s="1"/>
  <c r="N37" i="62"/>
  <c r="N36" i="62"/>
  <c r="N35" i="62"/>
  <c r="N34" i="62"/>
  <c r="N31" i="62"/>
  <c r="G192" i="149" s="1"/>
  <c r="N30" i="62"/>
  <c r="N29" i="62"/>
  <c r="N28" i="62"/>
  <c r="N27" i="62"/>
  <c r="N24" i="62"/>
  <c r="G191" i="149" s="1"/>
  <c r="N23" i="62"/>
  <c r="N22" i="62"/>
  <c r="N21" i="62"/>
  <c r="N20" i="62"/>
  <c r="N17" i="62"/>
  <c r="G190" i="149" s="1"/>
  <c r="N16" i="62"/>
  <c r="N15" i="62"/>
  <c r="N14" i="62"/>
  <c r="N13" i="62"/>
  <c r="M45" i="62"/>
  <c r="M44" i="62"/>
  <c r="M43" i="62"/>
  <c r="M42" i="62"/>
  <c r="M41" i="62"/>
  <c r="M38" i="62"/>
  <c r="M37" i="62"/>
  <c r="M36" i="62"/>
  <c r="M35" i="62"/>
  <c r="M34" i="62"/>
  <c r="M31" i="62"/>
  <c r="M30" i="62"/>
  <c r="M29" i="62"/>
  <c r="M28" i="62"/>
  <c r="M27" i="62"/>
  <c r="M24" i="62"/>
  <c r="M23" i="62"/>
  <c r="M22" i="62"/>
  <c r="M21" i="62"/>
  <c r="M20" i="62"/>
  <c r="M17" i="62"/>
  <c r="M16" i="62"/>
  <c r="M15" i="62"/>
  <c r="M14" i="62"/>
  <c r="M13" i="62"/>
  <c r="L45" i="62"/>
  <c r="L44" i="62"/>
  <c r="L43" i="62"/>
  <c r="L42" i="62"/>
  <c r="L41" i="62"/>
  <c r="L38" i="62"/>
  <c r="L37" i="62"/>
  <c r="L36" i="62"/>
  <c r="L35" i="62"/>
  <c r="L34" i="62"/>
  <c r="L31" i="62"/>
  <c r="L30" i="62"/>
  <c r="L29" i="62"/>
  <c r="L28" i="62"/>
  <c r="L27" i="62"/>
  <c r="L24" i="62"/>
  <c r="L23" i="62"/>
  <c r="L22" i="62"/>
  <c r="L21" i="62"/>
  <c r="L20" i="62"/>
  <c r="L17" i="62"/>
  <c r="L16" i="62"/>
  <c r="L15" i="62"/>
  <c r="L14" i="62"/>
  <c r="L13" i="62"/>
  <c r="K45" i="62"/>
  <c r="K44" i="62"/>
  <c r="K43" i="62"/>
  <c r="K42" i="62"/>
  <c r="K41" i="62"/>
  <c r="K38" i="62"/>
  <c r="K37" i="62"/>
  <c r="K36" i="62"/>
  <c r="K35" i="62"/>
  <c r="K34" i="62"/>
  <c r="K31" i="62"/>
  <c r="K30" i="62"/>
  <c r="K29" i="62"/>
  <c r="K28" i="62"/>
  <c r="K27" i="62"/>
  <c r="K24" i="62"/>
  <c r="K23" i="62"/>
  <c r="K22" i="62"/>
  <c r="K21" i="62"/>
  <c r="K20" i="62"/>
  <c r="K17" i="62"/>
  <c r="K16" i="62"/>
  <c r="K15" i="62"/>
  <c r="K14" i="62"/>
  <c r="K13" i="62"/>
  <c r="J45" i="62"/>
  <c r="J44" i="62"/>
  <c r="J43" i="62"/>
  <c r="J42" i="62"/>
  <c r="J41" i="62"/>
  <c r="J38" i="62"/>
  <c r="J37" i="62"/>
  <c r="J36" i="62"/>
  <c r="J35" i="62"/>
  <c r="J34" i="62"/>
  <c r="J31" i="62"/>
  <c r="J30" i="62"/>
  <c r="J29" i="62"/>
  <c r="J28" i="62"/>
  <c r="J27" i="62"/>
  <c r="J24" i="62"/>
  <c r="J23" i="62"/>
  <c r="J22" i="62"/>
  <c r="J21" i="62"/>
  <c r="J20" i="62"/>
  <c r="J17" i="62"/>
  <c r="J16" i="62"/>
  <c r="J15" i="62"/>
  <c r="J14" i="62"/>
  <c r="J13" i="62"/>
  <c r="I45" i="62"/>
  <c r="I44" i="62"/>
  <c r="I43" i="62"/>
  <c r="I42" i="62"/>
  <c r="I41" i="62"/>
  <c r="I38" i="62"/>
  <c r="I37" i="62"/>
  <c r="I36" i="62"/>
  <c r="I35" i="62"/>
  <c r="I34" i="62"/>
  <c r="I31" i="62"/>
  <c r="I30" i="62"/>
  <c r="I29" i="62"/>
  <c r="I28" i="62"/>
  <c r="I27" i="62"/>
  <c r="I24" i="62"/>
  <c r="I23" i="62"/>
  <c r="I22" i="62"/>
  <c r="I21" i="62"/>
  <c r="I20" i="62"/>
  <c r="I17" i="62"/>
  <c r="I16" i="62"/>
  <c r="I15" i="62"/>
  <c r="I14" i="62"/>
  <c r="I13" i="62"/>
  <c r="H45" i="62"/>
  <c r="H44" i="62"/>
  <c r="H43" i="62"/>
  <c r="H42" i="62"/>
  <c r="H41" i="62"/>
  <c r="H38" i="62"/>
  <c r="H37" i="62"/>
  <c r="H36" i="62"/>
  <c r="H35" i="62"/>
  <c r="H34" i="62"/>
  <c r="H31" i="62"/>
  <c r="H30" i="62"/>
  <c r="H29" i="62"/>
  <c r="H28" i="62"/>
  <c r="H27" i="62"/>
  <c r="H24" i="62"/>
  <c r="H23" i="62"/>
  <c r="H22" i="62"/>
  <c r="H21" i="62"/>
  <c r="H20" i="62"/>
  <c r="H17" i="62"/>
  <c r="H16" i="62"/>
  <c r="H15" i="62"/>
  <c r="H14" i="62"/>
  <c r="H13" i="62"/>
  <c r="G45" i="62"/>
  <c r="G44" i="62"/>
  <c r="G43" i="62"/>
  <c r="G42" i="62"/>
  <c r="G41" i="62"/>
  <c r="G38" i="62"/>
  <c r="G37" i="62"/>
  <c r="G36" i="62"/>
  <c r="G35" i="62"/>
  <c r="G34" i="62"/>
  <c r="G31" i="62"/>
  <c r="G30" i="62"/>
  <c r="G29" i="62"/>
  <c r="G28" i="62"/>
  <c r="G27" i="62"/>
  <c r="G24" i="62"/>
  <c r="G23" i="62"/>
  <c r="G22" i="62"/>
  <c r="G21" i="62"/>
  <c r="G20" i="62"/>
  <c r="G17" i="62"/>
  <c r="G16" i="62"/>
  <c r="G15" i="62"/>
  <c r="G14" i="62"/>
  <c r="G13" i="62"/>
  <c r="F45" i="62"/>
  <c r="D194" i="149" s="1"/>
  <c r="F44" i="62"/>
  <c r="V44" i="62" s="1"/>
  <c r="F43" i="62"/>
  <c r="V43" i="62" s="1"/>
  <c r="F42" i="62"/>
  <c r="V42" i="62" s="1"/>
  <c r="F41" i="62"/>
  <c r="V41" i="62" s="1"/>
  <c r="F38" i="62"/>
  <c r="D193" i="149" s="1"/>
  <c r="F37" i="62"/>
  <c r="V37" i="62" s="1"/>
  <c r="F36" i="62"/>
  <c r="V36" i="62" s="1"/>
  <c r="F35" i="62"/>
  <c r="V35" i="62" s="1"/>
  <c r="F34" i="62"/>
  <c r="V34" i="62" s="1"/>
  <c r="F31" i="62"/>
  <c r="D192" i="149" s="1"/>
  <c r="F30" i="62"/>
  <c r="V30" i="62" s="1"/>
  <c r="F29" i="62"/>
  <c r="V29" i="62" s="1"/>
  <c r="F28" i="62"/>
  <c r="V28" i="62" s="1"/>
  <c r="F27" i="62"/>
  <c r="V27" i="62" s="1"/>
  <c r="F24" i="62"/>
  <c r="D191" i="149" s="1"/>
  <c r="F23" i="62"/>
  <c r="V23" i="62" s="1"/>
  <c r="F22" i="62"/>
  <c r="V22" i="62" s="1"/>
  <c r="F21" i="62"/>
  <c r="V21" i="62" s="1"/>
  <c r="F20" i="62"/>
  <c r="V20" i="62" s="1"/>
  <c r="F17" i="62"/>
  <c r="D190" i="149" s="1"/>
  <c r="F16" i="62"/>
  <c r="V16" i="62" s="1"/>
  <c r="F15" i="62"/>
  <c r="V15" i="62" s="1"/>
  <c r="F14" i="62"/>
  <c r="V14" i="62" s="1"/>
  <c r="F13" i="62"/>
  <c r="V13" i="62" s="1"/>
  <c r="E44" i="62"/>
  <c r="E43" i="62"/>
  <c r="E42" i="62"/>
  <c r="E41" i="62"/>
  <c r="E37" i="62"/>
  <c r="E36" i="62"/>
  <c r="E35" i="62"/>
  <c r="E34" i="62"/>
  <c r="E30" i="62"/>
  <c r="E29" i="62"/>
  <c r="E28" i="62"/>
  <c r="E27" i="62"/>
  <c r="E23" i="62"/>
  <c r="E22" i="62"/>
  <c r="E21" i="62"/>
  <c r="E20" i="62"/>
  <c r="E16" i="62"/>
  <c r="E15" i="62"/>
  <c r="E14" i="62"/>
  <c r="E13" i="62"/>
  <c r="C44" i="62"/>
  <c r="C43" i="62"/>
  <c r="C42" i="62"/>
  <c r="C41" i="62"/>
  <c r="C37" i="62"/>
  <c r="C36" i="62"/>
  <c r="C35" i="62"/>
  <c r="C34" i="62"/>
  <c r="C30" i="62"/>
  <c r="C29" i="62"/>
  <c r="C28" i="62"/>
  <c r="C27" i="62"/>
  <c r="C23" i="62"/>
  <c r="C22" i="62"/>
  <c r="C21" i="62"/>
  <c r="C20" i="62"/>
  <c r="C16" i="62"/>
  <c r="C15" i="62"/>
  <c r="C14" i="62"/>
  <c r="C13" i="62"/>
  <c r="C8" i="62"/>
  <c r="P45" i="64"/>
  <c r="P44" i="64"/>
  <c r="P43" i="64"/>
  <c r="P42" i="64"/>
  <c r="P41" i="64"/>
  <c r="P38" i="64"/>
  <c r="P37" i="64"/>
  <c r="P36" i="64"/>
  <c r="P35" i="64"/>
  <c r="P34" i="64"/>
  <c r="P31" i="64"/>
  <c r="P30" i="64"/>
  <c r="P29" i="64"/>
  <c r="P28" i="64"/>
  <c r="P27" i="64"/>
  <c r="P24" i="64"/>
  <c r="P23" i="64"/>
  <c r="P22" i="64"/>
  <c r="P21" i="64"/>
  <c r="P20" i="64"/>
  <c r="P17" i="64"/>
  <c r="P16" i="64"/>
  <c r="P15" i="64"/>
  <c r="P14" i="64"/>
  <c r="P13" i="64"/>
  <c r="O45" i="64"/>
  <c r="O44" i="64"/>
  <c r="O43" i="64"/>
  <c r="O42" i="64"/>
  <c r="O41" i="64"/>
  <c r="O38" i="64"/>
  <c r="O37" i="64"/>
  <c r="O36" i="64"/>
  <c r="O35" i="64"/>
  <c r="O34" i="64"/>
  <c r="O31" i="64"/>
  <c r="O30" i="64"/>
  <c r="O29" i="64"/>
  <c r="O28" i="64"/>
  <c r="O27" i="64"/>
  <c r="O24" i="64"/>
  <c r="O23" i="64"/>
  <c r="O22" i="64"/>
  <c r="O21" i="64"/>
  <c r="O20" i="64"/>
  <c r="O17" i="64"/>
  <c r="O16" i="64"/>
  <c r="O15" i="64"/>
  <c r="O14" i="64"/>
  <c r="O13" i="64"/>
  <c r="N45" i="64"/>
  <c r="G201" i="149" s="1"/>
  <c r="N44" i="64"/>
  <c r="N43" i="64"/>
  <c r="N42" i="64"/>
  <c r="N41" i="64"/>
  <c r="N38" i="64"/>
  <c r="G200" i="149" s="1"/>
  <c r="N37" i="64"/>
  <c r="N36" i="64"/>
  <c r="N35" i="64"/>
  <c r="N34" i="64"/>
  <c r="N31" i="64"/>
  <c r="G199" i="149" s="1"/>
  <c r="N30" i="64"/>
  <c r="N29" i="64"/>
  <c r="N28" i="64"/>
  <c r="N27" i="64"/>
  <c r="N24" i="64"/>
  <c r="G198" i="149" s="1"/>
  <c r="N23" i="64"/>
  <c r="N22" i="64"/>
  <c r="N21" i="64"/>
  <c r="N20" i="64"/>
  <c r="N17" i="64"/>
  <c r="G197" i="149" s="1"/>
  <c r="N16" i="64"/>
  <c r="N15" i="64"/>
  <c r="N14" i="64"/>
  <c r="N13" i="64"/>
  <c r="M45" i="64"/>
  <c r="M44" i="64"/>
  <c r="M43" i="64"/>
  <c r="M42" i="64"/>
  <c r="M41" i="64"/>
  <c r="M38" i="64"/>
  <c r="M37" i="64"/>
  <c r="M36" i="64"/>
  <c r="M35" i="64"/>
  <c r="M34" i="64"/>
  <c r="M31" i="64"/>
  <c r="M30" i="64"/>
  <c r="M29" i="64"/>
  <c r="M28" i="64"/>
  <c r="M27" i="64"/>
  <c r="M24" i="64"/>
  <c r="M23" i="64"/>
  <c r="M22" i="64"/>
  <c r="M21" i="64"/>
  <c r="M20" i="64"/>
  <c r="M17" i="64"/>
  <c r="M16" i="64"/>
  <c r="M15" i="64"/>
  <c r="M14" i="64"/>
  <c r="M13" i="64"/>
  <c r="L45" i="64"/>
  <c r="L44" i="64"/>
  <c r="L43" i="64"/>
  <c r="L42" i="64"/>
  <c r="L41" i="64"/>
  <c r="L38" i="64"/>
  <c r="L37" i="64"/>
  <c r="L36" i="64"/>
  <c r="L35" i="64"/>
  <c r="L34" i="64"/>
  <c r="L31" i="64"/>
  <c r="L30" i="64"/>
  <c r="L29" i="64"/>
  <c r="L28" i="64"/>
  <c r="L27" i="64"/>
  <c r="L24" i="64"/>
  <c r="L23" i="64"/>
  <c r="L22" i="64"/>
  <c r="L21" i="64"/>
  <c r="L20" i="64"/>
  <c r="L17" i="64"/>
  <c r="L16" i="64"/>
  <c r="L15" i="64"/>
  <c r="L14" i="64"/>
  <c r="L13" i="64"/>
  <c r="K45" i="64"/>
  <c r="K44" i="64"/>
  <c r="K43" i="64"/>
  <c r="K42" i="64"/>
  <c r="K41" i="64"/>
  <c r="K38" i="64"/>
  <c r="K37" i="64"/>
  <c r="K36" i="64"/>
  <c r="K35" i="64"/>
  <c r="K34" i="64"/>
  <c r="K31" i="64"/>
  <c r="K30" i="64"/>
  <c r="K29" i="64"/>
  <c r="K28" i="64"/>
  <c r="K27" i="64"/>
  <c r="K24" i="64"/>
  <c r="K23" i="64"/>
  <c r="K22" i="64"/>
  <c r="K21" i="64"/>
  <c r="K20" i="64"/>
  <c r="K17" i="64"/>
  <c r="K16" i="64"/>
  <c r="K15" i="64"/>
  <c r="K14" i="64"/>
  <c r="K13" i="64"/>
  <c r="J45" i="64"/>
  <c r="J44" i="64"/>
  <c r="J43" i="64"/>
  <c r="J42" i="64"/>
  <c r="J41" i="64"/>
  <c r="J38" i="64"/>
  <c r="J37" i="64"/>
  <c r="J36" i="64"/>
  <c r="J35" i="64"/>
  <c r="J34" i="64"/>
  <c r="J31" i="64"/>
  <c r="J30" i="64"/>
  <c r="J29" i="64"/>
  <c r="J28" i="64"/>
  <c r="J27" i="64"/>
  <c r="J24" i="64"/>
  <c r="J23" i="64"/>
  <c r="J22" i="64"/>
  <c r="J21" i="64"/>
  <c r="J20" i="64"/>
  <c r="J17" i="64"/>
  <c r="J16" i="64"/>
  <c r="J15" i="64"/>
  <c r="J14" i="64"/>
  <c r="J13" i="64"/>
  <c r="I45" i="64"/>
  <c r="I44" i="64"/>
  <c r="I43" i="64"/>
  <c r="I42" i="64"/>
  <c r="I41" i="64"/>
  <c r="I38" i="64"/>
  <c r="I37" i="64"/>
  <c r="I36" i="64"/>
  <c r="I35" i="64"/>
  <c r="I34" i="64"/>
  <c r="I31" i="64"/>
  <c r="I30" i="64"/>
  <c r="I29" i="64"/>
  <c r="I28" i="64"/>
  <c r="I27" i="64"/>
  <c r="I24" i="64"/>
  <c r="I23" i="64"/>
  <c r="I22" i="64"/>
  <c r="I21" i="64"/>
  <c r="I20" i="64"/>
  <c r="I17" i="64"/>
  <c r="I16" i="64"/>
  <c r="I15" i="64"/>
  <c r="I14" i="64"/>
  <c r="I13" i="64"/>
  <c r="H45" i="64"/>
  <c r="H44" i="64"/>
  <c r="H43" i="64"/>
  <c r="H42" i="64"/>
  <c r="H41" i="64"/>
  <c r="H38" i="64"/>
  <c r="H37" i="64"/>
  <c r="H36" i="64"/>
  <c r="H35" i="64"/>
  <c r="H34" i="64"/>
  <c r="H31" i="64"/>
  <c r="H30" i="64"/>
  <c r="H29" i="64"/>
  <c r="H28" i="64"/>
  <c r="H27" i="64"/>
  <c r="H24" i="64"/>
  <c r="H23" i="64"/>
  <c r="H22" i="64"/>
  <c r="H21" i="64"/>
  <c r="H20" i="64"/>
  <c r="H17" i="64"/>
  <c r="H16" i="64"/>
  <c r="H15" i="64"/>
  <c r="H14" i="64"/>
  <c r="H13" i="64"/>
  <c r="G45" i="64"/>
  <c r="G44" i="64"/>
  <c r="G43" i="64"/>
  <c r="G42" i="64"/>
  <c r="G41" i="64"/>
  <c r="G38" i="64"/>
  <c r="G37" i="64"/>
  <c r="G36" i="64"/>
  <c r="G35" i="64"/>
  <c r="G34" i="64"/>
  <c r="G31" i="64"/>
  <c r="G30" i="64"/>
  <c r="G29" i="64"/>
  <c r="G28" i="64"/>
  <c r="G27" i="64"/>
  <c r="G24" i="64"/>
  <c r="G23" i="64"/>
  <c r="G22" i="64"/>
  <c r="G21" i="64"/>
  <c r="G20" i="64"/>
  <c r="G17" i="64"/>
  <c r="G16" i="64"/>
  <c r="G15" i="64"/>
  <c r="G14" i="64"/>
  <c r="G13" i="64"/>
  <c r="F45" i="64"/>
  <c r="D201" i="149" s="1"/>
  <c r="F44" i="64"/>
  <c r="V44" i="64" s="1"/>
  <c r="F43" i="64"/>
  <c r="V43" i="64" s="1"/>
  <c r="F42" i="64"/>
  <c r="V42" i="64" s="1"/>
  <c r="F41" i="64"/>
  <c r="V41" i="64" s="1"/>
  <c r="F38" i="64"/>
  <c r="D200" i="149" s="1"/>
  <c r="F37" i="64"/>
  <c r="V37" i="64" s="1"/>
  <c r="F36" i="64"/>
  <c r="V36" i="64" s="1"/>
  <c r="F35" i="64"/>
  <c r="V35" i="64" s="1"/>
  <c r="F34" i="64"/>
  <c r="V34" i="64" s="1"/>
  <c r="F31" i="64"/>
  <c r="D199" i="149" s="1"/>
  <c r="F30" i="64"/>
  <c r="V30" i="64" s="1"/>
  <c r="F29" i="64"/>
  <c r="V29" i="64" s="1"/>
  <c r="F28" i="64"/>
  <c r="V28" i="64" s="1"/>
  <c r="F27" i="64"/>
  <c r="V27" i="64" s="1"/>
  <c r="F24" i="64"/>
  <c r="D198" i="149" s="1"/>
  <c r="F23" i="64"/>
  <c r="V23" i="64" s="1"/>
  <c r="F22" i="64"/>
  <c r="V22" i="64" s="1"/>
  <c r="F21" i="64"/>
  <c r="V21" i="64" s="1"/>
  <c r="F20" i="64"/>
  <c r="V20" i="64" s="1"/>
  <c r="F17" i="64"/>
  <c r="D197" i="149" s="1"/>
  <c r="F16" i="64"/>
  <c r="V16" i="64" s="1"/>
  <c r="F15" i="64"/>
  <c r="V15" i="64" s="1"/>
  <c r="F14" i="64"/>
  <c r="V14" i="64" s="1"/>
  <c r="F13" i="64"/>
  <c r="V13" i="64" s="1"/>
  <c r="E44" i="64"/>
  <c r="E43" i="64"/>
  <c r="E42" i="64"/>
  <c r="E41" i="64"/>
  <c r="E37" i="64"/>
  <c r="E36" i="64"/>
  <c r="E35" i="64"/>
  <c r="E34" i="64"/>
  <c r="E30" i="64"/>
  <c r="E29" i="64"/>
  <c r="E28" i="64"/>
  <c r="E27" i="64"/>
  <c r="E23" i="64"/>
  <c r="E22" i="64"/>
  <c r="E21" i="64"/>
  <c r="E20" i="64"/>
  <c r="E16" i="64"/>
  <c r="E15" i="64"/>
  <c r="E14" i="64"/>
  <c r="E13" i="64"/>
  <c r="C44" i="64"/>
  <c r="C43" i="64"/>
  <c r="C42" i="64"/>
  <c r="C41" i="64"/>
  <c r="C37" i="64"/>
  <c r="C36" i="64"/>
  <c r="C35" i="64"/>
  <c r="C34" i="64"/>
  <c r="C30" i="64"/>
  <c r="C29" i="64"/>
  <c r="C28" i="64"/>
  <c r="C27" i="64"/>
  <c r="C23" i="64"/>
  <c r="C22" i="64"/>
  <c r="C21" i="64"/>
  <c r="C20" i="64"/>
  <c r="C16" i="64"/>
  <c r="C15" i="64"/>
  <c r="C14" i="64"/>
  <c r="C13" i="64"/>
  <c r="C8" i="64"/>
  <c r="P45" i="66"/>
  <c r="P44" i="66"/>
  <c r="P43" i="66"/>
  <c r="P42" i="66"/>
  <c r="P41" i="66"/>
  <c r="P38" i="66"/>
  <c r="P37" i="66"/>
  <c r="P36" i="66"/>
  <c r="P35" i="66"/>
  <c r="P34" i="66"/>
  <c r="P31" i="66"/>
  <c r="P30" i="66"/>
  <c r="P29" i="66"/>
  <c r="P28" i="66"/>
  <c r="P27" i="66"/>
  <c r="P24" i="66"/>
  <c r="P23" i="66"/>
  <c r="P22" i="66"/>
  <c r="P21" i="66"/>
  <c r="P20" i="66"/>
  <c r="P17" i="66"/>
  <c r="P16" i="66"/>
  <c r="P15" i="66"/>
  <c r="P14" i="66"/>
  <c r="P13" i="66"/>
  <c r="O45" i="66"/>
  <c r="O44" i="66"/>
  <c r="O43" i="66"/>
  <c r="O42" i="66"/>
  <c r="O41" i="66"/>
  <c r="O38" i="66"/>
  <c r="O37" i="66"/>
  <c r="O36" i="66"/>
  <c r="O35" i="66"/>
  <c r="O34" i="66"/>
  <c r="O31" i="66"/>
  <c r="O30" i="66"/>
  <c r="O29" i="66"/>
  <c r="O28" i="66"/>
  <c r="O27" i="66"/>
  <c r="O24" i="66"/>
  <c r="O23" i="66"/>
  <c r="O22" i="66"/>
  <c r="O21" i="66"/>
  <c r="O20" i="66"/>
  <c r="O17" i="66"/>
  <c r="O16" i="66"/>
  <c r="O15" i="66"/>
  <c r="O14" i="66"/>
  <c r="O13" i="66"/>
  <c r="N45" i="66"/>
  <c r="G208" i="149" s="1"/>
  <c r="N44" i="66"/>
  <c r="N43" i="66"/>
  <c r="N42" i="66"/>
  <c r="N41" i="66"/>
  <c r="N38" i="66"/>
  <c r="G207" i="149" s="1"/>
  <c r="N37" i="66"/>
  <c r="N36" i="66"/>
  <c r="N35" i="66"/>
  <c r="N34" i="66"/>
  <c r="N31" i="66"/>
  <c r="G206" i="149" s="1"/>
  <c r="N30" i="66"/>
  <c r="N29" i="66"/>
  <c r="N28" i="66"/>
  <c r="N27" i="66"/>
  <c r="N24" i="66"/>
  <c r="G205" i="149" s="1"/>
  <c r="N23" i="66"/>
  <c r="N22" i="66"/>
  <c r="N21" i="66"/>
  <c r="N20" i="66"/>
  <c r="N17" i="66"/>
  <c r="G204" i="149" s="1"/>
  <c r="N16" i="66"/>
  <c r="N15" i="66"/>
  <c r="N14" i="66"/>
  <c r="N13" i="66"/>
  <c r="M45" i="66"/>
  <c r="M44" i="66"/>
  <c r="M43" i="66"/>
  <c r="M42" i="66"/>
  <c r="M41" i="66"/>
  <c r="M38" i="66"/>
  <c r="M37" i="66"/>
  <c r="M36" i="66"/>
  <c r="M35" i="66"/>
  <c r="M34" i="66"/>
  <c r="M31" i="66"/>
  <c r="M30" i="66"/>
  <c r="M29" i="66"/>
  <c r="M28" i="66"/>
  <c r="M27" i="66"/>
  <c r="M24" i="66"/>
  <c r="M23" i="66"/>
  <c r="M22" i="66"/>
  <c r="M21" i="66"/>
  <c r="M20" i="66"/>
  <c r="M17" i="66"/>
  <c r="M16" i="66"/>
  <c r="M15" i="66"/>
  <c r="M14" i="66"/>
  <c r="M13" i="66"/>
  <c r="L45" i="66"/>
  <c r="L44" i="66"/>
  <c r="L43" i="66"/>
  <c r="L42" i="66"/>
  <c r="L41" i="66"/>
  <c r="L38" i="66"/>
  <c r="L37" i="66"/>
  <c r="L36" i="66"/>
  <c r="L35" i="66"/>
  <c r="L34" i="66"/>
  <c r="L31" i="66"/>
  <c r="L30" i="66"/>
  <c r="L29" i="66"/>
  <c r="L28" i="66"/>
  <c r="L27" i="66"/>
  <c r="L24" i="66"/>
  <c r="L23" i="66"/>
  <c r="L22" i="66"/>
  <c r="L21" i="66"/>
  <c r="L20" i="66"/>
  <c r="L17" i="66"/>
  <c r="L16" i="66"/>
  <c r="L15" i="66"/>
  <c r="L14" i="66"/>
  <c r="L13" i="66"/>
  <c r="K45" i="66"/>
  <c r="K44" i="66"/>
  <c r="K43" i="66"/>
  <c r="K42" i="66"/>
  <c r="K41" i="66"/>
  <c r="K38" i="66"/>
  <c r="K37" i="66"/>
  <c r="K36" i="66"/>
  <c r="K35" i="66"/>
  <c r="K34" i="66"/>
  <c r="K31" i="66"/>
  <c r="K30" i="66"/>
  <c r="K29" i="66"/>
  <c r="K28" i="66"/>
  <c r="K27" i="66"/>
  <c r="K24" i="66"/>
  <c r="K23" i="66"/>
  <c r="K22" i="66"/>
  <c r="K21" i="66"/>
  <c r="K20" i="66"/>
  <c r="K17" i="66"/>
  <c r="K16" i="66"/>
  <c r="K15" i="66"/>
  <c r="K14" i="66"/>
  <c r="K13" i="66"/>
  <c r="J45" i="66"/>
  <c r="J44" i="66"/>
  <c r="J43" i="66"/>
  <c r="J42" i="66"/>
  <c r="J41" i="66"/>
  <c r="J38" i="66"/>
  <c r="J37" i="66"/>
  <c r="J36" i="66"/>
  <c r="J35" i="66"/>
  <c r="J34" i="66"/>
  <c r="J31" i="66"/>
  <c r="J30" i="66"/>
  <c r="J29" i="66"/>
  <c r="J28" i="66"/>
  <c r="J27" i="66"/>
  <c r="J24" i="66"/>
  <c r="J23" i="66"/>
  <c r="J22" i="66"/>
  <c r="J21" i="66"/>
  <c r="J20" i="66"/>
  <c r="J17" i="66"/>
  <c r="J16" i="66"/>
  <c r="J15" i="66"/>
  <c r="J14" i="66"/>
  <c r="J13" i="66"/>
  <c r="I45" i="66"/>
  <c r="I44" i="66"/>
  <c r="I43" i="66"/>
  <c r="I42" i="66"/>
  <c r="I41" i="66"/>
  <c r="I38" i="66"/>
  <c r="I37" i="66"/>
  <c r="I36" i="66"/>
  <c r="I35" i="66"/>
  <c r="I34" i="66"/>
  <c r="I31" i="66"/>
  <c r="I30" i="66"/>
  <c r="I29" i="66"/>
  <c r="I28" i="66"/>
  <c r="I27" i="66"/>
  <c r="I24" i="66"/>
  <c r="I23" i="66"/>
  <c r="I22" i="66"/>
  <c r="I21" i="66"/>
  <c r="I20" i="66"/>
  <c r="I17" i="66"/>
  <c r="I16" i="66"/>
  <c r="I15" i="66"/>
  <c r="I14" i="66"/>
  <c r="I13" i="66"/>
  <c r="H45" i="66"/>
  <c r="H44" i="66"/>
  <c r="H43" i="66"/>
  <c r="H42" i="66"/>
  <c r="H41" i="66"/>
  <c r="H38" i="66"/>
  <c r="H37" i="66"/>
  <c r="H36" i="66"/>
  <c r="H35" i="66"/>
  <c r="H34" i="66"/>
  <c r="H31" i="66"/>
  <c r="H30" i="66"/>
  <c r="H29" i="66"/>
  <c r="H28" i="66"/>
  <c r="H27" i="66"/>
  <c r="H24" i="66"/>
  <c r="H23" i="66"/>
  <c r="H22" i="66"/>
  <c r="H21" i="66"/>
  <c r="H20" i="66"/>
  <c r="H17" i="66"/>
  <c r="H16" i="66"/>
  <c r="H15" i="66"/>
  <c r="H14" i="66"/>
  <c r="H13" i="66"/>
  <c r="G45" i="66"/>
  <c r="G44" i="66"/>
  <c r="G43" i="66"/>
  <c r="G42" i="66"/>
  <c r="G41" i="66"/>
  <c r="G38" i="66"/>
  <c r="G37" i="66"/>
  <c r="G36" i="66"/>
  <c r="G35" i="66"/>
  <c r="G34" i="66"/>
  <c r="G31" i="66"/>
  <c r="G30" i="66"/>
  <c r="G29" i="66"/>
  <c r="G28" i="66"/>
  <c r="G27" i="66"/>
  <c r="G24" i="66"/>
  <c r="G23" i="66"/>
  <c r="G22" i="66"/>
  <c r="G21" i="66"/>
  <c r="G20" i="66"/>
  <c r="G17" i="66"/>
  <c r="G16" i="66"/>
  <c r="G15" i="66"/>
  <c r="G14" i="66"/>
  <c r="G13" i="66"/>
  <c r="F45" i="66"/>
  <c r="D208" i="149" s="1"/>
  <c r="F44" i="66"/>
  <c r="V44" i="66" s="1"/>
  <c r="F43" i="66"/>
  <c r="V43" i="66" s="1"/>
  <c r="F42" i="66"/>
  <c r="V42" i="66" s="1"/>
  <c r="F41" i="66"/>
  <c r="V41" i="66" s="1"/>
  <c r="F38" i="66"/>
  <c r="D207" i="149" s="1"/>
  <c r="F37" i="66"/>
  <c r="V37" i="66" s="1"/>
  <c r="F36" i="66"/>
  <c r="V36" i="66" s="1"/>
  <c r="F35" i="66"/>
  <c r="V35" i="66" s="1"/>
  <c r="F34" i="66"/>
  <c r="V34" i="66" s="1"/>
  <c r="F31" i="66"/>
  <c r="D206" i="149" s="1"/>
  <c r="F30" i="66"/>
  <c r="V30" i="66" s="1"/>
  <c r="F29" i="66"/>
  <c r="V29" i="66" s="1"/>
  <c r="F28" i="66"/>
  <c r="V28" i="66" s="1"/>
  <c r="F27" i="66"/>
  <c r="V27" i="66" s="1"/>
  <c r="F24" i="66"/>
  <c r="D205" i="149" s="1"/>
  <c r="F23" i="66"/>
  <c r="V23" i="66" s="1"/>
  <c r="F22" i="66"/>
  <c r="V22" i="66" s="1"/>
  <c r="F21" i="66"/>
  <c r="V21" i="66" s="1"/>
  <c r="F20" i="66"/>
  <c r="V20" i="66" s="1"/>
  <c r="F17" i="66"/>
  <c r="D204" i="149" s="1"/>
  <c r="F16" i="66"/>
  <c r="V16" i="66" s="1"/>
  <c r="F15" i="66"/>
  <c r="V15" i="66" s="1"/>
  <c r="F14" i="66"/>
  <c r="V14" i="66" s="1"/>
  <c r="F13" i="66"/>
  <c r="V13" i="66" s="1"/>
  <c r="E44" i="66"/>
  <c r="E43" i="66"/>
  <c r="E42" i="66"/>
  <c r="E41" i="66"/>
  <c r="E37" i="66"/>
  <c r="E36" i="66"/>
  <c r="E35" i="66"/>
  <c r="E34" i="66"/>
  <c r="E30" i="66"/>
  <c r="E29" i="66"/>
  <c r="E28" i="66"/>
  <c r="E27" i="66"/>
  <c r="E23" i="66"/>
  <c r="E22" i="66"/>
  <c r="E21" i="66"/>
  <c r="E20" i="66"/>
  <c r="E16" i="66"/>
  <c r="E15" i="66"/>
  <c r="E14" i="66"/>
  <c r="E13" i="66"/>
  <c r="C44" i="66"/>
  <c r="C43" i="66"/>
  <c r="C42" i="66"/>
  <c r="C41" i="66"/>
  <c r="C37" i="66"/>
  <c r="C36" i="66"/>
  <c r="C35" i="66"/>
  <c r="C34" i="66"/>
  <c r="C30" i="66"/>
  <c r="C29" i="66"/>
  <c r="C28" i="66"/>
  <c r="C27" i="66"/>
  <c r="C23" i="66"/>
  <c r="C22" i="66"/>
  <c r="C21" i="66"/>
  <c r="C20" i="66"/>
  <c r="C16" i="66"/>
  <c r="C15" i="66"/>
  <c r="C14" i="66"/>
  <c r="C13" i="66"/>
  <c r="C8" i="66"/>
  <c r="P45" i="70"/>
  <c r="P44" i="70"/>
  <c r="P43" i="70"/>
  <c r="P42" i="70"/>
  <c r="P41" i="70"/>
  <c r="P38" i="70"/>
  <c r="P37" i="70"/>
  <c r="P36" i="70"/>
  <c r="P35" i="70"/>
  <c r="P34" i="70"/>
  <c r="P31" i="70"/>
  <c r="P30" i="70"/>
  <c r="P29" i="70"/>
  <c r="P28" i="70"/>
  <c r="P27" i="70"/>
  <c r="P24" i="70"/>
  <c r="P23" i="70"/>
  <c r="P22" i="70"/>
  <c r="P21" i="70"/>
  <c r="P20" i="70"/>
  <c r="P17" i="70"/>
  <c r="P16" i="70"/>
  <c r="P15" i="70"/>
  <c r="P14" i="70"/>
  <c r="P13" i="70"/>
  <c r="O45" i="70"/>
  <c r="O44" i="70"/>
  <c r="O43" i="70"/>
  <c r="O42" i="70"/>
  <c r="O41" i="70"/>
  <c r="O38" i="70"/>
  <c r="O37" i="70"/>
  <c r="O36" i="70"/>
  <c r="O35" i="70"/>
  <c r="O34" i="70"/>
  <c r="O31" i="70"/>
  <c r="O30" i="70"/>
  <c r="O29" i="70"/>
  <c r="O28" i="70"/>
  <c r="O27" i="70"/>
  <c r="O24" i="70"/>
  <c r="O23" i="70"/>
  <c r="O22" i="70"/>
  <c r="O21" i="70"/>
  <c r="O20" i="70"/>
  <c r="O17" i="70"/>
  <c r="O16" i="70"/>
  <c r="O15" i="70"/>
  <c r="O14" i="70"/>
  <c r="O13" i="70"/>
  <c r="N45" i="70"/>
  <c r="G215" i="149" s="1"/>
  <c r="N44" i="70"/>
  <c r="N43" i="70"/>
  <c r="N42" i="70"/>
  <c r="N41" i="70"/>
  <c r="N38" i="70"/>
  <c r="G214" i="149" s="1"/>
  <c r="N37" i="70"/>
  <c r="N36" i="70"/>
  <c r="N35" i="70"/>
  <c r="N34" i="70"/>
  <c r="N31" i="70"/>
  <c r="G213" i="149" s="1"/>
  <c r="N30" i="70"/>
  <c r="N29" i="70"/>
  <c r="N28" i="70"/>
  <c r="N27" i="70"/>
  <c r="N24" i="70"/>
  <c r="G212" i="149" s="1"/>
  <c r="N23" i="70"/>
  <c r="N22" i="70"/>
  <c r="N21" i="70"/>
  <c r="N20" i="70"/>
  <c r="N17" i="70"/>
  <c r="G211" i="149" s="1"/>
  <c r="N16" i="70"/>
  <c r="N15" i="70"/>
  <c r="N14" i="70"/>
  <c r="N13" i="70"/>
  <c r="M45" i="70"/>
  <c r="M44" i="70"/>
  <c r="M43" i="70"/>
  <c r="M42" i="70"/>
  <c r="M41" i="70"/>
  <c r="M38" i="70"/>
  <c r="M37" i="70"/>
  <c r="M36" i="70"/>
  <c r="M35" i="70"/>
  <c r="M34" i="70"/>
  <c r="M31" i="70"/>
  <c r="M30" i="70"/>
  <c r="M29" i="70"/>
  <c r="M28" i="70"/>
  <c r="M27" i="70"/>
  <c r="M24" i="70"/>
  <c r="M23" i="70"/>
  <c r="M22" i="70"/>
  <c r="M21" i="70"/>
  <c r="M20" i="70"/>
  <c r="M17" i="70"/>
  <c r="M16" i="70"/>
  <c r="M15" i="70"/>
  <c r="M14" i="70"/>
  <c r="M13" i="70"/>
  <c r="L45" i="70"/>
  <c r="L44" i="70"/>
  <c r="L43" i="70"/>
  <c r="L42" i="70"/>
  <c r="L41" i="70"/>
  <c r="L38" i="70"/>
  <c r="L37" i="70"/>
  <c r="L36" i="70"/>
  <c r="L35" i="70"/>
  <c r="L34" i="70"/>
  <c r="L31" i="70"/>
  <c r="L30" i="70"/>
  <c r="L29" i="70"/>
  <c r="L28" i="70"/>
  <c r="L27" i="70"/>
  <c r="L24" i="70"/>
  <c r="L23" i="70"/>
  <c r="L22" i="70"/>
  <c r="L21" i="70"/>
  <c r="L20" i="70"/>
  <c r="L17" i="70"/>
  <c r="L16" i="70"/>
  <c r="L15" i="70"/>
  <c r="L14" i="70"/>
  <c r="L13" i="70"/>
  <c r="K45" i="70"/>
  <c r="K44" i="70"/>
  <c r="K43" i="70"/>
  <c r="K42" i="70"/>
  <c r="K41" i="70"/>
  <c r="K38" i="70"/>
  <c r="K37" i="70"/>
  <c r="K36" i="70"/>
  <c r="K35" i="70"/>
  <c r="K34" i="70"/>
  <c r="K31" i="70"/>
  <c r="K30" i="70"/>
  <c r="K29" i="70"/>
  <c r="K28" i="70"/>
  <c r="K27" i="70"/>
  <c r="K24" i="70"/>
  <c r="K23" i="70"/>
  <c r="K22" i="70"/>
  <c r="K21" i="70"/>
  <c r="K20" i="70"/>
  <c r="K17" i="70"/>
  <c r="K16" i="70"/>
  <c r="K15" i="70"/>
  <c r="K14" i="70"/>
  <c r="K13" i="70"/>
  <c r="J45" i="70"/>
  <c r="J44" i="70"/>
  <c r="J43" i="70"/>
  <c r="J42" i="70"/>
  <c r="J41" i="70"/>
  <c r="J38" i="70"/>
  <c r="J37" i="70"/>
  <c r="J36" i="70"/>
  <c r="J35" i="70"/>
  <c r="J34" i="70"/>
  <c r="J31" i="70"/>
  <c r="J30" i="70"/>
  <c r="J29" i="70"/>
  <c r="J28" i="70"/>
  <c r="J27" i="70"/>
  <c r="J24" i="70"/>
  <c r="J23" i="70"/>
  <c r="J22" i="70"/>
  <c r="J21" i="70"/>
  <c r="J20" i="70"/>
  <c r="J17" i="70"/>
  <c r="J16" i="70"/>
  <c r="J15" i="70"/>
  <c r="J14" i="70"/>
  <c r="J13" i="70"/>
  <c r="I45" i="70"/>
  <c r="I44" i="70"/>
  <c r="I43" i="70"/>
  <c r="I42" i="70"/>
  <c r="I41" i="70"/>
  <c r="I38" i="70"/>
  <c r="I37" i="70"/>
  <c r="I36" i="70"/>
  <c r="I35" i="70"/>
  <c r="I34" i="70"/>
  <c r="I31" i="70"/>
  <c r="I30" i="70"/>
  <c r="I29" i="70"/>
  <c r="I28" i="70"/>
  <c r="I27" i="70"/>
  <c r="I24" i="70"/>
  <c r="I23" i="70"/>
  <c r="I22" i="70"/>
  <c r="I21" i="70"/>
  <c r="I20" i="70"/>
  <c r="I17" i="70"/>
  <c r="I16" i="70"/>
  <c r="I15" i="70"/>
  <c r="I14" i="70"/>
  <c r="I13" i="70"/>
  <c r="H45" i="70"/>
  <c r="H44" i="70"/>
  <c r="H43" i="70"/>
  <c r="H42" i="70"/>
  <c r="H41" i="70"/>
  <c r="H38" i="70"/>
  <c r="H37" i="70"/>
  <c r="H36" i="70"/>
  <c r="H35" i="70"/>
  <c r="H34" i="70"/>
  <c r="H31" i="70"/>
  <c r="H30" i="70"/>
  <c r="H29" i="70"/>
  <c r="H28" i="70"/>
  <c r="H27" i="70"/>
  <c r="H24" i="70"/>
  <c r="H23" i="70"/>
  <c r="H22" i="70"/>
  <c r="H21" i="70"/>
  <c r="H20" i="70"/>
  <c r="H17" i="70"/>
  <c r="H16" i="70"/>
  <c r="H15" i="70"/>
  <c r="H14" i="70"/>
  <c r="H13" i="70"/>
  <c r="G45" i="70"/>
  <c r="G44" i="70"/>
  <c r="G43" i="70"/>
  <c r="G42" i="70"/>
  <c r="G41" i="70"/>
  <c r="G38" i="70"/>
  <c r="G37" i="70"/>
  <c r="G36" i="70"/>
  <c r="G35" i="70"/>
  <c r="G34" i="70"/>
  <c r="G31" i="70"/>
  <c r="G30" i="70"/>
  <c r="G29" i="70"/>
  <c r="G28" i="70"/>
  <c r="G27" i="70"/>
  <c r="G24" i="70"/>
  <c r="G23" i="70"/>
  <c r="G22" i="70"/>
  <c r="G21" i="70"/>
  <c r="G20" i="70"/>
  <c r="G17" i="70"/>
  <c r="G16" i="70"/>
  <c r="G15" i="70"/>
  <c r="G14" i="70"/>
  <c r="G13" i="70"/>
  <c r="F45" i="70"/>
  <c r="D215" i="149" s="1"/>
  <c r="F44" i="70"/>
  <c r="V44" i="70" s="1"/>
  <c r="F43" i="70"/>
  <c r="V43" i="70" s="1"/>
  <c r="F42" i="70"/>
  <c r="V42" i="70" s="1"/>
  <c r="F41" i="70"/>
  <c r="V41" i="70" s="1"/>
  <c r="F38" i="70"/>
  <c r="D214" i="149" s="1"/>
  <c r="F37" i="70"/>
  <c r="V37" i="70" s="1"/>
  <c r="F36" i="70"/>
  <c r="V36" i="70" s="1"/>
  <c r="F35" i="70"/>
  <c r="V35" i="70" s="1"/>
  <c r="F34" i="70"/>
  <c r="V34" i="70" s="1"/>
  <c r="F31" i="70"/>
  <c r="D213" i="149" s="1"/>
  <c r="F30" i="70"/>
  <c r="V30" i="70" s="1"/>
  <c r="F29" i="70"/>
  <c r="V29" i="70" s="1"/>
  <c r="F28" i="70"/>
  <c r="V28" i="70" s="1"/>
  <c r="F27" i="70"/>
  <c r="V27" i="70" s="1"/>
  <c r="F24" i="70"/>
  <c r="D212" i="149" s="1"/>
  <c r="F23" i="70"/>
  <c r="V23" i="70" s="1"/>
  <c r="F22" i="70"/>
  <c r="V22" i="70" s="1"/>
  <c r="F21" i="70"/>
  <c r="V21" i="70" s="1"/>
  <c r="F20" i="70"/>
  <c r="V20" i="70" s="1"/>
  <c r="F17" i="70"/>
  <c r="D211" i="149" s="1"/>
  <c r="F16" i="70"/>
  <c r="V16" i="70" s="1"/>
  <c r="F15" i="70"/>
  <c r="V15" i="70" s="1"/>
  <c r="F14" i="70"/>
  <c r="V14" i="70" s="1"/>
  <c r="F13" i="70"/>
  <c r="V13" i="70" s="1"/>
  <c r="E44" i="70"/>
  <c r="E43" i="70"/>
  <c r="E42" i="70"/>
  <c r="E41" i="70"/>
  <c r="E37" i="70"/>
  <c r="E36" i="70"/>
  <c r="E35" i="70"/>
  <c r="E34" i="70"/>
  <c r="E30" i="70"/>
  <c r="E29" i="70"/>
  <c r="E28" i="70"/>
  <c r="E27" i="70"/>
  <c r="E23" i="70"/>
  <c r="E22" i="70"/>
  <c r="E21" i="70"/>
  <c r="E20" i="70"/>
  <c r="E16" i="70"/>
  <c r="E15" i="70"/>
  <c r="E14" i="70"/>
  <c r="E13" i="70"/>
  <c r="C44" i="70"/>
  <c r="C43" i="70"/>
  <c r="C42" i="70"/>
  <c r="C41" i="70"/>
  <c r="C37" i="70"/>
  <c r="C36" i="70"/>
  <c r="C35" i="70"/>
  <c r="C34" i="70"/>
  <c r="C30" i="70"/>
  <c r="C29" i="70"/>
  <c r="C28" i="70"/>
  <c r="C27" i="70"/>
  <c r="C23" i="70"/>
  <c r="C22" i="70"/>
  <c r="C21" i="70"/>
  <c r="C20" i="70"/>
  <c r="C16" i="70"/>
  <c r="C15" i="70"/>
  <c r="C14" i="70"/>
  <c r="C13" i="70"/>
  <c r="C8" i="70"/>
  <c r="P45" i="90"/>
  <c r="P44" i="90"/>
  <c r="P43" i="90"/>
  <c r="P42" i="90"/>
  <c r="P41" i="90"/>
  <c r="P38" i="90"/>
  <c r="P37" i="90"/>
  <c r="P36" i="90"/>
  <c r="P35" i="90"/>
  <c r="P34" i="90"/>
  <c r="P31" i="90"/>
  <c r="P30" i="90"/>
  <c r="P29" i="90"/>
  <c r="P28" i="90"/>
  <c r="P27" i="90"/>
  <c r="P24" i="90"/>
  <c r="P23" i="90"/>
  <c r="P22" i="90"/>
  <c r="P21" i="90"/>
  <c r="P20" i="90"/>
  <c r="P17" i="90"/>
  <c r="P16" i="90"/>
  <c r="P15" i="90"/>
  <c r="P14" i="90"/>
  <c r="P13" i="90"/>
  <c r="O45" i="90"/>
  <c r="O44" i="90"/>
  <c r="O43" i="90"/>
  <c r="O42" i="90"/>
  <c r="O41" i="90"/>
  <c r="O38" i="90"/>
  <c r="O37" i="90"/>
  <c r="O36" i="90"/>
  <c r="O35" i="90"/>
  <c r="O34" i="90"/>
  <c r="O31" i="90"/>
  <c r="O30" i="90"/>
  <c r="O29" i="90"/>
  <c r="O28" i="90"/>
  <c r="O27" i="90"/>
  <c r="O24" i="90"/>
  <c r="O23" i="90"/>
  <c r="O22" i="90"/>
  <c r="O21" i="90"/>
  <c r="O20" i="90"/>
  <c r="O17" i="90"/>
  <c r="O16" i="90"/>
  <c r="O15" i="90"/>
  <c r="O14" i="90"/>
  <c r="O13" i="90"/>
  <c r="N45" i="90"/>
  <c r="G222" i="149" s="1"/>
  <c r="J222" i="149" s="1"/>
  <c r="N44" i="90"/>
  <c r="N43" i="90"/>
  <c r="N42" i="90"/>
  <c r="N41" i="90"/>
  <c r="N38" i="90"/>
  <c r="G221" i="149" s="1"/>
  <c r="N37" i="90"/>
  <c r="N36" i="90"/>
  <c r="N35" i="90"/>
  <c r="N34" i="90"/>
  <c r="N31" i="90"/>
  <c r="G220" i="149" s="1"/>
  <c r="N30" i="90"/>
  <c r="N29" i="90"/>
  <c r="N28" i="90"/>
  <c r="N27" i="90"/>
  <c r="N24" i="90"/>
  <c r="G219" i="149" s="1"/>
  <c r="N23" i="90"/>
  <c r="N22" i="90"/>
  <c r="N21" i="90"/>
  <c r="N20" i="90"/>
  <c r="N17" i="90"/>
  <c r="G218" i="149" s="1"/>
  <c r="N16" i="90"/>
  <c r="N15" i="90"/>
  <c r="N14" i="90"/>
  <c r="N13" i="90"/>
  <c r="M45" i="90"/>
  <c r="M44" i="90"/>
  <c r="M43" i="90"/>
  <c r="M42" i="90"/>
  <c r="M41" i="90"/>
  <c r="M38" i="90"/>
  <c r="M37" i="90"/>
  <c r="M36" i="90"/>
  <c r="M35" i="90"/>
  <c r="M34" i="90"/>
  <c r="M31" i="90"/>
  <c r="M30" i="90"/>
  <c r="M29" i="90"/>
  <c r="M28" i="90"/>
  <c r="M27" i="90"/>
  <c r="M24" i="90"/>
  <c r="M23" i="90"/>
  <c r="M22" i="90"/>
  <c r="M21" i="90"/>
  <c r="M20" i="90"/>
  <c r="M17" i="90"/>
  <c r="M16" i="90"/>
  <c r="M15" i="90"/>
  <c r="M14" i="90"/>
  <c r="M13" i="90"/>
  <c r="L45" i="90"/>
  <c r="L44" i="90"/>
  <c r="L43" i="90"/>
  <c r="L42" i="90"/>
  <c r="L41" i="90"/>
  <c r="L38" i="90"/>
  <c r="L37" i="90"/>
  <c r="L36" i="90"/>
  <c r="L35" i="90"/>
  <c r="L34" i="90"/>
  <c r="L31" i="90"/>
  <c r="L30" i="90"/>
  <c r="L29" i="90"/>
  <c r="L28" i="90"/>
  <c r="L27" i="90"/>
  <c r="L24" i="90"/>
  <c r="L23" i="90"/>
  <c r="L22" i="90"/>
  <c r="L21" i="90"/>
  <c r="L20" i="90"/>
  <c r="L17" i="90"/>
  <c r="L16" i="90"/>
  <c r="L15" i="90"/>
  <c r="L14" i="90"/>
  <c r="L13" i="90"/>
  <c r="K45" i="90"/>
  <c r="K44" i="90"/>
  <c r="K43" i="90"/>
  <c r="K42" i="90"/>
  <c r="K41" i="90"/>
  <c r="K38" i="90"/>
  <c r="K37" i="90"/>
  <c r="K36" i="90"/>
  <c r="K35" i="90"/>
  <c r="K34" i="90"/>
  <c r="K31" i="90"/>
  <c r="K30" i="90"/>
  <c r="K29" i="90"/>
  <c r="K28" i="90"/>
  <c r="K27" i="90"/>
  <c r="K24" i="90"/>
  <c r="K23" i="90"/>
  <c r="K22" i="90"/>
  <c r="K21" i="90"/>
  <c r="K20" i="90"/>
  <c r="K17" i="90"/>
  <c r="K16" i="90"/>
  <c r="K15" i="90"/>
  <c r="K14" i="90"/>
  <c r="K13" i="90"/>
  <c r="J45" i="90"/>
  <c r="J44" i="90"/>
  <c r="J43" i="90"/>
  <c r="J42" i="90"/>
  <c r="J41" i="90"/>
  <c r="J38" i="90"/>
  <c r="J37" i="90"/>
  <c r="J36" i="90"/>
  <c r="J35" i="90"/>
  <c r="J34" i="90"/>
  <c r="J31" i="90"/>
  <c r="J30" i="90"/>
  <c r="J29" i="90"/>
  <c r="J28" i="90"/>
  <c r="J27" i="90"/>
  <c r="J24" i="90"/>
  <c r="J23" i="90"/>
  <c r="J22" i="90"/>
  <c r="J21" i="90"/>
  <c r="J20" i="90"/>
  <c r="J17" i="90"/>
  <c r="J16" i="90"/>
  <c r="J15" i="90"/>
  <c r="J14" i="90"/>
  <c r="J13" i="90"/>
  <c r="I45" i="90"/>
  <c r="I44" i="90"/>
  <c r="I43" i="90"/>
  <c r="I42" i="90"/>
  <c r="I41" i="90"/>
  <c r="I38" i="90"/>
  <c r="I37" i="90"/>
  <c r="I36" i="90"/>
  <c r="I35" i="90"/>
  <c r="I34" i="90"/>
  <c r="I31" i="90"/>
  <c r="I30" i="90"/>
  <c r="I29" i="90"/>
  <c r="I28" i="90"/>
  <c r="I27" i="90"/>
  <c r="I24" i="90"/>
  <c r="I23" i="90"/>
  <c r="I22" i="90"/>
  <c r="I21" i="90"/>
  <c r="I20" i="90"/>
  <c r="I17" i="90"/>
  <c r="I16" i="90"/>
  <c r="I15" i="90"/>
  <c r="I14" i="90"/>
  <c r="I13" i="90"/>
  <c r="H45" i="90"/>
  <c r="H44" i="90"/>
  <c r="H43" i="90"/>
  <c r="H42" i="90"/>
  <c r="H41" i="90"/>
  <c r="H38" i="90"/>
  <c r="H37" i="90"/>
  <c r="H36" i="90"/>
  <c r="H35" i="90"/>
  <c r="H34" i="90"/>
  <c r="H31" i="90"/>
  <c r="H30" i="90"/>
  <c r="H29" i="90"/>
  <c r="H28" i="90"/>
  <c r="H27" i="90"/>
  <c r="H24" i="90"/>
  <c r="H23" i="90"/>
  <c r="H22" i="90"/>
  <c r="H21" i="90"/>
  <c r="H20" i="90"/>
  <c r="H17" i="90"/>
  <c r="H16" i="90"/>
  <c r="H15" i="90"/>
  <c r="H14" i="90"/>
  <c r="H13" i="90"/>
  <c r="G45" i="90"/>
  <c r="G44" i="90"/>
  <c r="G43" i="90"/>
  <c r="G42" i="90"/>
  <c r="G41" i="90"/>
  <c r="G38" i="90"/>
  <c r="G37" i="90"/>
  <c r="G36" i="90"/>
  <c r="G35" i="90"/>
  <c r="G34" i="90"/>
  <c r="G31" i="90"/>
  <c r="G30" i="90"/>
  <c r="G29" i="90"/>
  <c r="G28" i="90"/>
  <c r="G27" i="90"/>
  <c r="G24" i="90"/>
  <c r="G23" i="90"/>
  <c r="G22" i="90"/>
  <c r="G21" i="90"/>
  <c r="G20" i="90"/>
  <c r="G17" i="90"/>
  <c r="G16" i="90"/>
  <c r="G15" i="90"/>
  <c r="G14" i="90"/>
  <c r="G13" i="90"/>
  <c r="F45" i="90"/>
  <c r="D222" i="149" s="1"/>
  <c r="F44" i="90"/>
  <c r="V44" i="90" s="1"/>
  <c r="F43" i="90"/>
  <c r="V43" i="90" s="1"/>
  <c r="F42" i="90"/>
  <c r="V42" i="90" s="1"/>
  <c r="F41" i="90"/>
  <c r="V41" i="90" s="1"/>
  <c r="F38" i="90"/>
  <c r="D221" i="149" s="1"/>
  <c r="F37" i="90"/>
  <c r="V37" i="90" s="1"/>
  <c r="F36" i="90"/>
  <c r="V36" i="90" s="1"/>
  <c r="F35" i="90"/>
  <c r="V35" i="90" s="1"/>
  <c r="F34" i="90"/>
  <c r="V34" i="90" s="1"/>
  <c r="F31" i="90"/>
  <c r="D220" i="149" s="1"/>
  <c r="F30" i="90"/>
  <c r="V30" i="90" s="1"/>
  <c r="F29" i="90"/>
  <c r="V29" i="90" s="1"/>
  <c r="F28" i="90"/>
  <c r="V28" i="90" s="1"/>
  <c r="F27" i="90"/>
  <c r="V27" i="90" s="1"/>
  <c r="F24" i="90"/>
  <c r="D219" i="149" s="1"/>
  <c r="F23" i="90"/>
  <c r="V23" i="90" s="1"/>
  <c r="F22" i="90"/>
  <c r="V22" i="90" s="1"/>
  <c r="F21" i="90"/>
  <c r="V21" i="90" s="1"/>
  <c r="F20" i="90"/>
  <c r="V20" i="90" s="1"/>
  <c r="F17" i="90"/>
  <c r="D218" i="149" s="1"/>
  <c r="F16" i="90"/>
  <c r="V16" i="90" s="1"/>
  <c r="F15" i="90"/>
  <c r="V15" i="90" s="1"/>
  <c r="F14" i="90"/>
  <c r="V14" i="90" s="1"/>
  <c r="F13" i="90"/>
  <c r="V13" i="90" s="1"/>
  <c r="E44" i="90"/>
  <c r="E43" i="90"/>
  <c r="E42" i="90"/>
  <c r="E41" i="90"/>
  <c r="E37" i="90"/>
  <c r="E36" i="90"/>
  <c r="E35" i="90"/>
  <c r="E34" i="90"/>
  <c r="E30" i="90"/>
  <c r="E29" i="90"/>
  <c r="E28" i="90"/>
  <c r="E27" i="90"/>
  <c r="E23" i="90"/>
  <c r="E22" i="90"/>
  <c r="E21" i="90"/>
  <c r="E20" i="90"/>
  <c r="E16" i="90"/>
  <c r="E15" i="90"/>
  <c r="E14" i="90"/>
  <c r="E13" i="90"/>
  <c r="C44" i="90"/>
  <c r="C43" i="90"/>
  <c r="C42" i="90"/>
  <c r="C41" i="90"/>
  <c r="C37" i="90"/>
  <c r="C36" i="90"/>
  <c r="C35" i="90"/>
  <c r="C34" i="90"/>
  <c r="C30" i="90"/>
  <c r="C29" i="90"/>
  <c r="C28" i="90"/>
  <c r="C27" i="90"/>
  <c r="C23" i="90"/>
  <c r="C22" i="90"/>
  <c r="C21" i="90"/>
  <c r="C20" i="90"/>
  <c r="C16" i="90"/>
  <c r="C15" i="90"/>
  <c r="C14" i="90"/>
  <c r="C13" i="90"/>
  <c r="C8" i="90"/>
  <c r="P45" i="91"/>
  <c r="P44" i="91"/>
  <c r="P43" i="91"/>
  <c r="P42" i="91"/>
  <c r="P41" i="91"/>
  <c r="P38" i="91"/>
  <c r="P37" i="91"/>
  <c r="P36" i="91"/>
  <c r="P35" i="91"/>
  <c r="P34" i="91"/>
  <c r="P31" i="91"/>
  <c r="P30" i="91"/>
  <c r="P29" i="91"/>
  <c r="P28" i="91"/>
  <c r="P27" i="91"/>
  <c r="P24" i="91"/>
  <c r="P23" i="91"/>
  <c r="P22" i="91"/>
  <c r="P21" i="91"/>
  <c r="P20" i="91"/>
  <c r="P17" i="91"/>
  <c r="P16" i="91"/>
  <c r="P15" i="91"/>
  <c r="P14" i="91"/>
  <c r="P13" i="91"/>
  <c r="O45" i="91"/>
  <c r="O44" i="91"/>
  <c r="O43" i="91"/>
  <c r="O42" i="91"/>
  <c r="O41" i="91"/>
  <c r="O38" i="91"/>
  <c r="O37" i="91"/>
  <c r="O36" i="91"/>
  <c r="O35" i="91"/>
  <c r="O34" i="91"/>
  <c r="O31" i="91"/>
  <c r="O30" i="91"/>
  <c r="O29" i="91"/>
  <c r="O28" i="91"/>
  <c r="O27" i="91"/>
  <c r="O24" i="91"/>
  <c r="O23" i="91"/>
  <c r="O22" i="91"/>
  <c r="O21" i="91"/>
  <c r="O20" i="91"/>
  <c r="O17" i="91"/>
  <c r="O16" i="91"/>
  <c r="O15" i="91"/>
  <c r="O14" i="91"/>
  <c r="O13" i="91"/>
  <c r="N45" i="91"/>
  <c r="G229" i="149" s="1"/>
  <c r="J229" i="149" s="1"/>
  <c r="N44" i="91"/>
  <c r="N43" i="91"/>
  <c r="N42" i="91"/>
  <c r="N41" i="91"/>
  <c r="N38" i="91"/>
  <c r="G228" i="149" s="1"/>
  <c r="N37" i="91"/>
  <c r="N36" i="91"/>
  <c r="N35" i="91"/>
  <c r="N34" i="91"/>
  <c r="N31" i="91"/>
  <c r="G227" i="149" s="1"/>
  <c r="N30" i="91"/>
  <c r="N29" i="91"/>
  <c r="N28" i="91"/>
  <c r="N27" i="91"/>
  <c r="N24" i="91"/>
  <c r="G226" i="149" s="1"/>
  <c r="N23" i="91"/>
  <c r="N22" i="91"/>
  <c r="N21" i="91"/>
  <c r="N20" i="91"/>
  <c r="N17" i="91"/>
  <c r="G225" i="149" s="1"/>
  <c r="N16" i="91"/>
  <c r="N15" i="91"/>
  <c r="N14" i="91"/>
  <c r="N13" i="91"/>
  <c r="M45" i="91"/>
  <c r="M44" i="91"/>
  <c r="M43" i="91"/>
  <c r="M42" i="91"/>
  <c r="M41" i="91"/>
  <c r="M38" i="91"/>
  <c r="M37" i="91"/>
  <c r="M36" i="91"/>
  <c r="M35" i="91"/>
  <c r="M34" i="91"/>
  <c r="M31" i="91"/>
  <c r="M30" i="91"/>
  <c r="M29" i="91"/>
  <c r="M28" i="91"/>
  <c r="M27" i="91"/>
  <c r="M24" i="91"/>
  <c r="M23" i="91"/>
  <c r="M22" i="91"/>
  <c r="M21" i="91"/>
  <c r="M20" i="91"/>
  <c r="M17" i="91"/>
  <c r="M16" i="91"/>
  <c r="M15" i="91"/>
  <c r="M14" i="91"/>
  <c r="M13" i="91"/>
  <c r="L45" i="91"/>
  <c r="L44" i="91"/>
  <c r="L43" i="91"/>
  <c r="L42" i="91"/>
  <c r="L41" i="91"/>
  <c r="L38" i="91"/>
  <c r="L37" i="91"/>
  <c r="L36" i="91"/>
  <c r="L35" i="91"/>
  <c r="L34" i="91"/>
  <c r="L31" i="91"/>
  <c r="L30" i="91"/>
  <c r="L29" i="91"/>
  <c r="L28" i="91"/>
  <c r="L27" i="91"/>
  <c r="L24" i="91"/>
  <c r="L23" i="91"/>
  <c r="L22" i="91"/>
  <c r="L21" i="91"/>
  <c r="L20" i="91"/>
  <c r="L17" i="91"/>
  <c r="L16" i="91"/>
  <c r="L15" i="91"/>
  <c r="L14" i="91"/>
  <c r="L13" i="91"/>
  <c r="K45" i="91"/>
  <c r="K44" i="91"/>
  <c r="K43" i="91"/>
  <c r="K42" i="91"/>
  <c r="K41" i="91"/>
  <c r="K38" i="91"/>
  <c r="K37" i="91"/>
  <c r="K36" i="91"/>
  <c r="K35" i="91"/>
  <c r="K34" i="91"/>
  <c r="K31" i="91"/>
  <c r="K30" i="91"/>
  <c r="K29" i="91"/>
  <c r="K28" i="91"/>
  <c r="K27" i="91"/>
  <c r="K24" i="91"/>
  <c r="K23" i="91"/>
  <c r="K22" i="91"/>
  <c r="K21" i="91"/>
  <c r="K20" i="91"/>
  <c r="K17" i="91"/>
  <c r="K16" i="91"/>
  <c r="K15" i="91"/>
  <c r="K14" i="91"/>
  <c r="K13" i="91"/>
  <c r="J45" i="91"/>
  <c r="J44" i="91"/>
  <c r="J43" i="91"/>
  <c r="J42" i="91"/>
  <c r="J41" i="91"/>
  <c r="J38" i="91"/>
  <c r="J37" i="91"/>
  <c r="J36" i="91"/>
  <c r="J35" i="91"/>
  <c r="J34" i="91"/>
  <c r="J31" i="91"/>
  <c r="J30" i="91"/>
  <c r="J29" i="91"/>
  <c r="J28" i="91"/>
  <c r="J27" i="91"/>
  <c r="J24" i="91"/>
  <c r="J23" i="91"/>
  <c r="J22" i="91"/>
  <c r="J21" i="91"/>
  <c r="J20" i="91"/>
  <c r="J17" i="91"/>
  <c r="J16" i="91"/>
  <c r="J15" i="91"/>
  <c r="J14" i="91"/>
  <c r="J13" i="91"/>
  <c r="I45" i="91"/>
  <c r="I44" i="91"/>
  <c r="I43" i="91"/>
  <c r="I42" i="91"/>
  <c r="I41" i="91"/>
  <c r="I38" i="91"/>
  <c r="I37" i="91"/>
  <c r="I36" i="91"/>
  <c r="I35" i="91"/>
  <c r="I34" i="91"/>
  <c r="I31" i="91"/>
  <c r="I30" i="91"/>
  <c r="I29" i="91"/>
  <c r="I28" i="91"/>
  <c r="I27" i="91"/>
  <c r="I24" i="91"/>
  <c r="I23" i="91"/>
  <c r="I22" i="91"/>
  <c r="I21" i="91"/>
  <c r="I20" i="91"/>
  <c r="I17" i="91"/>
  <c r="I16" i="91"/>
  <c r="I15" i="91"/>
  <c r="I14" i="91"/>
  <c r="I13" i="91"/>
  <c r="H45" i="91"/>
  <c r="H44" i="91"/>
  <c r="H43" i="91"/>
  <c r="H42" i="91"/>
  <c r="H41" i="91"/>
  <c r="H38" i="91"/>
  <c r="H37" i="91"/>
  <c r="H36" i="91"/>
  <c r="H35" i="91"/>
  <c r="H34" i="91"/>
  <c r="H31" i="91"/>
  <c r="H30" i="91"/>
  <c r="H29" i="91"/>
  <c r="H28" i="91"/>
  <c r="H27" i="91"/>
  <c r="H24" i="91"/>
  <c r="H23" i="91"/>
  <c r="H22" i="91"/>
  <c r="H21" i="91"/>
  <c r="H20" i="91"/>
  <c r="H17" i="91"/>
  <c r="H16" i="91"/>
  <c r="H15" i="91"/>
  <c r="H14" i="91"/>
  <c r="H13" i="91"/>
  <c r="G45" i="91"/>
  <c r="G44" i="91"/>
  <c r="G43" i="91"/>
  <c r="G42" i="91"/>
  <c r="G41" i="91"/>
  <c r="G38" i="91"/>
  <c r="G37" i="91"/>
  <c r="G36" i="91"/>
  <c r="G35" i="91"/>
  <c r="G34" i="91"/>
  <c r="G31" i="91"/>
  <c r="G30" i="91"/>
  <c r="G29" i="91"/>
  <c r="G28" i="91"/>
  <c r="G27" i="91"/>
  <c r="G24" i="91"/>
  <c r="G23" i="91"/>
  <c r="G22" i="91"/>
  <c r="G21" i="91"/>
  <c r="G20" i="91"/>
  <c r="G17" i="91"/>
  <c r="G16" i="91"/>
  <c r="G15" i="91"/>
  <c r="G14" i="91"/>
  <c r="G13" i="91"/>
  <c r="F45" i="91"/>
  <c r="D229" i="149" s="1"/>
  <c r="F44" i="91"/>
  <c r="V44" i="91" s="1"/>
  <c r="F43" i="91"/>
  <c r="V43" i="91" s="1"/>
  <c r="F42" i="91"/>
  <c r="V42" i="91" s="1"/>
  <c r="F41" i="91"/>
  <c r="V41" i="91" s="1"/>
  <c r="F38" i="91"/>
  <c r="D228" i="149" s="1"/>
  <c r="F37" i="91"/>
  <c r="V37" i="91" s="1"/>
  <c r="F36" i="91"/>
  <c r="V36" i="91" s="1"/>
  <c r="F35" i="91"/>
  <c r="V35" i="91" s="1"/>
  <c r="F34" i="91"/>
  <c r="V34" i="91" s="1"/>
  <c r="F31" i="91"/>
  <c r="D227" i="149" s="1"/>
  <c r="F30" i="91"/>
  <c r="V30" i="91" s="1"/>
  <c r="F29" i="91"/>
  <c r="V29" i="91" s="1"/>
  <c r="F28" i="91"/>
  <c r="V28" i="91" s="1"/>
  <c r="F27" i="91"/>
  <c r="V27" i="91" s="1"/>
  <c r="F24" i="91"/>
  <c r="D226" i="149" s="1"/>
  <c r="F23" i="91"/>
  <c r="V23" i="91" s="1"/>
  <c r="F22" i="91"/>
  <c r="V22" i="91" s="1"/>
  <c r="F21" i="91"/>
  <c r="V21" i="91" s="1"/>
  <c r="F20" i="91"/>
  <c r="V20" i="91" s="1"/>
  <c r="F17" i="91"/>
  <c r="D225" i="149" s="1"/>
  <c r="F16" i="91"/>
  <c r="V16" i="91" s="1"/>
  <c r="F15" i="91"/>
  <c r="V15" i="91" s="1"/>
  <c r="F14" i="91"/>
  <c r="V14" i="91" s="1"/>
  <c r="F13" i="91"/>
  <c r="V13" i="91" s="1"/>
  <c r="E44" i="91"/>
  <c r="E43" i="91"/>
  <c r="E42" i="91"/>
  <c r="E41" i="91"/>
  <c r="E37" i="91"/>
  <c r="E36" i="91"/>
  <c r="E35" i="91"/>
  <c r="E34" i="91"/>
  <c r="E30" i="91"/>
  <c r="E29" i="91"/>
  <c r="E28" i="91"/>
  <c r="E27" i="91"/>
  <c r="E23" i="91"/>
  <c r="E22" i="91"/>
  <c r="E21" i="91"/>
  <c r="E20" i="91"/>
  <c r="E16" i="91"/>
  <c r="E15" i="91"/>
  <c r="E14" i="91"/>
  <c r="E13" i="91"/>
  <c r="C44" i="91"/>
  <c r="C43" i="91"/>
  <c r="C42" i="91"/>
  <c r="C41" i="91"/>
  <c r="C37" i="91"/>
  <c r="C36" i="91"/>
  <c r="C35" i="91"/>
  <c r="C34" i="91"/>
  <c r="C30" i="91"/>
  <c r="C29" i="91"/>
  <c r="C28" i="91"/>
  <c r="C27" i="91"/>
  <c r="C23" i="91"/>
  <c r="C22" i="91"/>
  <c r="C21" i="91"/>
  <c r="C20" i="91"/>
  <c r="C16" i="91"/>
  <c r="C15" i="91"/>
  <c r="C14" i="91"/>
  <c r="C13" i="91"/>
  <c r="C8" i="91"/>
  <c r="P45" i="119"/>
  <c r="P44" i="119"/>
  <c r="P43" i="119"/>
  <c r="P42" i="119"/>
  <c r="P41" i="119"/>
  <c r="P38" i="119"/>
  <c r="P37" i="119"/>
  <c r="P36" i="119"/>
  <c r="P35" i="119"/>
  <c r="P34" i="119"/>
  <c r="P31" i="119"/>
  <c r="P30" i="119"/>
  <c r="P29" i="119"/>
  <c r="P28" i="119"/>
  <c r="P27" i="119"/>
  <c r="P24" i="119"/>
  <c r="P23" i="119"/>
  <c r="P22" i="119"/>
  <c r="P21" i="119"/>
  <c r="P20" i="119"/>
  <c r="P17" i="119"/>
  <c r="P16" i="119"/>
  <c r="P15" i="119"/>
  <c r="P14" i="119"/>
  <c r="P13" i="119"/>
  <c r="O45" i="119"/>
  <c r="O44" i="119"/>
  <c r="O43" i="119"/>
  <c r="O42" i="119"/>
  <c r="O41" i="119"/>
  <c r="O38" i="119"/>
  <c r="O37" i="119"/>
  <c r="O36" i="119"/>
  <c r="O35" i="119"/>
  <c r="O34" i="119"/>
  <c r="O31" i="119"/>
  <c r="O30" i="119"/>
  <c r="O29" i="119"/>
  <c r="O28" i="119"/>
  <c r="O27" i="119"/>
  <c r="O24" i="119"/>
  <c r="O23" i="119"/>
  <c r="O22" i="119"/>
  <c r="O21" i="119"/>
  <c r="O20" i="119"/>
  <c r="O17" i="119"/>
  <c r="O16" i="119"/>
  <c r="O15" i="119"/>
  <c r="O14" i="119"/>
  <c r="O13" i="119"/>
  <c r="N45" i="119"/>
  <c r="N44" i="119"/>
  <c r="N43" i="119"/>
  <c r="N42" i="119"/>
  <c r="N41" i="119"/>
  <c r="N38" i="119"/>
  <c r="N37" i="119"/>
  <c r="N36" i="119"/>
  <c r="N35" i="119"/>
  <c r="N34" i="119"/>
  <c r="N31" i="119"/>
  <c r="N30" i="119"/>
  <c r="N29" i="119"/>
  <c r="N28" i="119"/>
  <c r="N27" i="119"/>
  <c r="N24" i="119"/>
  <c r="N23" i="119"/>
  <c r="N22" i="119"/>
  <c r="N21" i="119"/>
  <c r="N20" i="119"/>
  <c r="N17" i="119"/>
  <c r="N16" i="119"/>
  <c r="N15" i="119"/>
  <c r="N14" i="119"/>
  <c r="N13" i="119"/>
  <c r="M45" i="119"/>
  <c r="M44" i="119"/>
  <c r="M43" i="119"/>
  <c r="M42" i="119"/>
  <c r="M41" i="119"/>
  <c r="M38" i="119"/>
  <c r="M37" i="119"/>
  <c r="M36" i="119"/>
  <c r="M35" i="119"/>
  <c r="M34" i="119"/>
  <c r="M31" i="119"/>
  <c r="M30" i="119"/>
  <c r="M29" i="119"/>
  <c r="M28" i="119"/>
  <c r="M27" i="119"/>
  <c r="M24" i="119"/>
  <c r="M23" i="119"/>
  <c r="M22" i="119"/>
  <c r="M21" i="119"/>
  <c r="M20" i="119"/>
  <c r="M17" i="119"/>
  <c r="M16" i="119"/>
  <c r="M15" i="119"/>
  <c r="M14" i="119"/>
  <c r="M13" i="119"/>
  <c r="L45" i="119"/>
  <c r="L44" i="119"/>
  <c r="L43" i="119"/>
  <c r="L42" i="119"/>
  <c r="L41" i="119"/>
  <c r="L38" i="119"/>
  <c r="L37" i="119"/>
  <c r="L36" i="119"/>
  <c r="L35" i="119"/>
  <c r="L34" i="119"/>
  <c r="L31" i="119"/>
  <c r="L30" i="119"/>
  <c r="L29" i="119"/>
  <c r="L28" i="119"/>
  <c r="L27" i="119"/>
  <c r="L24" i="119"/>
  <c r="L23" i="119"/>
  <c r="L22" i="119"/>
  <c r="L21" i="119"/>
  <c r="L20" i="119"/>
  <c r="L17" i="119"/>
  <c r="L16" i="119"/>
  <c r="L15" i="119"/>
  <c r="L14" i="119"/>
  <c r="L13" i="119"/>
  <c r="K45" i="119"/>
  <c r="K44" i="119"/>
  <c r="K43" i="119"/>
  <c r="K42" i="119"/>
  <c r="K41" i="119"/>
  <c r="K38" i="119"/>
  <c r="K37" i="119"/>
  <c r="K36" i="119"/>
  <c r="K35" i="119"/>
  <c r="K34" i="119"/>
  <c r="K31" i="119"/>
  <c r="K30" i="119"/>
  <c r="K29" i="119"/>
  <c r="K28" i="119"/>
  <c r="K27" i="119"/>
  <c r="K24" i="119"/>
  <c r="K23" i="119"/>
  <c r="K22" i="119"/>
  <c r="K21" i="119"/>
  <c r="K20" i="119"/>
  <c r="K17" i="119"/>
  <c r="K16" i="119"/>
  <c r="K15" i="119"/>
  <c r="K14" i="119"/>
  <c r="K13" i="119"/>
  <c r="J45" i="119"/>
  <c r="J44" i="119"/>
  <c r="J43" i="119"/>
  <c r="J42" i="119"/>
  <c r="J41" i="119"/>
  <c r="J38" i="119"/>
  <c r="J37" i="119"/>
  <c r="J36" i="119"/>
  <c r="J35" i="119"/>
  <c r="J34" i="119"/>
  <c r="J31" i="119"/>
  <c r="J30" i="119"/>
  <c r="J29" i="119"/>
  <c r="J28" i="119"/>
  <c r="J27" i="119"/>
  <c r="J24" i="119"/>
  <c r="J23" i="119"/>
  <c r="J22" i="119"/>
  <c r="J21" i="119"/>
  <c r="J20" i="119"/>
  <c r="J17" i="119"/>
  <c r="J16" i="119"/>
  <c r="J15" i="119"/>
  <c r="J14" i="119"/>
  <c r="J13" i="119"/>
  <c r="I45" i="119"/>
  <c r="I44" i="119"/>
  <c r="I43" i="119"/>
  <c r="I42" i="119"/>
  <c r="I41" i="119"/>
  <c r="I38" i="119"/>
  <c r="I37" i="119"/>
  <c r="I36" i="119"/>
  <c r="I35" i="119"/>
  <c r="I34" i="119"/>
  <c r="I31" i="119"/>
  <c r="I30" i="119"/>
  <c r="I29" i="119"/>
  <c r="I28" i="119"/>
  <c r="I27" i="119"/>
  <c r="I24" i="119"/>
  <c r="I23" i="119"/>
  <c r="I22" i="119"/>
  <c r="I21" i="119"/>
  <c r="I20" i="119"/>
  <c r="I17" i="119"/>
  <c r="I16" i="119"/>
  <c r="I15" i="119"/>
  <c r="I14" i="119"/>
  <c r="I13" i="119"/>
  <c r="H45" i="119"/>
  <c r="H44" i="119"/>
  <c r="H43" i="119"/>
  <c r="H42" i="119"/>
  <c r="H41" i="119"/>
  <c r="H38" i="119"/>
  <c r="H37" i="119"/>
  <c r="H36" i="119"/>
  <c r="H35" i="119"/>
  <c r="H34" i="119"/>
  <c r="H31" i="119"/>
  <c r="H30" i="119"/>
  <c r="H29" i="119"/>
  <c r="H28" i="119"/>
  <c r="H27" i="119"/>
  <c r="H24" i="119"/>
  <c r="H23" i="119"/>
  <c r="H22" i="119"/>
  <c r="H21" i="119"/>
  <c r="H20" i="119"/>
  <c r="H17" i="119"/>
  <c r="H16" i="119"/>
  <c r="H15" i="119"/>
  <c r="H14" i="119"/>
  <c r="H13" i="119"/>
  <c r="G45" i="119"/>
  <c r="G44" i="119"/>
  <c r="G43" i="119"/>
  <c r="G42" i="119"/>
  <c r="G41" i="119"/>
  <c r="G38" i="119"/>
  <c r="G37" i="119"/>
  <c r="G36" i="119"/>
  <c r="G35" i="119"/>
  <c r="G34" i="119"/>
  <c r="G31" i="119"/>
  <c r="G30" i="119"/>
  <c r="G29" i="119"/>
  <c r="G28" i="119"/>
  <c r="G27" i="119"/>
  <c r="G24" i="119"/>
  <c r="G23" i="119"/>
  <c r="G22" i="119"/>
  <c r="G21" i="119"/>
  <c r="G20" i="119"/>
  <c r="G17" i="119"/>
  <c r="G16" i="119"/>
  <c r="G15" i="119"/>
  <c r="G14" i="119"/>
  <c r="G13" i="119"/>
  <c r="F45" i="119"/>
  <c r="F44" i="119"/>
  <c r="V44" i="119" s="1"/>
  <c r="F43" i="119"/>
  <c r="V43" i="119" s="1"/>
  <c r="F42" i="119"/>
  <c r="V42" i="119" s="1"/>
  <c r="F41" i="119"/>
  <c r="V41" i="119" s="1"/>
  <c r="F38" i="119"/>
  <c r="F37" i="119"/>
  <c r="V37" i="119" s="1"/>
  <c r="F36" i="119"/>
  <c r="V36" i="119" s="1"/>
  <c r="F35" i="119"/>
  <c r="V35" i="119" s="1"/>
  <c r="F34" i="119"/>
  <c r="V34" i="119" s="1"/>
  <c r="F31" i="119"/>
  <c r="F30" i="119"/>
  <c r="V30" i="119" s="1"/>
  <c r="F29" i="119"/>
  <c r="V29" i="119" s="1"/>
  <c r="F28" i="119"/>
  <c r="V28" i="119" s="1"/>
  <c r="F27" i="119"/>
  <c r="V27" i="119" s="1"/>
  <c r="F24" i="119"/>
  <c r="F23" i="119"/>
  <c r="V23" i="119" s="1"/>
  <c r="F22" i="119"/>
  <c r="V22" i="119" s="1"/>
  <c r="F21" i="119"/>
  <c r="V21" i="119" s="1"/>
  <c r="F20" i="119"/>
  <c r="V20" i="119" s="1"/>
  <c r="F17" i="119"/>
  <c r="F16" i="119"/>
  <c r="V16" i="119" s="1"/>
  <c r="F15" i="119"/>
  <c r="V15" i="119" s="1"/>
  <c r="F14" i="119"/>
  <c r="V14" i="119" s="1"/>
  <c r="F13" i="119"/>
  <c r="V13" i="119" s="1"/>
  <c r="E44" i="119"/>
  <c r="E43" i="119"/>
  <c r="E42" i="119"/>
  <c r="E41" i="119"/>
  <c r="E37" i="119"/>
  <c r="E36" i="119"/>
  <c r="E35" i="119"/>
  <c r="E34" i="119"/>
  <c r="E30" i="119"/>
  <c r="E29" i="119"/>
  <c r="E28" i="119"/>
  <c r="E27" i="119"/>
  <c r="E23" i="119"/>
  <c r="E22" i="119"/>
  <c r="E21" i="119"/>
  <c r="E20" i="119"/>
  <c r="E16" i="119"/>
  <c r="E15" i="119"/>
  <c r="E14" i="119"/>
  <c r="E13" i="119"/>
  <c r="C44" i="119"/>
  <c r="C43" i="119"/>
  <c r="C42" i="119"/>
  <c r="C41" i="119"/>
  <c r="C37" i="119"/>
  <c r="C36" i="119"/>
  <c r="C35" i="119"/>
  <c r="C34" i="119"/>
  <c r="C30" i="119"/>
  <c r="C29" i="119"/>
  <c r="C28" i="119"/>
  <c r="C27" i="119"/>
  <c r="C23" i="119"/>
  <c r="C22" i="119"/>
  <c r="C21" i="119"/>
  <c r="C20" i="119"/>
  <c r="C16" i="119"/>
  <c r="C15" i="119"/>
  <c r="C14" i="119"/>
  <c r="C13" i="119"/>
  <c r="C8" i="119"/>
  <c r="P46" i="123"/>
  <c r="P45" i="123"/>
  <c r="P44" i="123"/>
  <c r="P43" i="123"/>
  <c r="P40" i="123"/>
  <c r="P39" i="123"/>
  <c r="P38" i="123"/>
  <c r="P37" i="123"/>
  <c r="P34" i="123"/>
  <c r="P33" i="123"/>
  <c r="P32" i="123"/>
  <c r="P31" i="123"/>
  <c r="P28" i="123"/>
  <c r="P27" i="123"/>
  <c r="P26" i="123"/>
  <c r="P25" i="123"/>
  <c r="P22" i="123"/>
  <c r="P21" i="123"/>
  <c r="P20" i="123"/>
  <c r="P19" i="123"/>
  <c r="P16" i="123"/>
  <c r="P15" i="123"/>
  <c r="P14" i="123"/>
  <c r="P13" i="123"/>
  <c r="O46" i="123"/>
  <c r="O45" i="123"/>
  <c r="O44" i="123"/>
  <c r="O43" i="123"/>
  <c r="O40" i="123"/>
  <c r="O39" i="123"/>
  <c r="O38" i="123"/>
  <c r="O37" i="123"/>
  <c r="O34" i="123"/>
  <c r="O33" i="123"/>
  <c r="O32" i="123"/>
  <c r="O31" i="123"/>
  <c r="O28" i="123"/>
  <c r="O27" i="123"/>
  <c r="O26" i="123"/>
  <c r="O25" i="123"/>
  <c r="O22" i="123"/>
  <c r="O21" i="123"/>
  <c r="O20" i="123"/>
  <c r="O19" i="123"/>
  <c r="O16" i="123"/>
  <c r="O15" i="123"/>
  <c r="O14" i="123"/>
  <c r="O13" i="123"/>
  <c r="N46" i="123"/>
  <c r="N45" i="123"/>
  <c r="N44" i="123"/>
  <c r="N43" i="123"/>
  <c r="N40" i="123"/>
  <c r="N39" i="123"/>
  <c r="N38" i="123"/>
  <c r="N37" i="123"/>
  <c r="N34" i="123"/>
  <c r="N33" i="123"/>
  <c r="N32" i="123"/>
  <c r="N31" i="123"/>
  <c r="N28" i="123"/>
  <c r="N27" i="123"/>
  <c r="N26" i="123"/>
  <c r="N25" i="123"/>
  <c r="N22" i="123"/>
  <c r="N21" i="123"/>
  <c r="N20" i="123"/>
  <c r="N19" i="123"/>
  <c r="N16" i="123"/>
  <c r="N15" i="123"/>
  <c r="N14" i="123"/>
  <c r="N13" i="123"/>
  <c r="M46" i="123"/>
  <c r="M45" i="123"/>
  <c r="M44" i="123"/>
  <c r="M43" i="123"/>
  <c r="M40" i="123"/>
  <c r="M39" i="123"/>
  <c r="M38" i="123"/>
  <c r="M37" i="123"/>
  <c r="M34" i="123"/>
  <c r="M33" i="123"/>
  <c r="M32" i="123"/>
  <c r="M31" i="123"/>
  <c r="M28" i="123"/>
  <c r="M27" i="123"/>
  <c r="M26" i="123"/>
  <c r="M25" i="123"/>
  <c r="M22" i="123"/>
  <c r="M21" i="123"/>
  <c r="M20" i="123"/>
  <c r="M19" i="123"/>
  <c r="M16" i="123"/>
  <c r="M15" i="123"/>
  <c r="M14" i="123"/>
  <c r="M13" i="123"/>
  <c r="L46" i="123"/>
  <c r="L45" i="123"/>
  <c r="L44" i="123"/>
  <c r="L43" i="123"/>
  <c r="L40" i="123"/>
  <c r="L39" i="123"/>
  <c r="L38" i="123"/>
  <c r="L37" i="123"/>
  <c r="L34" i="123"/>
  <c r="L33" i="123"/>
  <c r="L32" i="123"/>
  <c r="L31" i="123"/>
  <c r="L28" i="123"/>
  <c r="L27" i="123"/>
  <c r="L26" i="123"/>
  <c r="L25" i="123"/>
  <c r="L22" i="123"/>
  <c r="L21" i="123"/>
  <c r="L20" i="123"/>
  <c r="L19" i="123"/>
  <c r="L16" i="123"/>
  <c r="L15" i="123"/>
  <c r="L14" i="123"/>
  <c r="L13" i="123"/>
  <c r="K46" i="123"/>
  <c r="K45" i="123"/>
  <c r="K44" i="123"/>
  <c r="K43" i="123"/>
  <c r="K40" i="123"/>
  <c r="K39" i="123"/>
  <c r="K38" i="123"/>
  <c r="K37" i="123"/>
  <c r="K34" i="123"/>
  <c r="K33" i="123"/>
  <c r="K32" i="123"/>
  <c r="K31" i="123"/>
  <c r="K28" i="123"/>
  <c r="K27" i="123"/>
  <c r="K26" i="123"/>
  <c r="K25" i="123"/>
  <c r="K22" i="123"/>
  <c r="K21" i="123"/>
  <c r="K20" i="123"/>
  <c r="K19" i="123"/>
  <c r="K16" i="123"/>
  <c r="K15" i="123"/>
  <c r="K14" i="123"/>
  <c r="K13" i="123"/>
  <c r="J46" i="123"/>
  <c r="J45" i="123"/>
  <c r="J44" i="123"/>
  <c r="J43" i="123"/>
  <c r="J40" i="123"/>
  <c r="J39" i="123"/>
  <c r="J38" i="123"/>
  <c r="J37" i="123"/>
  <c r="J34" i="123"/>
  <c r="J33" i="123"/>
  <c r="J32" i="123"/>
  <c r="J31" i="123"/>
  <c r="J28" i="123"/>
  <c r="J27" i="123"/>
  <c r="J26" i="123"/>
  <c r="J25" i="123"/>
  <c r="J22" i="123"/>
  <c r="J21" i="123"/>
  <c r="J20" i="123"/>
  <c r="J19" i="123"/>
  <c r="J16" i="123"/>
  <c r="J15" i="123"/>
  <c r="J14" i="123"/>
  <c r="J13" i="123"/>
  <c r="I46" i="123"/>
  <c r="I45" i="123"/>
  <c r="I44" i="123"/>
  <c r="I43" i="123"/>
  <c r="I40" i="123"/>
  <c r="I39" i="123"/>
  <c r="I38" i="123"/>
  <c r="I37" i="123"/>
  <c r="I34" i="123"/>
  <c r="I33" i="123"/>
  <c r="I32" i="123"/>
  <c r="I31" i="123"/>
  <c r="I28" i="123"/>
  <c r="I27" i="123"/>
  <c r="I26" i="123"/>
  <c r="I25" i="123"/>
  <c r="I22" i="123"/>
  <c r="I21" i="123"/>
  <c r="I20" i="123"/>
  <c r="I19" i="123"/>
  <c r="I16" i="123"/>
  <c r="I15" i="123"/>
  <c r="I14" i="123"/>
  <c r="I13" i="123"/>
  <c r="H46" i="123"/>
  <c r="H45" i="123"/>
  <c r="H44" i="123"/>
  <c r="H43" i="123"/>
  <c r="H40" i="123"/>
  <c r="H39" i="123"/>
  <c r="H38" i="123"/>
  <c r="H37" i="123"/>
  <c r="H34" i="123"/>
  <c r="H33" i="123"/>
  <c r="H32" i="123"/>
  <c r="H31" i="123"/>
  <c r="H28" i="123"/>
  <c r="H27" i="123"/>
  <c r="H26" i="123"/>
  <c r="H25" i="123"/>
  <c r="H22" i="123"/>
  <c r="H21" i="123"/>
  <c r="H20" i="123"/>
  <c r="H19" i="123"/>
  <c r="H16" i="123"/>
  <c r="H15" i="123"/>
  <c r="H14" i="123"/>
  <c r="H13" i="123"/>
  <c r="G46" i="123"/>
  <c r="G45" i="123"/>
  <c r="G44" i="123"/>
  <c r="G43" i="123"/>
  <c r="G40" i="123"/>
  <c r="G39" i="123"/>
  <c r="G38" i="123"/>
  <c r="G37" i="123"/>
  <c r="G34" i="123"/>
  <c r="G33" i="123"/>
  <c r="G32" i="123"/>
  <c r="G31" i="123"/>
  <c r="G28" i="123"/>
  <c r="G27" i="123"/>
  <c r="G26" i="123"/>
  <c r="G25" i="123"/>
  <c r="G22" i="123"/>
  <c r="G21" i="123"/>
  <c r="G20" i="123"/>
  <c r="G19" i="123"/>
  <c r="G16" i="123"/>
  <c r="G15" i="123"/>
  <c r="G14" i="123"/>
  <c r="G13" i="123"/>
  <c r="F46" i="123"/>
  <c r="F45" i="123"/>
  <c r="V45" i="123" s="1"/>
  <c r="F44" i="123"/>
  <c r="V44" i="123" s="1"/>
  <c r="F43" i="123"/>
  <c r="V43" i="123" s="1"/>
  <c r="F40" i="123"/>
  <c r="F39" i="123"/>
  <c r="V39" i="123" s="1"/>
  <c r="F38" i="123"/>
  <c r="V38" i="123" s="1"/>
  <c r="F37" i="123"/>
  <c r="V37" i="123" s="1"/>
  <c r="F34" i="123"/>
  <c r="F33" i="123"/>
  <c r="V33" i="123" s="1"/>
  <c r="F32" i="123"/>
  <c r="V32" i="123" s="1"/>
  <c r="F31" i="123"/>
  <c r="V31" i="123" s="1"/>
  <c r="F28" i="123"/>
  <c r="F27" i="123"/>
  <c r="V27" i="123" s="1"/>
  <c r="F26" i="123"/>
  <c r="V26" i="123" s="1"/>
  <c r="F25" i="123"/>
  <c r="V25" i="123" s="1"/>
  <c r="F22" i="123"/>
  <c r="F21" i="123"/>
  <c r="V21" i="123" s="1"/>
  <c r="F20" i="123"/>
  <c r="V20" i="123" s="1"/>
  <c r="F19" i="123"/>
  <c r="V19" i="123" s="1"/>
  <c r="F16" i="123"/>
  <c r="F15" i="123"/>
  <c r="F14" i="123"/>
  <c r="F13" i="123"/>
  <c r="E45" i="123"/>
  <c r="E44" i="123"/>
  <c r="E43" i="123"/>
  <c r="E39" i="123"/>
  <c r="E38" i="123"/>
  <c r="E37" i="123"/>
  <c r="E33" i="123"/>
  <c r="E32" i="123"/>
  <c r="E31" i="123"/>
  <c r="E27" i="123"/>
  <c r="E26" i="123"/>
  <c r="E25" i="123"/>
  <c r="E21" i="123"/>
  <c r="E20" i="123"/>
  <c r="E19" i="123"/>
  <c r="E15" i="123"/>
  <c r="E14" i="123"/>
  <c r="E13" i="123"/>
  <c r="C45" i="123"/>
  <c r="C44" i="123"/>
  <c r="C43" i="123"/>
  <c r="C39" i="123"/>
  <c r="C38" i="123"/>
  <c r="C37" i="123"/>
  <c r="C33" i="123"/>
  <c r="C32" i="123"/>
  <c r="C31" i="123"/>
  <c r="C27" i="123"/>
  <c r="C26" i="123"/>
  <c r="C25" i="123"/>
  <c r="C21" i="123"/>
  <c r="C20" i="123"/>
  <c r="C19" i="123"/>
  <c r="C15" i="123"/>
  <c r="C14" i="123"/>
  <c r="C13" i="123"/>
  <c r="C8" i="123"/>
  <c r="P40" i="1"/>
  <c r="P39" i="1"/>
  <c r="P38" i="1"/>
  <c r="P37" i="1"/>
  <c r="P34" i="1"/>
  <c r="P33" i="1"/>
  <c r="P32" i="1"/>
  <c r="P31" i="1"/>
  <c r="P28" i="1"/>
  <c r="P27" i="1"/>
  <c r="P26" i="1"/>
  <c r="P25" i="1"/>
  <c r="P22" i="1"/>
  <c r="P21" i="1"/>
  <c r="P20" i="1"/>
  <c r="P19" i="1"/>
  <c r="P16" i="1"/>
  <c r="P15" i="1"/>
  <c r="P14" i="1"/>
  <c r="P13" i="1"/>
  <c r="O40" i="1"/>
  <c r="O39" i="1"/>
  <c r="O38" i="1"/>
  <c r="O37" i="1"/>
  <c r="O34" i="1"/>
  <c r="O33" i="1"/>
  <c r="O32" i="1"/>
  <c r="O31" i="1"/>
  <c r="O28" i="1"/>
  <c r="O27" i="1"/>
  <c r="O26" i="1"/>
  <c r="O25" i="1"/>
  <c r="O22" i="1"/>
  <c r="O21" i="1"/>
  <c r="O20" i="1"/>
  <c r="O19" i="1"/>
  <c r="O16" i="1"/>
  <c r="O15" i="1"/>
  <c r="O14" i="1"/>
  <c r="O13" i="1"/>
  <c r="N40" i="1"/>
  <c r="G23" i="149" s="1"/>
  <c r="N39" i="1"/>
  <c r="N38" i="1"/>
  <c r="N37" i="1"/>
  <c r="N34" i="1"/>
  <c r="G22" i="149" s="1"/>
  <c r="N33" i="1"/>
  <c r="N32" i="1"/>
  <c r="N31" i="1"/>
  <c r="N28" i="1"/>
  <c r="G21" i="149" s="1"/>
  <c r="N27" i="1"/>
  <c r="N26" i="1"/>
  <c r="N25" i="1"/>
  <c r="N22" i="1"/>
  <c r="G20" i="149" s="1"/>
  <c r="N21" i="1"/>
  <c r="N20" i="1"/>
  <c r="N19" i="1"/>
  <c r="N16" i="1"/>
  <c r="G19" i="149" s="1"/>
  <c r="N15" i="1"/>
  <c r="N14" i="1"/>
  <c r="N13" i="1"/>
  <c r="M40" i="1"/>
  <c r="M39" i="1"/>
  <c r="M38" i="1"/>
  <c r="M37" i="1"/>
  <c r="M34" i="1"/>
  <c r="M33" i="1"/>
  <c r="M32" i="1"/>
  <c r="M31" i="1"/>
  <c r="M28" i="1"/>
  <c r="M27" i="1"/>
  <c r="M26" i="1"/>
  <c r="M25" i="1"/>
  <c r="M22" i="1"/>
  <c r="M21" i="1"/>
  <c r="M20" i="1"/>
  <c r="M19" i="1"/>
  <c r="M16" i="1"/>
  <c r="M15" i="1"/>
  <c r="M14" i="1"/>
  <c r="M13" i="1"/>
  <c r="L40" i="1"/>
  <c r="L39" i="1"/>
  <c r="L38" i="1"/>
  <c r="L37" i="1"/>
  <c r="L34" i="1"/>
  <c r="L33" i="1"/>
  <c r="L32" i="1"/>
  <c r="L31" i="1"/>
  <c r="L28" i="1"/>
  <c r="L27" i="1"/>
  <c r="L26" i="1"/>
  <c r="L25" i="1"/>
  <c r="L22" i="1"/>
  <c r="L21" i="1"/>
  <c r="L20" i="1"/>
  <c r="L19" i="1"/>
  <c r="L16" i="1"/>
  <c r="L15" i="1"/>
  <c r="L14" i="1"/>
  <c r="L13" i="1"/>
  <c r="K40" i="1"/>
  <c r="K39" i="1"/>
  <c r="K38" i="1"/>
  <c r="K37" i="1"/>
  <c r="K34" i="1"/>
  <c r="K33" i="1"/>
  <c r="K32" i="1"/>
  <c r="K31" i="1"/>
  <c r="K28" i="1"/>
  <c r="K27" i="1"/>
  <c r="K26" i="1"/>
  <c r="K25" i="1"/>
  <c r="K22" i="1"/>
  <c r="K21" i="1"/>
  <c r="K20" i="1"/>
  <c r="K19" i="1"/>
  <c r="K16" i="1"/>
  <c r="K15" i="1"/>
  <c r="K14" i="1"/>
  <c r="K13" i="1"/>
  <c r="J40" i="1"/>
  <c r="J39" i="1"/>
  <c r="J38" i="1"/>
  <c r="J37" i="1"/>
  <c r="J34" i="1"/>
  <c r="J33" i="1"/>
  <c r="J32" i="1"/>
  <c r="J31" i="1"/>
  <c r="J28" i="1"/>
  <c r="J27" i="1"/>
  <c r="J26" i="1"/>
  <c r="J25" i="1"/>
  <c r="J22" i="1"/>
  <c r="J21" i="1"/>
  <c r="J20" i="1"/>
  <c r="J19" i="1"/>
  <c r="J16" i="1"/>
  <c r="J15" i="1"/>
  <c r="J14" i="1"/>
  <c r="J13" i="1"/>
  <c r="I40" i="1"/>
  <c r="I39" i="1"/>
  <c r="I38" i="1"/>
  <c r="I37" i="1"/>
  <c r="I34" i="1"/>
  <c r="I33" i="1"/>
  <c r="I32" i="1"/>
  <c r="I31" i="1"/>
  <c r="I28" i="1"/>
  <c r="I27" i="1"/>
  <c r="I26" i="1"/>
  <c r="I25" i="1"/>
  <c r="I22" i="1"/>
  <c r="I21" i="1"/>
  <c r="I20" i="1"/>
  <c r="I19" i="1"/>
  <c r="I16" i="1"/>
  <c r="I15" i="1"/>
  <c r="I14" i="1"/>
  <c r="I13" i="1"/>
  <c r="H40" i="1"/>
  <c r="H39" i="1"/>
  <c r="H38" i="1"/>
  <c r="H37" i="1"/>
  <c r="H34" i="1"/>
  <c r="H33" i="1"/>
  <c r="H32" i="1"/>
  <c r="H31" i="1"/>
  <c r="H28" i="1"/>
  <c r="H27" i="1"/>
  <c r="H26" i="1"/>
  <c r="H25" i="1"/>
  <c r="H22" i="1"/>
  <c r="H21" i="1"/>
  <c r="H20" i="1"/>
  <c r="H19" i="1"/>
  <c r="H16" i="1"/>
  <c r="H15" i="1"/>
  <c r="H14" i="1"/>
  <c r="H13" i="1"/>
  <c r="G40" i="1"/>
  <c r="G39" i="1"/>
  <c r="G38" i="1"/>
  <c r="G37" i="1"/>
  <c r="G34" i="1"/>
  <c r="G33" i="1"/>
  <c r="G32" i="1"/>
  <c r="G31" i="1"/>
  <c r="G28" i="1"/>
  <c r="G27" i="1"/>
  <c r="G26" i="1"/>
  <c r="G25" i="1"/>
  <c r="G22" i="1"/>
  <c r="G21" i="1"/>
  <c r="G20" i="1"/>
  <c r="G19" i="1"/>
  <c r="G16" i="1"/>
  <c r="G15" i="1"/>
  <c r="G14" i="1"/>
  <c r="G13" i="1"/>
  <c r="F40" i="1"/>
  <c r="D23" i="149" s="1"/>
  <c r="F39" i="1"/>
  <c r="V39" i="1" s="1"/>
  <c r="F38" i="1"/>
  <c r="V38" i="1" s="1"/>
  <c r="F37" i="1"/>
  <c r="V37" i="1" s="1"/>
  <c r="F34" i="1"/>
  <c r="D22" i="149" s="1"/>
  <c r="F33" i="1"/>
  <c r="V33" i="1" s="1"/>
  <c r="F32" i="1"/>
  <c r="V32" i="1" s="1"/>
  <c r="F28" i="1"/>
  <c r="D21" i="149" s="1"/>
  <c r="F27" i="1"/>
  <c r="V27" i="1" s="1"/>
  <c r="F26" i="1"/>
  <c r="V26" i="1" s="1"/>
  <c r="F25" i="1"/>
  <c r="V25" i="1" s="1"/>
  <c r="F22" i="1"/>
  <c r="D20" i="149" s="1"/>
  <c r="F21" i="1"/>
  <c r="V21" i="1" s="1"/>
  <c r="F20" i="1"/>
  <c r="V20" i="1" s="1"/>
  <c r="F19" i="1"/>
  <c r="V19" i="1" s="1"/>
  <c r="F16" i="1"/>
  <c r="D19" i="149" s="1"/>
  <c r="F15" i="1"/>
  <c r="V15" i="1" s="1"/>
  <c r="F14" i="1"/>
  <c r="V14" i="1" s="1"/>
  <c r="F13" i="1"/>
  <c r="V13" i="1" s="1"/>
  <c r="E39" i="1"/>
  <c r="E38" i="1"/>
  <c r="E37" i="1"/>
  <c r="E33" i="1"/>
  <c r="E32" i="1"/>
  <c r="E31" i="1"/>
  <c r="E27" i="1"/>
  <c r="E26" i="1"/>
  <c r="E25" i="1"/>
  <c r="E21" i="1"/>
  <c r="E20" i="1"/>
  <c r="E19" i="1"/>
  <c r="E15" i="1"/>
  <c r="E14" i="1"/>
  <c r="E13" i="1"/>
  <c r="C39" i="1"/>
  <c r="C38" i="1"/>
  <c r="C37" i="1"/>
  <c r="C33" i="1"/>
  <c r="C32" i="1"/>
  <c r="C31" i="1"/>
  <c r="C27" i="1"/>
  <c r="C26" i="1"/>
  <c r="C25" i="1"/>
  <c r="C21" i="1"/>
  <c r="C20" i="1"/>
  <c r="C19" i="1"/>
  <c r="C15" i="1"/>
  <c r="C14" i="1"/>
  <c r="C8" i="1"/>
  <c r="Q46" i="84" l="1"/>
  <c r="Q46" i="97"/>
  <c r="Q46" i="48"/>
  <c r="Q46" i="41"/>
  <c r="Q46" i="47"/>
  <c r="Q46" i="95"/>
  <c r="Q46" i="98"/>
  <c r="Q46" i="99"/>
  <c r="Q46" i="67"/>
  <c r="Q46" i="44"/>
  <c r="Q46" i="45"/>
  <c r="S157" i="76"/>
  <c r="U157" i="76" s="1"/>
  <c r="S158" i="76"/>
  <c r="U158" i="76" s="1"/>
  <c r="S159" i="76"/>
  <c r="U159" i="76" s="1"/>
  <c r="S160" i="76"/>
  <c r="U160" i="76" s="1"/>
  <c r="Q55" i="84"/>
  <c r="Q44" i="84"/>
  <c r="Q47" i="84" s="1"/>
  <c r="Q45" i="97"/>
  <c r="Q45" i="41"/>
  <c r="Q49" i="88"/>
  <c r="Q50" i="86"/>
  <c r="S171" i="76"/>
  <c r="U171" i="76" s="1"/>
  <c r="S172" i="76"/>
  <c r="U172" i="76" s="1"/>
  <c r="S173" i="76"/>
  <c r="U173" i="76" s="1"/>
  <c r="R166" i="76"/>
  <c r="V166" i="76" s="1"/>
  <c r="U166" i="76"/>
  <c r="R167" i="76"/>
  <c r="V167" i="76" s="1"/>
  <c r="U167" i="76"/>
  <c r="M174" i="76"/>
  <c r="N174" i="76" s="1"/>
  <c r="N173" i="76"/>
  <c r="R172" i="76"/>
  <c r="P173" i="76"/>
  <c r="O174" i="76"/>
  <c r="P174" i="76" s="1"/>
  <c r="R170" i="76"/>
  <c r="R171" i="76"/>
  <c r="Q174" i="76"/>
  <c r="R173" i="76"/>
  <c r="R164" i="76"/>
  <c r="V164" i="76" s="1"/>
  <c r="U164" i="76"/>
  <c r="U165" i="76"/>
  <c r="R165" i="76"/>
  <c r="V165" i="76" s="1"/>
  <c r="R177" i="76"/>
  <c r="R178" i="76"/>
  <c r="V178" i="76" s="1"/>
  <c r="U178" i="76"/>
  <c r="R179" i="76"/>
  <c r="V179" i="76" s="1"/>
  <c r="U179" i="76"/>
  <c r="R180" i="76"/>
  <c r="V180" i="76" s="1"/>
  <c r="U180" i="76"/>
  <c r="R181" i="76"/>
  <c r="V181" i="76" s="1"/>
  <c r="U181" i="76"/>
  <c r="R156" i="76"/>
  <c r="R157" i="76"/>
  <c r="R158" i="76"/>
  <c r="R159" i="76"/>
  <c r="R160" i="76"/>
  <c r="H46" i="44"/>
  <c r="J191" i="149"/>
  <c r="P50" i="123"/>
  <c r="Q44" i="97"/>
  <c r="L53" i="123"/>
  <c r="J53" i="123"/>
  <c r="H45" i="44"/>
  <c r="J20" i="149"/>
  <c r="J22" i="149"/>
  <c r="J219" i="149"/>
  <c r="J21" i="149"/>
  <c r="J23" i="149"/>
  <c r="Q44" i="1"/>
  <c r="Q50" i="123"/>
  <c r="Q50" i="89"/>
  <c r="J228" i="149"/>
  <c r="J200" i="149"/>
  <c r="Q52" i="86"/>
  <c r="J208" i="149"/>
  <c r="J212" i="149"/>
  <c r="J151" i="149"/>
  <c r="J146" i="149"/>
  <c r="Q50" i="88"/>
  <c r="J220" i="149"/>
  <c r="J192" i="149"/>
  <c r="J138" i="149"/>
  <c r="Q46" i="1"/>
  <c r="Q45" i="95"/>
  <c r="F53" i="123"/>
  <c r="P52" i="123"/>
  <c r="Q44" i="45"/>
  <c r="H44" i="44"/>
  <c r="Q44" i="48"/>
  <c r="P53" i="123"/>
  <c r="L50" i="88"/>
  <c r="Q44" i="95"/>
  <c r="H50" i="88"/>
  <c r="N50" i="88"/>
  <c r="Q44" i="99"/>
  <c r="Q45" i="1"/>
  <c r="Q52" i="88"/>
  <c r="L50" i="86"/>
  <c r="H50" i="123"/>
  <c r="N50" i="123"/>
  <c r="Q52" i="89"/>
  <c r="J173" i="149"/>
  <c r="J136" i="149"/>
  <c r="J172" i="149"/>
  <c r="Q44" i="44"/>
  <c r="J194" i="149"/>
  <c r="J171" i="149"/>
  <c r="N51" i="123"/>
  <c r="Q44" i="67"/>
  <c r="J227" i="149"/>
  <c r="J199" i="149"/>
  <c r="Q44" i="41"/>
  <c r="J214" i="149"/>
  <c r="J153" i="149"/>
  <c r="J144" i="149"/>
  <c r="N53" i="123"/>
  <c r="J50" i="123"/>
  <c r="H53" i="123"/>
  <c r="Q51" i="123"/>
  <c r="Q52" i="123"/>
  <c r="Q49" i="86"/>
  <c r="Q44" i="98"/>
  <c r="J226" i="149"/>
  <c r="J205" i="149"/>
  <c r="J198" i="149"/>
  <c r="P51" i="123"/>
  <c r="Q44" i="47"/>
  <c r="J206" i="149"/>
  <c r="P50" i="88"/>
  <c r="L50" i="123"/>
  <c r="N50" i="86"/>
  <c r="H50" i="86"/>
  <c r="J50" i="86"/>
  <c r="L52" i="123"/>
  <c r="N52" i="123"/>
  <c r="H51" i="123"/>
  <c r="L51" i="123"/>
  <c r="J50" i="88"/>
  <c r="Q53" i="123"/>
  <c r="Q49" i="89"/>
  <c r="Q45" i="98"/>
  <c r="Q45" i="48"/>
  <c r="Q45" i="44"/>
  <c r="J215" i="149"/>
  <c r="J150" i="149"/>
  <c r="J145" i="149"/>
  <c r="J137" i="149"/>
  <c r="J207" i="149"/>
  <c r="Q49" i="119"/>
  <c r="Q49" i="91"/>
  <c r="Q52" i="91"/>
  <c r="Q52" i="66"/>
  <c r="Q49" i="64"/>
  <c r="Q52" i="64"/>
  <c r="J51" i="123"/>
  <c r="J221" i="149"/>
  <c r="J193" i="149"/>
  <c r="J50" i="87"/>
  <c r="N50" i="87"/>
  <c r="J179" i="149"/>
  <c r="J180" i="149"/>
  <c r="J181" i="149"/>
  <c r="J164" i="149"/>
  <c r="J165" i="149"/>
  <c r="J157" i="149"/>
  <c r="J158" i="149"/>
  <c r="J159" i="149"/>
  <c r="J160" i="149"/>
  <c r="J73" i="149"/>
  <c r="J74" i="149"/>
  <c r="J75" i="149"/>
  <c r="J48" i="149"/>
  <c r="J49" i="149"/>
  <c r="J50" i="149"/>
  <c r="J51" i="149"/>
  <c r="V34" i="1"/>
  <c r="Q49" i="87"/>
  <c r="J213" i="149"/>
  <c r="J152" i="149"/>
  <c r="J143" i="149"/>
  <c r="J79" i="149"/>
  <c r="J80" i="149"/>
  <c r="J81" i="149"/>
  <c r="J61" i="149"/>
  <c r="J62" i="149"/>
  <c r="J63" i="149"/>
  <c r="J27" i="149"/>
  <c r="J28" i="149"/>
  <c r="J29" i="149"/>
  <c r="J30" i="149"/>
  <c r="H52" i="123"/>
  <c r="J52" i="123"/>
  <c r="V16" i="1"/>
  <c r="V28" i="1"/>
  <c r="V28" i="123"/>
  <c r="V40" i="123"/>
  <c r="V38" i="91"/>
  <c r="V38" i="90"/>
  <c r="V38" i="66"/>
  <c r="V38" i="62"/>
  <c r="V45" i="61"/>
  <c r="J85" i="149"/>
  <c r="J86" i="149"/>
  <c r="J87" i="149"/>
  <c r="V16" i="97"/>
  <c r="V22" i="97"/>
  <c r="V28" i="97"/>
  <c r="V34" i="97"/>
  <c r="V40" i="97"/>
  <c r="J55" i="149"/>
  <c r="J56" i="149"/>
  <c r="J57" i="149"/>
  <c r="V16" i="48"/>
  <c r="V22" i="48"/>
  <c r="V28" i="48"/>
  <c r="V34" i="48"/>
  <c r="V40" i="48"/>
  <c r="J34" i="149"/>
  <c r="J35" i="149"/>
  <c r="J36" i="149"/>
  <c r="J37" i="149"/>
  <c r="V16" i="41"/>
  <c r="V22" i="41"/>
  <c r="V28" i="41"/>
  <c r="V34" i="41"/>
  <c r="V40" i="41"/>
  <c r="V22" i="1"/>
  <c r="V22" i="123"/>
  <c r="V34" i="123"/>
  <c r="V46" i="123"/>
  <c r="V38" i="119"/>
  <c r="V38" i="70"/>
  <c r="V38" i="64"/>
  <c r="P50" i="86"/>
  <c r="V17" i="61"/>
  <c r="V31" i="60"/>
  <c r="V45" i="49"/>
  <c r="J139" i="149"/>
  <c r="J201" i="149"/>
  <c r="J166" i="149"/>
  <c r="J167" i="149"/>
  <c r="J104" i="149"/>
  <c r="J105" i="149"/>
  <c r="J106" i="149"/>
  <c r="J107" i="149"/>
  <c r="J67" i="149"/>
  <c r="J68" i="149"/>
  <c r="J69" i="149"/>
  <c r="J41" i="149"/>
  <c r="J42" i="149"/>
  <c r="J43" i="149"/>
  <c r="J44" i="149"/>
  <c r="Q50" i="87"/>
  <c r="G221" i="152"/>
  <c r="J221" i="152" s="1"/>
  <c r="H221" i="149"/>
  <c r="D221" i="150"/>
  <c r="H221" i="150" s="1"/>
  <c r="F221" i="149"/>
  <c r="G214" i="152"/>
  <c r="J214" i="152" s="1"/>
  <c r="H214" i="149"/>
  <c r="D214" i="150"/>
  <c r="H214" i="150" s="1"/>
  <c r="F214" i="149"/>
  <c r="D207" i="150"/>
  <c r="H207" i="150" s="1"/>
  <c r="G207" i="152"/>
  <c r="J207" i="152" s="1"/>
  <c r="H207" i="149"/>
  <c r="F207" i="149"/>
  <c r="G200" i="152"/>
  <c r="J200" i="152" s="1"/>
  <c r="F200" i="149"/>
  <c r="D200" i="150"/>
  <c r="H200" i="150" s="1"/>
  <c r="H200" i="149"/>
  <c r="G193" i="152"/>
  <c r="J193" i="152" s="1"/>
  <c r="F193" i="149"/>
  <c r="D193" i="150"/>
  <c r="H193" i="150" s="1"/>
  <c r="H193" i="149"/>
  <c r="F50" i="87"/>
  <c r="V14" i="87"/>
  <c r="F50" i="86"/>
  <c r="V14" i="86"/>
  <c r="V17" i="86" s="1"/>
  <c r="D149" i="150"/>
  <c r="G149" i="152"/>
  <c r="D154" i="149"/>
  <c r="H149" i="149"/>
  <c r="G153" i="152"/>
  <c r="J153" i="152" s="1"/>
  <c r="D153" i="150"/>
  <c r="H153" i="150" s="1"/>
  <c r="F153" i="149"/>
  <c r="H153" i="149"/>
  <c r="G154" i="149"/>
  <c r="G144" i="152"/>
  <c r="J144" i="152" s="1"/>
  <c r="H144" i="149"/>
  <c r="D144" i="150"/>
  <c r="H144" i="150" s="1"/>
  <c r="F144" i="149"/>
  <c r="G135" i="152"/>
  <c r="H135" i="149"/>
  <c r="D135" i="150"/>
  <c r="D140" i="149"/>
  <c r="G139" i="152"/>
  <c r="J139" i="152" s="1"/>
  <c r="H139" i="149"/>
  <c r="D139" i="150"/>
  <c r="H139" i="150" s="1"/>
  <c r="F139" i="149"/>
  <c r="G140" i="149"/>
  <c r="G84" i="152"/>
  <c r="H84" i="149"/>
  <c r="D84" i="150"/>
  <c r="D88" i="149"/>
  <c r="G85" i="152"/>
  <c r="J85" i="152" s="1"/>
  <c r="D85" i="150"/>
  <c r="H85" i="150" s="1"/>
  <c r="H85" i="149"/>
  <c r="F85" i="149"/>
  <c r="G86" i="152"/>
  <c r="J86" i="152" s="1"/>
  <c r="F86" i="149"/>
  <c r="D86" i="150"/>
  <c r="H86" i="150" s="1"/>
  <c r="H86" i="149"/>
  <c r="G87" i="152"/>
  <c r="J87" i="152" s="1"/>
  <c r="F87" i="149"/>
  <c r="D87" i="150"/>
  <c r="H87" i="150" s="1"/>
  <c r="H87" i="149"/>
  <c r="G88" i="149"/>
  <c r="D54" i="150"/>
  <c r="G54" i="152"/>
  <c r="D58" i="149"/>
  <c r="H54" i="149"/>
  <c r="D55" i="150"/>
  <c r="H55" i="150" s="1"/>
  <c r="G55" i="152"/>
  <c r="J55" i="152" s="1"/>
  <c r="F55" i="149"/>
  <c r="H55" i="149"/>
  <c r="G56" i="152"/>
  <c r="J56" i="152" s="1"/>
  <c r="H56" i="149"/>
  <c r="F56" i="149"/>
  <c r="D56" i="150"/>
  <c r="H56" i="150" s="1"/>
  <c r="G57" i="152"/>
  <c r="J57" i="152" s="1"/>
  <c r="H57" i="149"/>
  <c r="D57" i="150"/>
  <c r="H57" i="150" s="1"/>
  <c r="F57" i="149"/>
  <c r="G58" i="149"/>
  <c r="G33" i="152"/>
  <c r="H33" i="149"/>
  <c r="D33" i="150"/>
  <c r="D38" i="149"/>
  <c r="H34" i="149"/>
  <c r="D34" i="150"/>
  <c r="H34" i="150" s="1"/>
  <c r="F34" i="149"/>
  <c r="G34" i="152"/>
  <c r="J34" i="152" s="1"/>
  <c r="H35" i="149"/>
  <c r="G35" i="152"/>
  <c r="J35" i="152" s="1"/>
  <c r="D35" i="150"/>
  <c r="H35" i="150" s="1"/>
  <c r="F35" i="149"/>
  <c r="G36" i="152"/>
  <c r="J36" i="152" s="1"/>
  <c r="D36" i="150"/>
  <c r="H36" i="150" s="1"/>
  <c r="F36" i="149"/>
  <c r="H36" i="149"/>
  <c r="H37" i="149"/>
  <c r="G37" i="152"/>
  <c r="J37" i="152" s="1"/>
  <c r="F37" i="149"/>
  <c r="D37" i="150"/>
  <c r="H37" i="150" s="1"/>
  <c r="G38" i="149"/>
  <c r="O230" i="149"/>
  <c r="S225" i="149"/>
  <c r="H229" i="152"/>
  <c r="K229" i="152" s="1"/>
  <c r="I229" i="149"/>
  <c r="E229" i="150"/>
  <c r="E221" i="150"/>
  <c r="H221" i="152"/>
  <c r="K221" i="152" s="1"/>
  <c r="I221" i="149"/>
  <c r="E213" i="150"/>
  <c r="H213" i="152"/>
  <c r="K213" i="152" s="1"/>
  <c r="I213" i="149"/>
  <c r="H205" i="152"/>
  <c r="K205" i="152" s="1"/>
  <c r="I205" i="149"/>
  <c r="E205" i="150"/>
  <c r="S197" i="149"/>
  <c r="O202" i="149"/>
  <c r="H201" i="152"/>
  <c r="K201" i="152" s="1"/>
  <c r="E201" i="150"/>
  <c r="I201" i="149"/>
  <c r="E193" i="150"/>
  <c r="H193" i="152"/>
  <c r="K193" i="152" s="1"/>
  <c r="I193" i="149"/>
  <c r="H166" i="152"/>
  <c r="K166" i="152" s="1"/>
  <c r="I166" i="149"/>
  <c r="E166" i="150"/>
  <c r="H167" i="152"/>
  <c r="K167" i="152" s="1"/>
  <c r="I167" i="149"/>
  <c r="E167" i="150"/>
  <c r="S156" i="149"/>
  <c r="O161" i="149"/>
  <c r="H157" i="152"/>
  <c r="K157" i="152" s="1"/>
  <c r="I157" i="149"/>
  <c r="E157" i="150"/>
  <c r="H158" i="152"/>
  <c r="K158" i="152" s="1"/>
  <c r="E158" i="150"/>
  <c r="I158" i="149"/>
  <c r="H159" i="152"/>
  <c r="K159" i="152" s="1"/>
  <c r="I159" i="149"/>
  <c r="E159" i="150"/>
  <c r="E160" i="150"/>
  <c r="H160" i="152"/>
  <c r="K160" i="152" s="1"/>
  <c r="I160" i="149"/>
  <c r="E152" i="150"/>
  <c r="H152" i="152"/>
  <c r="K152" i="152" s="1"/>
  <c r="I152" i="149"/>
  <c r="I143" i="149"/>
  <c r="H143" i="152"/>
  <c r="K143" i="152" s="1"/>
  <c r="E143" i="150"/>
  <c r="O140" i="149"/>
  <c r="S135" i="149"/>
  <c r="H139" i="152"/>
  <c r="K139" i="152" s="1"/>
  <c r="E139" i="150"/>
  <c r="I139" i="149"/>
  <c r="S103" i="149"/>
  <c r="O108" i="149"/>
  <c r="O131" i="149" s="1"/>
  <c r="H104" i="152"/>
  <c r="K104" i="152" s="1"/>
  <c r="E104" i="150"/>
  <c r="I104" i="149"/>
  <c r="I105" i="149"/>
  <c r="E105" i="150"/>
  <c r="H105" i="152"/>
  <c r="K105" i="152" s="1"/>
  <c r="H106" i="152"/>
  <c r="K106" i="152" s="1"/>
  <c r="E106" i="150"/>
  <c r="I106" i="149"/>
  <c r="I107" i="149"/>
  <c r="E107" i="150"/>
  <c r="H107" i="152"/>
  <c r="K107" i="152" s="1"/>
  <c r="S84" i="149"/>
  <c r="O88" i="149"/>
  <c r="H85" i="152"/>
  <c r="K85" i="152" s="1"/>
  <c r="I85" i="149"/>
  <c r="E85" i="150"/>
  <c r="E86" i="150"/>
  <c r="H86" i="152"/>
  <c r="K86" i="152" s="1"/>
  <c r="I86" i="149"/>
  <c r="H87" i="152"/>
  <c r="K87" i="152" s="1"/>
  <c r="I87" i="149"/>
  <c r="E87" i="150"/>
  <c r="S78" i="149"/>
  <c r="O82" i="149"/>
  <c r="I79" i="149"/>
  <c r="H79" i="152"/>
  <c r="K79" i="152" s="1"/>
  <c r="E79" i="150"/>
  <c r="I80" i="149"/>
  <c r="H80" i="152"/>
  <c r="K80" i="152" s="1"/>
  <c r="E80" i="150"/>
  <c r="H81" i="152"/>
  <c r="K81" i="152" s="1"/>
  <c r="I81" i="149"/>
  <c r="E81" i="150"/>
  <c r="O76" i="149"/>
  <c r="S72" i="149"/>
  <c r="E73" i="150"/>
  <c r="I73" i="149"/>
  <c r="H73" i="152"/>
  <c r="K73" i="152" s="1"/>
  <c r="E74" i="150"/>
  <c r="H74" i="152"/>
  <c r="K74" i="152" s="1"/>
  <c r="I74" i="149"/>
  <c r="H75" i="152"/>
  <c r="K75" i="152" s="1"/>
  <c r="E75" i="150"/>
  <c r="I75" i="149"/>
  <c r="S66" i="149"/>
  <c r="O70" i="149"/>
  <c r="H67" i="152"/>
  <c r="K67" i="152" s="1"/>
  <c r="I67" i="149"/>
  <c r="E67" i="150"/>
  <c r="H68" i="152"/>
  <c r="K68" i="152" s="1"/>
  <c r="I68" i="149"/>
  <c r="E68" i="150"/>
  <c r="H69" i="152"/>
  <c r="K69" i="152" s="1"/>
  <c r="E69" i="150"/>
  <c r="I69" i="149"/>
  <c r="S54" i="149"/>
  <c r="O58" i="149"/>
  <c r="H55" i="152"/>
  <c r="K55" i="152" s="1"/>
  <c r="I55" i="149"/>
  <c r="E55" i="150"/>
  <c r="H56" i="152"/>
  <c r="K56" i="152" s="1"/>
  <c r="I56" i="149"/>
  <c r="E56" i="150"/>
  <c r="E57" i="150"/>
  <c r="H57" i="152"/>
  <c r="K57" i="152" s="1"/>
  <c r="I57" i="149"/>
  <c r="S60" i="149"/>
  <c r="O64" i="149"/>
  <c r="E61" i="150"/>
  <c r="H61" i="152"/>
  <c r="K61" i="152" s="1"/>
  <c r="I61" i="149"/>
  <c r="E62" i="150"/>
  <c r="H62" i="152"/>
  <c r="K62" i="152" s="1"/>
  <c r="I62" i="149"/>
  <c r="H63" i="152"/>
  <c r="K63" i="152" s="1"/>
  <c r="I63" i="149"/>
  <c r="E63" i="150"/>
  <c r="O52" i="149"/>
  <c r="S47" i="149"/>
  <c r="H48" i="152"/>
  <c r="K48" i="152" s="1"/>
  <c r="E48" i="150"/>
  <c r="I48" i="149"/>
  <c r="H49" i="152"/>
  <c r="K49" i="152" s="1"/>
  <c r="E49" i="150"/>
  <c r="I49" i="149"/>
  <c r="E50" i="150"/>
  <c r="H50" i="152"/>
  <c r="K50" i="152" s="1"/>
  <c r="I50" i="149"/>
  <c r="H51" i="152"/>
  <c r="K51" i="152" s="1"/>
  <c r="I51" i="149"/>
  <c r="E51" i="150"/>
  <c r="O45" i="149"/>
  <c r="S40" i="149"/>
  <c r="E41" i="150"/>
  <c r="H41" i="152"/>
  <c r="K41" i="152" s="1"/>
  <c r="I41" i="149"/>
  <c r="H42" i="152"/>
  <c r="K42" i="152" s="1"/>
  <c r="I42" i="149"/>
  <c r="E42" i="150"/>
  <c r="H43" i="152"/>
  <c r="K43" i="152" s="1"/>
  <c r="I43" i="149"/>
  <c r="E43" i="150"/>
  <c r="H44" i="152"/>
  <c r="K44" i="152" s="1"/>
  <c r="I44" i="149"/>
  <c r="E44" i="150"/>
  <c r="S33" i="149"/>
  <c r="O38" i="149"/>
  <c r="E34" i="150"/>
  <c r="H34" i="152"/>
  <c r="K34" i="152" s="1"/>
  <c r="I34" i="149"/>
  <c r="H35" i="152"/>
  <c r="K35" i="152" s="1"/>
  <c r="I35" i="149"/>
  <c r="E35" i="150"/>
  <c r="H36" i="152"/>
  <c r="K36" i="152" s="1"/>
  <c r="I36" i="149"/>
  <c r="E36" i="150"/>
  <c r="H37" i="152"/>
  <c r="K37" i="152" s="1"/>
  <c r="E37" i="150"/>
  <c r="I37" i="149"/>
  <c r="O31" i="149"/>
  <c r="S26" i="149"/>
  <c r="E27" i="150"/>
  <c r="H27" i="152"/>
  <c r="K27" i="152" s="1"/>
  <c r="I27" i="149"/>
  <c r="H28" i="152"/>
  <c r="K28" i="152" s="1"/>
  <c r="I28" i="149"/>
  <c r="E28" i="150"/>
  <c r="E29" i="150"/>
  <c r="H29" i="152"/>
  <c r="K29" i="152" s="1"/>
  <c r="I29" i="149"/>
  <c r="E30" i="150"/>
  <c r="H30" i="152"/>
  <c r="K30" i="152" s="1"/>
  <c r="I30" i="149"/>
  <c r="R52" i="44"/>
  <c r="R54" i="67"/>
  <c r="R52" i="99"/>
  <c r="R51" i="98"/>
  <c r="R52" i="95"/>
  <c r="R59" i="49"/>
  <c r="R58" i="60"/>
  <c r="R59" i="123"/>
  <c r="V17" i="119"/>
  <c r="V45" i="119"/>
  <c r="V17" i="91"/>
  <c r="G225" i="152"/>
  <c r="H225" i="149"/>
  <c r="D225" i="150"/>
  <c r="D230" i="149"/>
  <c r="V45" i="91"/>
  <c r="G229" i="152"/>
  <c r="J229" i="152" s="1"/>
  <c r="H229" i="149"/>
  <c r="F229" i="149"/>
  <c r="D229" i="150"/>
  <c r="H229" i="150" s="1"/>
  <c r="G230" i="149"/>
  <c r="V17" i="90"/>
  <c r="G218" i="152"/>
  <c r="H218" i="149"/>
  <c r="D218" i="150"/>
  <c r="D223" i="149"/>
  <c r="V45" i="90"/>
  <c r="G222" i="152"/>
  <c r="J222" i="152" s="1"/>
  <c r="F222" i="149"/>
  <c r="D222" i="150"/>
  <c r="H222" i="150" s="1"/>
  <c r="H222" i="149"/>
  <c r="G223" i="149"/>
  <c r="V17" i="70"/>
  <c r="D211" i="150"/>
  <c r="G211" i="152"/>
  <c r="D216" i="149"/>
  <c r="H211" i="149"/>
  <c r="V45" i="70"/>
  <c r="D215" i="150"/>
  <c r="H215" i="150" s="1"/>
  <c r="G215" i="152"/>
  <c r="J215" i="152" s="1"/>
  <c r="F215" i="149"/>
  <c r="H215" i="149"/>
  <c r="G216" i="149"/>
  <c r="V17" i="66"/>
  <c r="D204" i="150"/>
  <c r="G204" i="152"/>
  <c r="D209" i="149"/>
  <c r="H204" i="149"/>
  <c r="V45" i="66"/>
  <c r="G208" i="152"/>
  <c r="J208" i="152" s="1"/>
  <c r="H208" i="149"/>
  <c r="D208" i="150"/>
  <c r="H208" i="150" s="1"/>
  <c r="F208" i="149"/>
  <c r="G209" i="149"/>
  <c r="V17" i="64"/>
  <c r="D197" i="150"/>
  <c r="G197" i="152"/>
  <c r="D202" i="149"/>
  <c r="H197" i="149"/>
  <c r="V45" i="64"/>
  <c r="G201" i="152"/>
  <c r="J201" i="152" s="1"/>
  <c r="F201" i="149"/>
  <c r="D201" i="150"/>
  <c r="H201" i="150" s="1"/>
  <c r="H201" i="149"/>
  <c r="G202" i="149"/>
  <c r="V17" i="62"/>
  <c r="G190" i="152"/>
  <c r="H190" i="149"/>
  <c r="D190" i="150"/>
  <c r="D195" i="149"/>
  <c r="V45" i="62"/>
  <c r="G194" i="152"/>
  <c r="J194" i="152" s="1"/>
  <c r="H194" i="149"/>
  <c r="D194" i="150"/>
  <c r="H194" i="150" s="1"/>
  <c r="F194" i="149"/>
  <c r="G195" i="149"/>
  <c r="G170" i="152"/>
  <c r="D170" i="150"/>
  <c r="D175" i="149"/>
  <c r="H170" i="149"/>
  <c r="D171" i="150"/>
  <c r="H171" i="150" s="1"/>
  <c r="F171" i="149"/>
  <c r="G171" i="152"/>
  <c r="J171" i="152" s="1"/>
  <c r="H171" i="149"/>
  <c r="G172" i="152"/>
  <c r="J172" i="152" s="1"/>
  <c r="D172" i="150"/>
  <c r="H172" i="150" s="1"/>
  <c r="H172" i="149"/>
  <c r="F172" i="149"/>
  <c r="G173" i="152"/>
  <c r="J173" i="152" s="1"/>
  <c r="D173" i="150"/>
  <c r="H173" i="150" s="1"/>
  <c r="F173" i="149"/>
  <c r="H173" i="149"/>
  <c r="G174" i="152"/>
  <c r="J174" i="152" s="1"/>
  <c r="F174" i="149"/>
  <c r="H174" i="149"/>
  <c r="D174" i="150"/>
  <c r="H174" i="150" s="1"/>
  <c r="G175" i="149"/>
  <c r="F52" i="87"/>
  <c r="V16" i="87"/>
  <c r="G166" i="152"/>
  <c r="J166" i="152" s="1"/>
  <c r="H166" i="149"/>
  <c r="D166" i="150"/>
  <c r="H166" i="150" s="1"/>
  <c r="F166" i="149"/>
  <c r="G167" i="152"/>
  <c r="J167" i="152" s="1"/>
  <c r="F167" i="149"/>
  <c r="H167" i="149"/>
  <c r="D167" i="150"/>
  <c r="H167" i="150" s="1"/>
  <c r="V24" i="61"/>
  <c r="G150" i="152"/>
  <c r="J150" i="152" s="1"/>
  <c r="H150" i="149"/>
  <c r="D150" i="150"/>
  <c r="H150" i="150" s="1"/>
  <c r="F150" i="149"/>
  <c r="V17" i="60"/>
  <c r="G142" i="152"/>
  <c r="H142" i="149"/>
  <c r="D142" i="150"/>
  <c r="D147" i="149"/>
  <c r="V38" i="60"/>
  <c r="G145" i="152"/>
  <c r="J145" i="152" s="1"/>
  <c r="F145" i="149"/>
  <c r="D145" i="150"/>
  <c r="H145" i="150" s="1"/>
  <c r="H145" i="149"/>
  <c r="G147" i="149"/>
  <c r="V24" i="49"/>
  <c r="D136" i="150"/>
  <c r="H136" i="150" s="1"/>
  <c r="G136" i="152"/>
  <c r="J136" i="152" s="1"/>
  <c r="H136" i="149"/>
  <c r="F136" i="149"/>
  <c r="D103" i="150"/>
  <c r="G103" i="152"/>
  <c r="D108" i="149"/>
  <c r="H103" i="149"/>
  <c r="H104" i="149"/>
  <c r="G104" i="152"/>
  <c r="J104" i="152" s="1"/>
  <c r="D104" i="150"/>
  <c r="H104" i="150" s="1"/>
  <c r="F104" i="149"/>
  <c r="D105" i="150"/>
  <c r="H105" i="150" s="1"/>
  <c r="G105" i="152"/>
  <c r="J105" i="152" s="1"/>
  <c r="H105" i="149"/>
  <c r="F105" i="149"/>
  <c r="F106" i="149"/>
  <c r="G106" i="152"/>
  <c r="J106" i="152" s="1"/>
  <c r="D106" i="150"/>
  <c r="H106" i="150" s="1"/>
  <c r="H106" i="149"/>
  <c r="H107" i="149"/>
  <c r="D107" i="150"/>
  <c r="H107" i="150" s="1"/>
  <c r="G107" i="152"/>
  <c r="J107" i="152" s="1"/>
  <c r="F107" i="149"/>
  <c r="G108" i="149"/>
  <c r="V16" i="95"/>
  <c r="V22" i="95"/>
  <c r="V28" i="95"/>
  <c r="V34" i="95"/>
  <c r="V40" i="95"/>
  <c r="H66" i="149"/>
  <c r="D66" i="150"/>
  <c r="G66" i="152"/>
  <c r="D70" i="149"/>
  <c r="G67" i="152"/>
  <c r="J67" i="152" s="1"/>
  <c r="F67" i="149"/>
  <c r="D67" i="150"/>
  <c r="H67" i="150" s="1"/>
  <c r="H67" i="149"/>
  <c r="G68" i="152"/>
  <c r="J68" i="152" s="1"/>
  <c r="H68" i="149"/>
  <c r="D68" i="150"/>
  <c r="H68" i="150" s="1"/>
  <c r="F68" i="149"/>
  <c r="G69" i="152"/>
  <c r="J69" i="152" s="1"/>
  <c r="H69" i="149"/>
  <c r="D69" i="150"/>
  <c r="H69" i="150" s="1"/>
  <c r="F69" i="149"/>
  <c r="G70" i="149"/>
  <c r="V16" i="67"/>
  <c r="V22" i="67"/>
  <c r="V28" i="67"/>
  <c r="V34" i="67"/>
  <c r="V40" i="67"/>
  <c r="D40" i="150"/>
  <c r="G40" i="152"/>
  <c r="D45" i="149"/>
  <c r="H40" i="149"/>
  <c r="G41" i="152"/>
  <c r="J41" i="152" s="1"/>
  <c r="F41" i="149"/>
  <c r="H41" i="149"/>
  <c r="D41" i="150"/>
  <c r="H41" i="150" s="1"/>
  <c r="G42" i="152"/>
  <c r="J42" i="152" s="1"/>
  <c r="D42" i="150"/>
  <c r="H42" i="150" s="1"/>
  <c r="F42" i="149"/>
  <c r="H42" i="149"/>
  <c r="D43" i="150"/>
  <c r="H43" i="150" s="1"/>
  <c r="G43" i="152"/>
  <c r="J43" i="152" s="1"/>
  <c r="H43" i="149"/>
  <c r="F43" i="149"/>
  <c r="F44" i="149"/>
  <c r="D44" i="150"/>
  <c r="H44" i="150" s="1"/>
  <c r="G44" i="152"/>
  <c r="J44" i="152" s="1"/>
  <c r="H44" i="149"/>
  <c r="G45" i="149"/>
  <c r="F44" i="44"/>
  <c r="V13" i="44"/>
  <c r="V16" i="44" s="1"/>
  <c r="V22" i="44"/>
  <c r="V28" i="44"/>
  <c r="V34" i="44"/>
  <c r="V40" i="44"/>
  <c r="E226" i="150"/>
  <c r="H226" i="152"/>
  <c r="K226" i="152" s="1"/>
  <c r="I226" i="149"/>
  <c r="S218" i="149"/>
  <c r="O223" i="149"/>
  <c r="H222" i="152"/>
  <c r="K222" i="152" s="1"/>
  <c r="I222" i="149"/>
  <c r="E222" i="150"/>
  <c r="H214" i="152"/>
  <c r="K214" i="152" s="1"/>
  <c r="I214" i="149"/>
  <c r="E214" i="150"/>
  <c r="H206" i="152"/>
  <c r="K206" i="152" s="1"/>
  <c r="E206" i="150"/>
  <c r="I206" i="149"/>
  <c r="H198" i="152"/>
  <c r="K198" i="152" s="1"/>
  <c r="I198" i="149"/>
  <c r="E198" i="150"/>
  <c r="S190" i="149"/>
  <c r="O195" i="149"/>
  <c r="H194" i="152"/>
  <c r="K194" i="152" s="1"/>
  <c r="E194" i="150"/>
  <c r="I194" i="149"/>
  <c r="S177" i="149"/>
  <c r="O182" i="149"/>
  <c r="J178" i="149"/>
  <c r="H178" i="152"/>
  <c r="K178" i="152" s="1"/>
  <c r="E178" i="150"/>
  <c r="I178" i="149"/>
  <c r="H179" i="152"/>
  <c r="K179" i="152" s="1"/>
  <c r="I179" i="149"/>
  <c r="E179" i="150"/>
  <c r="H180" i="152"/>
  <c r="K180" i="152" s="1"/>
  <c r="E180" i="150"/>
  <c r="I180" i="149"/>
  <c r="H181" i="152"/>
  <c r="K181" i="152" s="1"/>
  <c r="E181" i="150"/>
  <c r="I181" i="149"/>
  <c r="O175" i="149"/>
  <c r="S170" i="149"/>
  <c r="H171" i="152"/>
  <c r="K171" i="152" s="1"/>
  <c r="I171" i="149"/>
  <c r="E171" i="150"/>
  <c r="H172" i="152"/>
  <c r="K172" i="152" s="1"/>
  <c r="E172" i="150"/>
  <c r="I172" i="149"/>
  <c r="H173" i="152"/>
  <c r="K173" i="152" s="1"/>
  <c r="I173" i="149"/>
  <c r="E173" i="150"/>
  <c r="H174" i="152"/>
  <c r="K174" i="152" s="1"/>
  <c r="I174" i="149"/>
  <c r="E174" i="150"/>
  <c r="O168" i="149"/>
  <c r="S163" i="149"/>
  <c r="E164" i="150"/>
  <c r="H164" i="152"/>
  <c r="K164" i="152" s="1"/>
  <c r="I164" i="149"/>
  <c r="H165" i="152"/>
  <c r="K165" i="152" s="1"/>
  <c r="E165" i="150"/>
  <c r="I165" i="149"/>
  <c r="S149" i="149"/>
  <c r="O154" i="149"/>
  <c r="H153" i="152"/>
  <c r="K153" i="152" s="1"/>
  <c r="I153" i="149"/>
  <c r="E153" i="150"/>
  <c r="E144" i="150"/>
  <c r="H144" i="152"/>
  <c r="K144" i="152" s="1"/>
  <c r="I144" i="149"/>
  <c r="E136" i="150"/>
  <c r="H136" i="152"/>
  <c r="K136" i="152" s="1"/>
  <c r="I136" i="149"/>
  <c r="R54" i="47"/>
  <c r="R52" i="48"/>
  <c r="R51" i="67"/>
  <c r="R52" i="98"/>
  <c r="R56" i="49"/>
  <c r="R60" i="49"/>
  <c r="R57" i="123"/>
  <c r="R59" i="60"/>
  <c r="R58" i="61"/>
  <c r="R60" i="123"/>
  <c r="G228" i="152"/>
  <c r="J228" i="152" s="1"/>
  <c r="H228" i="149"/>
  <c r="D228" i="150"/>
  <c r="H228" i="150" s="1"/>
  <c r="F228" i="149"/>
  <c r="F51" i="123"/>
  <c r="V14" i="123"/>
  <c r="G22" i="152"/>
  <c r="J22" i="152" s="1"/>
  <c r="H22" i="149"/>
  <c r="F22" i="149"/>
  <c r="D22" i="150"/>
  <c r="H22" i="150" s="1"/>
  <c r="G23" i="152"/>
  <c r="J23" i="152" s="1"/>
  <c r="D23" i="150"/>
  <c r="H23" i="150" s="1"/>
  <c r="F23" i="149"/>
  <c r="H23" i="149"/>
  <c r="G24" i="149"/>
  <c r="F52" i="123"/>
  <c r="V15" i="123"/>
  <c r="V24" i="119"/>
  <c r="V24" i="91"/>
  <c r="G226" i="152"/>
  <c r="J226" i="152" s="1"/>
  <c r="H226" i="149"/>
  <c r="D226" i="150"/>
  <c r="H226" i="150" s="1"/>
  <c r="F226" i="149"/>
  <c r="V24" i="90"/>
  <c r="D219" i="150"/>
  <c r="H219" i="150" s="1"/>
  <c r="G219" i="152"/>
  <c r="J219" i="152" s="1"/>
  <c r="F219" i="149"/>
  <c r="H219" i="149"/>
  <c r="V24" i="70"/>
  <c r="G212" i="152"/>
  <c r="J212" i="152" s="1"/>
  <c r="F212" i="149"/>
  <c r="D212" i="150"/>
  <c r="H212" i="150" s="1"/>
  <c r="H212" i="149"/>
  <c r="V24" i="66"/>
  <c r="G205" i="152"/>
  <c r="J205" i="152" s="1"/>
  <c r="F205" i="149"/>
  <c r="D205" i="150"/>
  <c r="H205" i="150" s="1"/>
  <c r="H205" i="149"/>
  <c r="V24" i="64"/>
  <c r="G198" i="152"/>
  <c r="J198" i="152" s="1"/>
  <c r="H198" i="149"/>
  <c r="D198" i="150"/>
  <c r="H198" i="150" s="1"/>
  <c r="F198" i="149"/>
  <c r="V24" i="62"/>
  <c r="G191" i="152"/>
  <c r="J191" i="152" s="1"/>
  <c r="F191" i="149"/>
  <c r="H191" i="149"/>
  <c r="D191" i="150"/>
  <c r="H191" i="150" s="1"/>
  <c r="G177" i="152"/>
  <c r="H177" i="149"/>
  <c r="D182" i="149"/>
  <c r="D177" i="150"/>
  <c r="G178" i="152"/>
  <c r="J178" i="152" s="1"/>
  <c r="D178" i="150"/>
  <c r="H178" i="150" s="1"/>
  <c r="H178" i="149"/>
  <c r="F178" i="149"/>
  <c r="D179" i="150"/>
  <c r="H179" i="150" s="1"/>
  <c r="F179" i="149"/>
  <c r="G179" i="152"/>
  <c r="J179" i="152" s="1"/>
  <c r="H179" i="149"/>
  <c r="D180" i="150"/>
  <c r="H180" i="150" s="1"/>
  <c r="G180" i="152"/>
  <c r="J180" i="152" s="1"/>
  <c r="H180" i="149"/>
  <c r="F180" i="149"/>
  <c r="H181" i="149"/>
  <c r="D181" i="150"/>
  <c r="H181" i="150" s="1"/>
  <c r="G181" i="152"/>
  <c r="J181" i="152" s="1"/>
  <c r="F181" i="149"/>
  <c r="G182" i="149"/>
  <c r="V24" i="88"/>
  <c r="V31" i="88"/>
  <c r="V38" i="88"/>
  <c r="V45" i="88"/>
  <c r="D163" i="150"/>
  <c r="G163" i="152"/>
  <c r="H163" i="149"/>
  <c r="D168" i="149"/>
  <c r="G164" i="152"/>
  <c r="J164" i="152" s="1"/>
  <c r="D164" i="150"/>
  <c r="H164" i="150" s="1"/>
  <c r="F164" i="149"/>
  <c r="H164" i="149"/>
  <c r="G165" i="152"/>
  <c r="J165" i="152" s="1"/>
  <c r="D165" i="150"/>
  <c r="H165" i="150" s="1"/>
  <c r="F165" i="149"/>
  <c r="H165" i="149"/>
  <c r="V45" i="87"/>
  <c r="H50" i="87"/>
  <c r="L50" i="87"/>
  <c r="G168" i="149"/>
  <c r="P50" i="87"/>
  <c r="D156" i="150"/>
  <c r="G156" i="152"/>
  <c r="H156" i="149"/>
  <c r="D161" i="149"/>
  <c r="G157" i="152"/>
  <c r="J157" i="152" s="1"/>
  <c r="D157" i="150"/>
  <c r="H157" i="150" s="1"/>
  <c r="F157" i="149"/>
  <c r="H157" i="149"/>
  <c r="G158" i="152"/>
  <c r="J158" i="152" s="1"/>
  <c r="D158" i="150"/>
  <c r="H158" i="150" s="1"/>
  <c r="H158" i="149"/>
  <c r="F158" i="149"/>
  <c r="G159" i="152"/>
  <c r="J159" i="152" s="1"/>
  <c r="D159" i="150"/>
  <c r="H159" i="150" s="1"/>
  <c r="H159" i="149"/>
  <c r="F159" i="149"/>
  <c r="D160" i="150"/>
  <c r="H160" i="150" s="1"/>
  <c r="G160" i="152"/>
  <c r="J160" i="152" s="1"/>
  <c r="H160" i="149"/>
  <c r="F160" i="149"/>
  <c r="G161" i="149"/>
  <c r="V31" i="61"/>
  <c r="G151" i="152"/>
  <c r="J151" i="152" s="1"/>
  <c r="H151" i="149"/>
  <c r="D151" i="150"/>
  <c r="H151" i="150" s="1"/>
  <c r="F151" i="149"/>
  <c r="V45" i="60"/>
  <c r="G146" i="152"/>
  <c r="J146" i="152" s="1"/>
  <c r="H146" i="149"/>
  <c r="D146" i="150"/>
  <c r="H146" i="150" s="1"/>
  <c r="F146" i="149"/>
  <c r="V31" i="49"/>
  <c r="G137" i="152"/>
  <c r="J137" i="152" s="1"/>
  <c r="F137" i="149"/>
  <c r="D137" i="150"/>
  <c r="H137" i="150" s="1"/>
  <c r="H137" i="149"/>
  <c r="V16" i="84"/>
  <c r="V22" i="84"/>
  <c r="V28" i="84"/>
  <c r="V34" i="84"/>
  <c r="V40" i="84"/>
  <c r="G72" i="152"/>
  <c r="H72" i="149"/>
  <c r="D72" i="150"/>
  <c r="D76" i="149"/>
  <c r="G73" i="152"/>
  <c r="J73" i="152" s="1"/>
  <c r="H73" i="149"/>
  <c r="D73" i="150"/>
  <c r="H73" i="150" s="1"/>
  <c r="F73" i="149"/>
  <c r="G74" i="152"/>
  <c r="J74" i="152" s="1"/>
  <c r="H74" i="149"/>
  <c r="F74" i="149"/>
  <c r="D74" i="150"/>
  <c r="H74" i="150" s="1"/>
  <c r="G75" i="152"/>
  <c r="J75" i="152" s="1"/>
  <c r="F75" i="149"/>
  <c r="D75" i="150"/>
  <c r="H75" i="150" s="1"/>
  <c r="H75" i="149"/>
  <c r="G76" i="149"/>
  <c r="V16" i="99"/>
  <c r="V22" i="99"/>
  <c r="V28" i="99"/>
  <c r="V34" i="99"/>
  <c r="V40" i="99"/>
  <c r="D47" i="150"/>
  <c r="G47" i="152"/>
  <c r="D52" i="149"/>
  <c r="H47" i="149"/>
  <c r="D48" i="150"/>
  <c r="H48" i="150" s="1"/>
  <c r="H48" i="149"/>
  <c r="G48" i="152"/>
  <c r="J48" i="152" s="1"/>
  <c r="F48" i="149"/>
  <c r="G49" i="152"/>
  <c r="J49" i="152" s="1"/>
  <c r="H49" i="149"/>
  <c r="D49" i="150"/>
  <c r="H49" i="150" s="1"/>
  <c r="F49" i="149"/>
  <c r="H50" i="149"/>
  <c r="D50" i="150"/>
  <c r="H50" i="150" s="1"/>
  <c r="G50" i="152"/>
  <c r="J50" i="152" s="1"/>
  <c r="F50" i="149"/>
  <c r="G51" i="152"/>
  <c r="J51" i="152" s="1"/>
  <c r="F51" i="149"/>
  <c r="D51" i="150"/>
  <c r="H51" i="150" s="1"/>
  <c r="H51" i="149"/>
  <c r="G52" i="149"/>
  <c r="V16" i="45"/>
  <c r="V22" i="45"/>
  <c r="V28" i="45"/>
  <c r="V34" i="45"/>
  <c r="V40" i="45"/>
  <c r="S19" i="149"/>
  <c r="O24" i="149"/>
  <c r="H20" i="152"/>
  <c r="K20" i="152" s="1"/>
  <c r="I20" i="149"/>
  <c r="E20" i="150"/>
  <c r="H21" i="152"/>
  <c r="K21" i="152" s="1"/>
  <c r="E21" i="150"/>
  <c r="I21" i="149"/>
  <c r="H22" i="152"/>
  <c r="K22" i="152" s="1"/>
  <c r="I22" i="149"/>
  <c r="E22" i="150"/>
  <c r="H23" i="152"/>
  <c r="K23" i="152" s="1"/>
  <c r="E23" i="150"/>
  <c r="I23" i="149"/>
  <c r="E227" i="150"/>
  <c r="H227" i="152"/>
  <c r="K227" i="152" s="1"/>
  <c r="I227" i="149"/>
  <c r="E219" i="150"/>
  <c r="H219" i="152"/>
  <c r="K219" i="152" s="1"/>
  <c r="I219" i="149"/>
  <c r="O216" i="149"/>
  <c r="S211" i="149"/>
  <c r="E215" i="150"/>
  <c r="H215" i="152"/>
  <c r="K215" i="152" s="1"/>
  <c r="I215" i="149"/>
  <c r="E207" i="150"/>
  <c r="H207" i="152"/>
  <c r="K207" i="152" s="1"/>
  <c r="I207" i="149"/>
  <c r="H199" i="152"/>
  <c r="K199" i="152" s="1"/>
  <c r="E199" i="150"/>
  <c r="I199" i="149"/>
  <c r="H191" i="152"/>
  <c r="K191" i="152" s="1"/>
  <c r="E191" i="150"/>
  <c r="I191" i="149"/>
  <c r="H150" i="152"/>
  <c r="K150" i="152" s="1"/>
  <c r="I150" i="149"/>
  <c r="E150" i="150"/>
  <c r="S142" i="149"/>
  <c r="O147" i="149"/>
  <c r="E145" i="150"/>
  <c r="H145" i="152"/>
  <c r="K145" i="152" s="1"/>
  <c r="I145" i="149"/>
  <c r="E137" i="150"/>
  <c r="H137" i="152"/>
  <c r="K137" i="152" s="1"/>
  <c r="I137" i="149"/>
  <c r="R54" i="44"/>
  <c r="R52" i="45"/>
  <c r="R51" i="47"/>
  <c r="R52" i="67"/>
  <c r="R57" i="49"/>
  <c r="R58" i="62"/>
  <c r="R58" i="90"/>
  <c r="R61" i="123"/>
  <c r="F50" i="123"/>
  <c r="V13" i="123"/>
  <c r="G19" i="152"/>
  <c r="D24" i="149"/>
  <c r="D19" i="150"/>
  <c r="H19" i="150" s="1"/>
  <c r="H19" i="149"/>
  <c r="G20" i="152"/>
  <c r="J20" i="152" s="1"/>
  <c r="D20" i="150"/>
  <c r="H20" i="150" s="1"/>
  <c r="H20" i="149"/>
  <c r="F20" i="149"/>
  <c r="G21" i="152"/>
  <c r="J21" i="152" s="1"/>
  <c r="H21" i="149"/>
  <c r="D21" i="150"/>
  <c r="H21" i="150" s="1"/>
  <c r="F21" i="149"/>
  <c r="V40" i="1"/>
  <c r="V31" i="119"/>
  <c r="V31" i="91"/>
  <c r="G227" i="152"/>
  <c r="J227" i="152" s="1"/>
  <c r="D227" i="150"/>
  <c r="H227" i="150" s="1"/>
  <c r="H227" i="149"/>
  <c r="F227" i="149"/>
  <c r="V31" i="90"/>
  <c r="G220" i="152"/>
  <c r="J220" i="152" s="1"/>
  <c r="H220" i="149"/>
  <c r="D220" i="150"/>
  <c r="H220" i="150" s="1"/>
  <c r="F220" i="149"/>
  <c r="V31" i="70"/>
  <c r="G213" i="152"/>
  <c r="J213" i="152" s="1"/>
  <c r="H213" i="149"/>
  <c r="F213" i="149"/>
  <c r="D213" i="150"/>
  <c r="H213" i="150" s="1"/>
  <c r="V31" i="66"/>
  <c r="G206" i="152"/>
  <c r="J206" i="152" s="1"/>
  <c r="F206" i="149"/>
  <c r="D206" i="150"/>
  <c r="H206" i="150" s="1"/>
  <c r="H206" i="149"/>
  <c r="V31" i="64"/>
  <c r="G199" i="152"/>
  <c r="J199" i="152" s="1"/>
  <c r="H199" i="149"/>
  <c r="F199" i="149"/>
  <c r="D199" i="150"/>
  <c r="H199" i="150" s="1"/>
  <c r="V31" i="62"/>
  <c r="D192" i="150"/>
  <c r="H192" i="150" s="1"/>
  <c r="G192" i="152"/>
  <c r="J192" i="152" s="1"/>
  <c r="H192" i="149"/>
  <c r="F192" i="149"/>
  <c r="V17" i="89"/>
  <c r="V24" i="89"/>
  <c r="V31" i="89"/>
  <c r="V38" i="89"/>
  <c r="V45" i="89"/>
  <c r="F50" i="88"/>
  <c r="V14" i="88"/>
  <c r="V17" i="88" s="1"/>
  <c r="F49" i="87"/>
  <c r="V13" i="87"/>
  <c r="V24" i="87"/>
  <c r="V31" i="87"/>
  <c r="V38" i="87"/>
  <c r="V24" i="86"/>
  <c r="V31" i="86"/>
  <c r="V38" i="86"/>
  <c r="V45" i="86"/>
  <c r="V38" i="61"/>
  <c r="G152" i="152"/>
  <c r="J152" i="152" s="1"/>
  <c r="D152" i="150"/>
  <c r="H152" i="150" s="1"/>
  <c r="F152" i="149"/>
  <c r="H152" i="149"/>
  <c r="V24" i="60"/>
  <c r="G143" i="152"/>
  <c r="J143" i="152" s="1"/>
  <c r="H143" i="149"/>
  <c r="D143" i="150"/>
  <c r="H143" i="150" s="1"/>
  <c r="F143" i="149"/>
  <c r="V17" i="49"/>
  <c r="V38" i="49"/>
  <c r="G138" i="152"/>
  <c r="J138" i="152" s="1"/>
  <c r="D138" i="150"/>
  <c r="H138" i="150" s="1"/>
  <c r="H138" i="149"/>
  <c r="F138" i="149"/>
  <c r="D78" i="150"/>
  <c r="G78" i="152"/>
  <c r="H78" i="149"/>
  <c r="D82" i="149"/>
  <c r="D79" i="150"/>
  <c r="H79" i="150" s="1"/>
  <c r="G79" i="152"/>
  <c r="J79" i="152" s="1"/>
  <c r="H79" i="149"/>
  <c r="F79" i="149"/>
  <c r="G80" i="152"/>
  <c r="J80" i="152" s="1"/>
  <c r="F80" i="149"/>
  <c r="D80" i="150"/>
  <c r="H80" i="150" s="1"/>
  <c r="H80" i="149"/>
  <c r="G81" i="152"/>
  <c r="J81" i="152" s="1"/>
  <c r="D81" i="150"/>
  <c r="H81" i="150" s="1"/>
  <c r="H81" i="149"/>
  <c r="F81" i="149"/>
  <c r="G82" i="149"/>
  <c r="V16" i="98"/>
  <c r="V22" i="98"/>
  <c r="V28" i="98"/>
  <c r="V34" i="98"/>
  <c r="V40" i="98"/>
  <c r="H60" i="149"/>
  <c r="G60" i="152"/>
  <c r="D60" i="150"/>
  <c r="D64" i="149"/>
  <c r="H61" i="149"/>
  <c r="D61" i="150"/>
  <c r="H61" i="150" s="1"/>
  <c r="G61" i="152"/>
  <c r="J61" i="152" s="1"/>
  <c r="F61" i="149"/>
  <c r="F62" i="149"/>
  <c r="G62" i="152"/>
  <c r="J62" i="152" s="1"/>
  <c r="D62" i="150"/>
  <c r="H62" i="150" s="1"/>
  <c r="H62" i="149"/>
  <c r="D63" i="150"/>
  <c r="H63" i="150" s="1"/>
  <c r="G63" i="152"/>
  <c r="J63" i="152" s="1"/>
  <c r="H63" i="149"/>
  <c r="F63" i="149"/>
  <c r="G64" i="149"/>
  <c r="V16" i="47"/>
  <c r="V22" i="47"/>
  <c r="V28" i="47"/>
  <c r="V34" i="47"/>
  <c r="V40" i="47"/>
  <c r="G26" i="152"/>
  <c r="D26" i="150"/>
  <c r="H26" i="150" s="1"/>
  <c r="H26" i="149"/>
  <c r="D31" i="149"/>
  <c r="G27" i="152"/>
  <c r="J27" i="152" s="1"/>
  <c r="D27" i="150"/>
  <c r="H27" i="150" s="1"/>
  <c r="H27" i="149"/>
  <c r="F27" i="149"/>
  <c r="G28" i="152"/>
  <c r="J28" i="152" s="1"/>
  <c r="H28" i="149"/>
  <c r="F28" i="149"/>
  <c r="D28" i="150"/>
  <c r="H28" i="150" s="1"/>
  <c r="G29" i="152"/>
  <c r="J29" i="152" s="1"/>
  <c r="D29" i="150"/>
  <c r="H29" i="150" s="1"/>
  <c r="F29" i="149"/>
  <c r="H29" i="149"/>
  <c r="G30" i="152"/>
  <c r="J30" i="152" s="1"/>
  <c r="D30" i="150"/>
  <c r="H30" i="150" s="1"/>
  <c r="F30" i="149"/>
  <c r="H30" i="149"/>
  <c r="G31" i="149"/>
  <c r="H228" i="152"/>
  <c r="K228" i="152" s="1"/>
  <c r="E228" i="150"/>
  <c r="I228" i="149"/>
  <c r="E220" i="150"/>
  <c r="H220" i="152"/>
  <c r="K220" i="152" s="1"/>
  <c r="I220" i="149"/>
  <c r="E212" i="150"/>
  <c r="H212" i="152"/>
  <c r="K212" i="152" s="1"/>
  <c r="I212" i="149"/>
  <c r="O209" i="149"/>
  <c r="S204" i="149"/>
  <c r="H208" i="152"/>
  <c r="K208" i="152" s="1"/>
  <c r="E208" i="150"/>
  <c r="I208" i="149"/>
  <c r="H200" i="152"/>
  <c r="K200" i="152" s="1"/>
  <c r="E200" i="150"/>
  <c r="I200" i="149"/>
  <c r="H192" i="152"/>
  <c r="K192" i="152" s="1"/>
  <c r="E192" i="150"/>
  <c r="I192" i="149"/>
  <c r="Q50" i="61"/>
  <c r="Q49" i="61"/>
  <c r="E151" i="150"/>
  <c r="H151" i="152"/>
  <c r="K151" i="152" s="1"/>
  <c r="H146" i="152"/>
  <c r="K146" i="152" s="1"/>
  <c r="I146" i="149"/>
  <c r="E146" i="150"/>
  <c r="Q52" i="49"/>
  <c r="H138" i="152"/>
  <c r="K138" i="152" s="1"/>
  <c r="I138" i="149"/>
  <c r="E138" i="150"/>
  <c r="R52" i="1"/>
  <c r="R52" i="41"/>
  <c r="R51" i="44"/>
  <c r="R52" i="47"/>
  <c r="R58" i="49"/>
  <c r="R58" i="64"/>
  <c r="R58" i="91"/>
  <c r="R58" i="123"/>
  <c r="R59" i="89"/>
  <c r="R60" i="89"/>
  <c r="Q52" i="87"/>
  <c r="R60" i="86"/>
  <c r="R59" i="86"/>
  <c r="V110" i="76"/>
  <c r="V115" i="76"/>
  <c r="Q52" i="70"/>
  <c r="Q51" i="1"/>
  <c r="R51" i="1" s="1"/>
  <c r="R54" i="98"/>
  <c r="R52" i="97"/>
  <c r="R58" i="89"/>
  <c r="R58" i="70"/>
  <c r="R58" i="88"/>
  <c r="R58" i="66"/>
  <c r="R58" i="119"/>
  <c r="R51" i="95"/>
  <c r="R54" i="95"/>
  <c r="R52" i="84"/>
  <c r="R58" i="87"/>
  <c r="R57" i="88"/>
  <c r="R60" i="88"/>
  <c r="R59" i="61"/>
  <c r="R58" i="86"/>
  <c r="R57" i="89"/>
  <c r="R59" i="64"/>
  <c r="R59" i="70"/>
  <c r="R59" i="91"/>
  <c r="R54" i="1"/>
  <c r="R53" i="41"/>
  <c r="R53" i="45"/>
  <c r="R53" i="48"/>
  <c r="R53" i="99"/>
  <c r="R53" i="97"/>
  <c r="R53" i="84"/>
  <c r="R59" i="87"/>
  <c r="R57" i="60"/>
  <c r="R57" i="61"/>
  <c r="R60" i="61"/>
  <c r="R57" i="64"/>
  <c r="R60" i="64"/>
  <c r="R57" i="70"/>
  <c r="R60" i="70"/>
  <c r="R57" i="91"/>
  <c r="R60" i="91"/>
  <c r="Q52" i="119"/>
  <c r="Q51" i="119"/>
  <c r="Q50" i="119"/>
  <c r="Q51" i="91"/>
  <c r="Q50" i="91"/>
  <c r="Q50" i="90"/>
  <c r="Q49" i="90"/>
  <c r="Q52" i="90"/>
  <c r="Q49" i="70"/>
  <c r="Q51" i="70"/>
  <c r="Q50" i="70"/>
  <c r="Q51" i="66"/>
  <c r="Q50" i="66"/>
  <c r="Q49" i="66"/>
  <c r="Q51" i="64"/>
  <c r="Q50" i="64"/>
  <c r="Q50" i="62"/>
  <c r="Q49" i="62"/>
  <c r="Q52" i="62"/>
  <c r="Q52" i="61"/>
  <c r="Q51" i="61"/>
  <c r="Q52" i="60"/>
  <c r="Q50" i="60"/>
  <c r="Q49" i="60"/>
  <c r="Q51" i="60"/>
  <c r="Q50" i="49"/>
  <c r="Q49" i="49"/>
  <c r="Q51" i="49"/>
  <c r="R51" i="41"/>
  <c r="R54" i="41"/>
  <c r="R51" i="45"/>
  <c r="R54" i="45"/>
  <c r="R51" i="48"/>
  <c r="R54" i="48"/>
  <c r="R51" i="99"/>
  <c r="R54" i="99"/>
  <c r="R51" i="97"/>
  <c r="R54" i="97"/>
  <c r="R51" i="84"/>
  <c r="R54" i="84"/>
  <c r="R57" i="87"/>
  <c r="R60" i="87"/>
  <c r="R57" i="86"/>
  <c r="R59" i="62"/>
  <c r="R59" i="66"/>
  <c r="R59" i="90"/>
  <c r="R59" i="119"/>
  <c r="Q51" i="90"/>
  <c r="Q51" i="62"/>
  <c r="Q45" i="67"/>
  <c r="R53" i="44"/>
  <c r="R53" i="47"/>
  <c r="R53" i="67"/>
  <c r="R53" i="98"/>
  <c r="R53" i="95"/>
  <c r="R59" i="88"/>
  <c r="R60" i="60"/>
  <c r="R57" i="62"/>
  <c r="R60" i="62"/>
  <c r="R57" i="66"/>
  <c r="R60" i="66"/>
  <c r="R57" i="90"/>
  <c r="R60" i="90"/>
  <c r="R57" i="119"/>
  <c r="R60" i="119"/>
  <c r="Q63" i="123"/>
  <c r="R56" i="119"/>
  <c r="Q61" i="119"/>
  <c r="R56" i="91"/>
  <c r="Q61" i="91"/>
  <c r="R56" i="90"/>
  <c r="Q61" i="90"/>
  <c r="R56" i="70"/>
  <c r="Q61" i="70"/>
  <c r="R56" i="66"/>
  <c r="Q61" i="66"/>
  <c r="R56" i="64"/>
  <c r="Q61" i="64"/>
  <c r="R56" i="62"/>
  <c r="Q61" i="62"/>
  <c r="R56" i="89"/>
  <c r="Q61" i="89"/>
  <c r="R56" i="86"/>
  <c r="Q61" i="86"/>
  <c r="R56" i="61"/>
  <c r="Q61" i="61"/>
  <c r="R56" i="60"/>
  <c r="Q61" i="60"/>
  <c r="R56" i="88"/>
  <c r="Q61" i="88"/>
  <c r="R56" i="87"/>
  <c r="Q61" i="87"/>
  <c r="Q61" i="49"/>
  <c r="R50" i="84"/>
  <c r="R50" i="95"/>
  <c r="Q55" i="95"/>
  <c r="R50" i="97"/>
  <c r="Q55" i="97"/>
  <c r="R50" i="98"/>
  <c r="Q55" i="98"/>
  <c r="R50" i="99"/>
  <c r="Q55" i="99"/>
  <c r="R50" i="67"/>
  <c r="Q55" i="67"/>
  <c r="R50" i="48"/>
  <c r="Q55" i="48"/>
  <c r="R50" i="47"/>
  <c r="Q55" i="47"/>
  <c r="R50" i="45"/>
  <c r="Q55" i="45"/>
  <c r="R50" i="44"/>
  <c r="Q55" i="44"/>
  <c r="R50" i="41"/>
  <c r="Q55" i="41"/>
  <c r="R53" i="1"/>
  <c r="R50" i="1"/>
  <c r="H24" i="150" l="1"/>
  <c r="V157" i="76"/>
  <c r="Q47" i="45"/>
  <c r="Q56" i="45" s="1"/>
  <c r="Q56" i="84"/>
  <c r="Q47" i="47"/>
  <c r="Q56" i="47" s="1"/>
  <c r="Q47" i="99"/>
  <c r="Q56" i="99" s="1"/>
  <c r="V158" i="76"/>
  <c r="V160" i="76"/>
  <c r="V159" i="76"/>
  <c r="Q47" i="41"/>
  <c r="Q56" i="41" s="1"/>
  <c r="Q47" i="97"/>
  <c r="Q56" i="97" s="1"/>
  <c r="V172" i="76"/>
  <c r="Q47" i="95"/>
  <c r="Q56" i="95" s="1"/>
  <c r="V171" i="76"/>
  <c r="V173" i="76"/>
  <c r="U174" i="76"/>
  <c r="R174" i="76"/>
  <c r="V174" i="76" s="1"/>
  <c r="Q53" i="86"/>
  <c r="Q62" i="86" s="1"/>
  <c r="H47" i="44"/>
  <c r="Q53" i="88"/>
  <c r="Q62" i="88" s="1"/>
  <c r="Q47" i="1"/>
  <c r="G44" i="44"/>
  <c r="P54" i="123"/>
  <c r="Q47" i="48"/>
  <c r="Q56" i="48" s="1"/>
  <c r="Q47" i="67"/>
  <c r="Q56" i="67" s="1"/>
  <c r="Q53" i="89"/>
  <c r="Q62" i="89" s="1"/>
  <c r="Q47" i="44"/>
  <c r="Q56" i="44" s="1"/>
  <c r="N54" i="123"/>
  <c r="J54" i="123"/>
  <c r="Q54" i="123"/>
  <c r="Q64" i="123" s="1"/>
  <c r="H54" i="123"/>
  <c r="L54" i="123"/>
  <c r="Q53" i="87"/>
  <c r="Q62" i="87" s="1"/>
  <c r="Q47" i="98"/>
  <c r="Q56" i="98" s="1"/>
  <c r="R61" i="90"/>
  <c r="R61" i="64"/>
  <c r="Q53" i="49"/>
  <c r="Q62" i="49" s="1"/>
  <c r="Q53" i="66"/>
  <c r="Q62" i="66" s="1"/>
  <c r="F53" i="87"/>
  <c r="Q53" i="64"/>
  <c r="Q62" i="64" s="1"/>
  <c r="Q53" i="70"/>
  <c r="Q62" i="70" s="1"/>
  <c r="Q53" i="90"/>
  <c r="Q62" i="90" s="1"/>
  <c r="Q53" i="61"/>
  <c r="Q62" i="61" s="1"/>
  <c r="R61" i="49"/>
  <c r="R55" i="67"/>
  <c r="R55" i="98"/>
  <c r="R61" i="60"/>
  <c r="R61" i="62"/>
  <c r="Q53" i="60"/>
  <c r="Q62" i="60" s="1"/>
  <c r="Q53" i="62"/>
  <c r="Q62" i="62" s="1"/>
  <c r="Q53" i="119"/>
  <c r="Q62" i="119" s="1"/>
  <c r="R55" i="41"/>
  <c r="R55" i="45"/>
  <c r="R55" i="48"/>
  <c r="R55" i="99"/>
  <c r="R55" i="97"/>
  <c r="R55" i="84"/>
  <c r="Q53" i="91"/>
  <c r="Q62" i="91" s="1"/>
  <c r="R63" i="123"/>
  <c r="V16" i="123"/>
  <c r="D24" i="150"/>
  <c r="J163" i="152"/>
  <c r="J168" i="152" s="1"/>
  <c r="G168" i="152"/>
  <c r="D45" i="150"/>
  <c r="H40" i="150"/>
  <c r="H45" i="150" s="1"/>
  <c r="J170" i="152"/>
  <c r="J175" i="152" s="1"/>
  <c r="G175" i="152"/>
  <c r="J190" i="152"/>
  <c r="J195" i="152" s="1"/>
  <c r="G195" i="152"/>
  <c r="J197" i="152"/>
  <c r="J202" i="152" s="1"/>
  <c r="G202" i="152"/>
  <c r="H216" i="149"/>
  <c r="H223" i="149"/>
  <c r="H230" i="149"/>
  <c r="J225" i="152"/>
  <c r="J230" i="152" s="1"/>
  <c r="G230" i="152"/>
  <c r="S31" i="149"/>
  <c r="E26" i="149"/>
  <c r="E40" i="149"/>
  <c r="S45" i="149"/>
  <c r="E66" i="149"/>
  <c r="S70" i="149"/>
  <c r="O186" i="149"/>
  <c r="E156" i="149"/>
  <c r="S156" i="76" s="1"/>
  <c r="U156" i="76" s="1"/>
  <c r="S161" i="149"/>
  <c r="H58" i="149"/>
  <c r="J135" i="152"/>
  <c r="J140" i="152" s="1"/>
  <c r="G140" i="152"/>
  <c r="J26" i="152"/>
  <c r="J31" i="152" s="1"/>
  <c r="G31" i="152"/>
  <c r="H78" i="150"/>
  <c r="H82" i="150" s="1"/>
  <c r="D82" i="150"/>
  <c r="E211" i="149"/>
  <c r="S216" i="149"/>
  <c r="H76" i="149"/>
  <c r="E149" i="149"/>
  <c r="S154" i="149"/>
  <c r="S223" i="149"/>
  <c r="E218" i="149"/>
  <c r="D108" i="150"/>
  <c r="D131" i="150" s="1"/>
  <c r="H103" i="150"/>
  <c r="H108" i="150" s="1"/>
  <c r="J204" i="152"/>
  <c r="J209" i="152" s="1"/>
  <c r="G209" i="152"/>
  <c r="H31" i="149"/>
  <c r="H64" i="149"/>
  <c r="H82" i="149"/>
  <c r="V17" i="87"/>
  <c r="D94" i="149"/>
  <c r="H24" i="149"/>
  <c r="H52" i="149"/>
  <c r="H72" i="150"/>
  <c r="H76" i="150" s="1"/>
  <c r="D76" i="150"/>
  <c r="J156" i="152"/>
  <c r="J161" i="152" s="1"/>
  <c r="G161" i="152"/>
  <c r="H163" i="150"/>
  <c r="H168" i="150" s="1"/>
  <c r="D168" i="150"/>
  <c r="D182" i="150"/>
  <c r="H177" i="150"/>
  <c r="H182" i="150" s="1"/>
  <c r="J177" i="152"/>
  <c r="J182" i="152" s="1"/>
  <c r="G182" i="152"/>
  <c r="S175" i="149"/>
  <c r="E170" i="149"/>
  <c r="S170" i="76" s="1"/>
  <c r="U170" i="76" s="1"/>
  <c r="E177" i="149"/>
  <c r="S177" i="76" s="1"/>
  <c r="U177" i="76" s="1"/>
  <c r="S182" i="149"/>
  <c r="O243" i="149"/>
  <c r="H70" i="149"/>
  <c r="J142" i="152"/>
  <c r="J147" i="152" s="1"/>
  <c r="G147" i="152"/>
  <c r="D243" i="149"/>
  <c r="H195" i="149"/>
  <c r="H197" i="150"/>
  <c r="H202" i="150" s="1"/>
  <c r="D202" i="150"/>
  <c r="H204" i="150"/>
  <c r="H209" i="150" s="1"/>
  <c r="D209" i="150"/>
  <c r="J211" i="152"/>
  <c r="J216" i="152" s="1"/>
  <c r="G216" i="152"/>
  <c r="D223" i="150"/>
  <c r="H218" i="150"/>
  <c r="H223" i="150" s="1"/>
  <c r="S58" i="149"/>
  <c r="E54" i="149"/>
  <c r="E84" i="149"/>
  <c r="S88" i="149"/>
  <c r="H33" i="150"/>
  <c r="H38" i="150" s="1"/>
  <c r="D38" i="150"/>
  <c r="J54" i="152"/>
  <c r="J58" i="152" s="1"/>
  <c r="G58" i="152"/>
  <c r="J84" i="152"/>
  <c r="J88" i="152" s="1"/>
  <c r="G88" i="152"/>
  <c r="D186" i="149"/>
  <c r="H140" i="149"/>
  <c r="H154" i="149"/>
  <c r="M50" i="86"/>
  <c r="K50" i="86"/>
  <c r="O50" i="86"/>
  <c r="I50" i="86"/>
  <c r="G50" i="86"/>
  <c r="E142" i="149"/>
  <c r="S147" i="149"/>
  <c r="R55" i="44"/>
  <c r="R55" i="47"/>
  <c r="R55" i="95"/>
  <c r="R61" i="61"/>
  <c r="R61" i="89"/>
  <c r="R61" i="70"/>
  <c r="R61" i="91"/>
  <c r="H60" i="150"/>
  <c r="H64" i="150" s="1"/>
  <c r="D64" i="150"/>
  <c r="J19" i="152"/>
  <c r="J24" i="152" s="1"/>
  <c r="G24" i="152"/>
  <c r="O94" i="149"/>
  <c r="O97" i="149" s="1"/>
  <c r="J47" i="152"/>
  <c r="J52" i="152" s="1"/>
  <c r="G52" i="152"/>
  <c r="H161" i="149"/>
  <c r="H156" i="150"/>
  <c r="H161" i="150" s="1"/>
  <c r="D161" i="150"/>
  <c r="H168" i="149"/>
  <c r="H182" i="149"/>
  <c r="E190" i="149"/>
  <c r="S195" i="149"/>
  <c r="H45" i="149"/>
  <c r="G70" i="152"/>
  <c r="J66" i="152"/>
  <c r="J70" i="152" s="1"/>
  <c r="D131" i="149"/>
  <c r="H108" i="149"/>
  <c r="H147" i="149"/>
  <c r="H175" i="149"/>
  <c r="G243" i="149"/>
  <c r="H190" i="150"/>
  <c r="H195" i="150" s="1"/>
  <c r="D195" i="150"/>
  <c r="D216" i="150"/>
  <c r="H211" i="150"/>
  <c r="H216" i="150" s="1"/>
  <c r="D230" i="150"/>
  <c r="H225" i="150"/>
  <c r="H230" i="150" s="1"/>
  <c r="E47" i="149"/>
  <c r="S52" i="149"/>
  <c r="E60" i="149"/>
  <c r="S64" i="149"/>
  <c r="E72" i="149"/>
  <c r="S76" i="149"/>
  <c r="S82" i="149"/>
  <c r="E78" i="149"/>
  <c r="E197" i="149"/>
  <c r="S202" i="149"/>
  <c r="D58" i="150"/>
  <c r="H54" i="150"/>
  <c r="H58" i="150" s="1"/>
  <c r="H88" i="149"/>
  <c r="H135" i="150"/>
  <c r="H140" i="150" s="1"/>
  <c r="D140" i="150"/>
  <c r="J149" i="152"/>
  <c r="J154" i="152" s="1"/>
  <c r="G154" i="152"/>
  <c r="M50" i="88"/>
  <c r="G50" i="88"/>
  <c r="K50" i="88"/>
  <c r="O50" i="88"/>
  <c r="I50" i="88"/>
  <c r="E204" i="149"/>
  <c r="S209" i="149"/>
  <c r="D31" i="150"/>
  <c r="H31" i="150"/>
  <c r="J60" i="152"/>
  <c r="J64" i="152" s="1"/>
  <c r="G64" i="152"/>
  <c r="G82" i="152"/>
  <c r="J78" i="152"/>
  <c r="J82" i="152" s="1"/>
  <c r="E19" i="149"/>
  <c r="S24" i="149"/>
  <c r="D52" i="150"/>
  <c r="H47" i="150"/>
  <c r="H52" i="150" s="1"/>
  <c r="J72" i="152"/>
  <c r="J76" i="152" s="1"/>
  <c r="G76" i="152"/>
  <c r="G94" i="149"/>
  <c r="E163" i="149"/>
  <c r="S163" i="76" s="1"/>
  <c r="S168" i="149"/>
  <c r="J40" i="152"/>
  <c r="J45" i="152" s="1"/>
  <c r="G45" i="152"/>
  <c r="H66" i="150"/>
  <c r="H70" i="150" s="1"/>
  <c r="D70" i="150"/>
  <c r="G131" i="149"/>
  <c r="J103" i="152"/>
  <c r="J108" i="152" s="1"/>
  <c r="J131" i="152" s="1"/>
  <c r="G108" i="152"/>
  <c r="G131" i="152" s="1"/>
  <c r="H142" i="150"/>
  <c r="H147" i="150" s="1"/>
  <c r="D147" i="150"/>
  <c r="D175" i="150"/>
  <c r="H170" i="150"/>
  <c r="H175" i="150" s="1"/>
  <c r="H202" i="149"/>
  <c r="H209" i="149"/>
  <c r="J218" i="152"/>
  <c r="J223" i="152" s="1"/>
  <c r="G223" i="152"/>
  <c r="E33" i="149"/>
  <c r="S38" i="149"/>
  <c r="E103" i="149"/>
  <c r="S108" i="149"/>
  <c r="S131" i="149" s="1"/>
  <c r="S140" i="149"/>
  <c r="E135" i="149"/>
  <c r="E225" i="149"/>
  <c r="S230" i="149"/>
  <c r="H38" i="149"/>
  <c r="G38" i="152"/>
  <c r="J33" i="152"/>
  <c r="J38" i="152" s="1"/>
  <c r="H84" i="150"/>
  <c r="H88" i="150" s="1"/>
  <c r="D88" i="150"/>
  <c r="G186" i="149"/>
  <c r="H149" i="150"/>
  <c r="H154" i="150" s="1"/>
  <c r="D154" i="150"/>
  <c r="I50" i="87"/>
  <c r="M50" i="87"/>
  <c r="G50" i="87"/>
  <c r="K50" i="87"/>
  <c r="O50" i="87"/>
  <c r="J115" i="150"/>
  <c r="J110" i="150"/>
  <c r="K110" i="150" s="1"/>
  <c r="K115" i="150" s="1"/>
  <c r="R61" i="88"/>
  <c r="R61" i="87"/>
  <c r="R61" i="86"/>
  <c r="Q55" i="1"/>
  <c r="R61" i="66"/>
  <c r="R61" i="119"/>
  <c r="R55" i="1"/>
  <c r="O53" i="123"/>
  <c r="J45" i="1"/>
  <c r="V156" i="76" l="1"/>
  <c r="H131" i="150"/>
  <c r="G131" i="150" s="1"/>
  <c r="V163" i="76"/>
  <c r="U163" i="76"/>
  <c r="V170" i="76"/>
  <c r="V177" i="76"/>
  <c r="R62" i="64"/>
  <c r="Q56" i="1"/>
  <c r="R56" i="1" s="1"/>
  <c r="R56" i="41"/>
  <c r="R56" i="67"/>
  <c r="R64" i="123"/>
  <c r="R56" i="97"/>
  <c r="R56" i="48"/>
  <c r="R62" i="62"/>
  <c r="R62" i="49"/>
  <c r="R56" i="95"/>
  <c r="R62" i="61"/>
  <c r="R56" i="84"/>
  <c r="R56" i="47"/>
  <c r="R62" i="91"/>
  <c r="R62" i="90"/>
  <c r="R56" i="98"/>
  <c r="R62" i="60"/>
  <c r="R62" i="89"/>
  <c r="R62" i="88"/>
  <c r="O258" i="149"/>
  <c r="O269" i="149" s="1"/>
  <c r="O272" i="149" s="1"/>
  <c r="R56" i="99"/>
  <c r="R56" i="44"/>
  <c r="R62" i="87"/>
  <c r="R62" i="70"/>
  <c r="R56" i="45"/>
  <c r="R62" i="119"/>
  <c r="S186" i="149"/>
  <c r="E33" i="150"/>
  <c r="E38" i="150" s="1"/>
  <c r="H33" i="152"/>
  <c r="E38" i="149"/>
  <c r="I33" i="149"/>
  <c r="I38" i="149" s="1"/>
  <c r="J33" i="149"/>
  <c r="F33" i="149"/>
  <c r="H94" i="149"/>
  <c r="G97" i="149"/>
  <c r="H19" i="152"/>
  <c r="E19" i="150"/>
  <c r="E24" i="150" s="1"/>
  <c r="I19" i="149"/>
  <c r="I24" i="149" s="1"/>
  <c r="E24" i="149"/>
  <c r="F19" i="149"/>
  <c r="J19" i="149"/>
  <c r="F204" i="149"/>
  <c r="E209" i="149"/>
  <c r="E204" i="150"/>
  <c r="E209" i="150" s="1"/>
  <c r="H204" i="152"/>
  <c r="I204" i="149"/>
  <c r="I209" i="149" s="1"/>
  <c r="J204" i="149"/>
  <c r="I78" i="149"/>
  <c r="I82" i="149" s="1"/>
  <c r="E78" i="150"/>
  <c r="E82" i="150" s="1"/>
  <c r="E82" i="149"/>
  <c r="H78" i="152"/>
  <c r="J78" i="149"/>
  <c r="F78" i="149"/>
  <c r="D243" i="150"/>
  <c r="E190" i="150"/>
  <c r="E195" i="150" s="1"/>
  <c r="H190" i="152"/>
  <c r="I190" i="149"/>
  <c r="I195" i="149" s="1"/>
  <c r="E195" i="149"/>
  <c r="J190" i="149"/>
  <c r="F190" i="149"/>
  <c r="J94" i="152"/>
  <c r="J97" i="152" s="1"/>
  <c r="H186" i="149"/>
  <c r="H54" i="152"/>
  <c r="I54" i="149"/>
  <c r="I58" i="149" s="1"/>
  <c r="E58" i="149"/>
  <c r="E54" i="150"/>
  <c r="E58" i="150" s="1"/>
  <c r="F54" i="149"/>
  <c r="J54" i="149"/>
  <c r="J186" i="152"/>
  <c r="E156" i="150"/>
  <c r="E161" i="150" s="1"/>
  <c r="H156" i="152"/>
  <c r="E161" i="149"/>
  <c r="S161" i="76" s="1"/>
  <c r="I156" i="149"/>
  <c r="I161" i="149" s="1"/>
  <c r="F156" i="149"/>
  <c r="J156" i="149"/>
  <c r="E66" i="150"/>
  <c r="E70" i="150" s="1"/>
  <c r="I66" i="149"/>
  <c r="I70" i="149" s="1"/>
  <c r="H66" i="152"/>
  <c r="E70" i="149"/>
  <c r="J66" i="149"/>
  <c r="F66" i="149"/>
  <c r="G258" i="149"/>
  <c r="E163" i="150"/>
  <c r="E168" i="150" s="1"/>
  <c r="I163" i="149"/>
  <c r="I168" i="149" s="1"/>
  <c r="H163" i="152"/>
  <c r="E168" i="149"/>
  <c r="S168" i="76" s="1"/>
  <c r="F163" i="149"/>
  <c r="J163" i="149"/>
  <c r="E60" i="150"/>
  <c r="E64" i="150" s="1"/>
  <c r="E64" i="149"/>
  <c r="H60" i="152"/>
  <c r="I60" i="149"/>
  <c r="I64" i="149" s="1"/>
  <c r="J60" i="149"/>
  <c r="F60" i="149"/>
  <c r="H131" i="149"/>
  <c r="D258" i="149"/>
  <c r="H177" i="152"/>
  <c r="E177" i="150"/>
  <c r="E182" i="150" s="1"/>
  <c r="I177" i="149"/>
  <c r="I182" i="149" s="1"/>
  <c r="E182" i="149"/>
  <c r="S182" i="76" s="1"/>
  <c r="F177" i="149"/>
  <c r="J177" i="149"/>
  <c r="G243" i="152"/>
  <c r="E225" i="150"/>
  <c r="E230" i="150" s="1"/>
  <c r="H225" i="152"/>
  <c r="E230" i="149"/>
  <c r="I225" i="149"/>
  <c r="I230" i="149" s="1"/>
  <c r="J225" i="149"/>
  <c r="F225" i="149"/>
  <c r="E103" i="150"/>
  <c r="E108" i="150" s="1"/>
  <c r="E131" i="150" s="1"/>
  <c r="H103" i="152"/>
  <c r="E108" i="149"/>
  <c r="I103" i="149"/>
  <c r="I108" i="149" s="1"/>
  <c r="J103" i="149"/>
  <c r="F103" i="149"/>
  <c r="D186" i="150"/>
  <c r="E197" i="150"/>
  <c r="E202" i="150" s="1"/>
  <c r="I197" i="149"/>
  <c r="I202" i="149" s="1"/>
  <c r="H197" i="152"/>
  <c r="E202" i="149"/>
  <c r="J197" i="149"/>
  <c r="F197" i="149"/>
  <c r="I142" i="149"/>
  <c r="I147" i="149" s="1"/>
  <c r="E142" i="150"/>
  <c r="E147" i="150" s="1"/>
  <c r="E147" i="149"/>
  <c r="H142" i="152"/>
  <c r="J142" i="149"/>
  <c r="F142" i="149"/>
  <c r="H243" i="149"/>
  <c r="E170" i="150"/>
  <c r="E175" i="150" s="1"/>
  <c r="H170" i="152"/>
  <c r="E175" i="149"/>
  <c r="S175" i="76" s="1"/>
  <c r="I170" i="149"/>
  <c r="I175" i="149" s="1"/>
  <c r="J170" i="149"/>
  <c r="F170" i="149"/>
  <c r="H218" i="152"/>
  <c r="E223" i="149"/>
  <c r="I218" i="149"/>
  <c r="I223" i="149" s="1"/>
  <c r="E218" i="150"/>
  <c r="E223" i="150" s="1"/>
  <c r="F218" i="149"/>
  <c r="J218" i="149"/>
  <c r="E154" i="149"/>
  <c r="E149" i="150"/>
  <c r="E154" i="150" s="1"/>
  <c r="H149" i="152"/>
  <c r="I149" i="149"/>
  <c r="I154" i="149" s="1"/>
  <c r="F149" i="149"/>
  <c r="J149" i="149"/>
  <c r="H211" i="152"/>
  <c r="I211" i="149"/>
  <c r="I216" i="149" s="1"/>
  <c r="E216" i="149"/>
  <c r="E211" i="150"/>
  <c r="E216" i="150" s="1"/>
  <c r="J211" i="149"/>
  <c r="F211" i="149"/>
  <c r="H40" i="152"/>
  <c r="E45" i="149"/>
  <c r="I40" i="149"/>
  <c r="I45" i="149" s="1"/>
  <c r="E40" i="150"/>
  <c r="E45" i="150" s="1"/>
  <c r="J40" i="149"/>
  <c r="F40" i="149"/>
  <c r="J243" i="152"/>
  <c r="D94" i="150"/>
  <c r="D97" i="150" s="1"/>
  <c r="H135" i="152"/>
  <c r="E140" i="149"/>
  <c r="I135" i="149"/>
  <c r="I140" i="149" s="1"/>
  <c r="E135" i="150"/>
  <c r="E140" i="150" s="1"/>
  <c r="J135" i="149"/>
  <c r="F135" i="149"/>
  <c r="S94" i="149"/>
  <c r="S97" i="149" s="1"/>
  <c r="E72" i="150"/>
  <c r="E76" i="150" s="1"/>
  <c r="H72" i="152"/>
  <c r="I72" i="149"/>
  <c r="I76" i="149" s="1"/>
  <c r="E76" i="149"/>
  <c r="F72" i="149"/>
  <c r="J72" i="149"/>
  <c r="H47" i="152"/>
  <c r="E52" i="149"/>
  <c r="E47" i="150"/>
  <c r="E52" i="150" s="1"/>
  <c r="I47" i="149"/>
  <c r="I52" i="149" s="1"/>
  <c r="F47" i="149"/>
  <c r="J47" i="149"/>
  <c r="S243" i="149"/>
  <c r="G94" i="152"/>
  <c r="G97" i="152" s="1"/>
  <c r="H84" i="152"/>
  <c r="E88" i="149"/>
  <c r="E84" i="150"/>
  <c r="E88" i="150" s="1"/>
  <c r="I84" i="149"/>
  <c r="I88" i="149" s="1"/>
  <c r="J84" i="149"/>
  <c r="F84" i="149"/>
  <c r="D97" i="149"/>
  <c r="G186" i="152"/>
  <c r="I26" i="149"/>
  <c r="I31" i="149" s="1"/>
  <c r="E26" i="150"/>
  <c r="E31" i="150" s="1"/>
  <c r="H26" i="152"/>
  <c r="E31" i="149"/>
  <c r="F26" i="149"/>
  <c r="J26" i="149"/>
  <c r="L110" i="150"/>
  <c r="L115" i="150" s="1"/>
  <c r="R62" i="86"/>
  <c r="R62" i="66"/>
  <c r="H45" i="41"/>
  <c r="L45" i="41"/>
  <c r="P45" i="41"/>
  <c r="F46" i="41"/>
  <c r="J45" i="44"/>
  <c r="N45" i="44"/>
  <c r="H45" i="45"/>
  <c r="L45" i="45"/>
  <c r="P45" i="45"/>
  <c r="F46" i="45"/>
  <c r="F44" i="47"/>
  <c r="J45" i="47"/>
  <c r="N45" i="47"/>
  <c r="H45" i="48"/>
  <c r="L45" i="48"/>
  <c r="P45" i="48"/>
  <c r="F46" i="48"/>
  <c r="F44" i="67"/>
  <c r="J45" i="67"/>
  <c r="N45" i="67"/>
  <c r="H45" i="99"/>
  <c r="L45" i="99"/>
  <c r="P45" i="99"/>
  <c r="F46" i="99"/>
  <c r="F44" i="98"/>
  <c r="J45" i="98"/>
  <c r="N45" i="98"/>
  <c r="H45" i="97"/>
  <c r="L45" i="97"/>
  <c r="P45" i="97"/>
  <c r="F46" i="97"/>
  <c r="J44" i="1"/>
  <c r="H44" i="1"/>
  <c r="P44" i="1"/>
  <c r="J44" i="41"/>
  <c r="H46" i="41"/>
  <c r="P46" i="41"/>
  <c r="P44" i="44"/>
  <c r="O44" i="44" s="1"/>
  <c r="N46" i="44"/>
  <c r="N44" i="45"/>
  <c r="L46" i="45"/>
  <c r="H44" i="67"/>
  <c r="L44" i="67"/>
  <c r="P44" i="67"/>
  <c r="F45" i="67"/>
  <c r="J46" i="67"/>
  <c r="N46" i="67"/>
  <c r="J44" i="99"/>
  <c r="N44" i="99"/>
  <c r="H46" i="99"/>
  <c r="L46" i="99"/>
  <c r="P46" i="99"/>
  <c r="F49" i="86"/>
  <c r="F49" i="88"/>
  <c r="H50" i="89"/>
  <c r="L50" i="89"/>
  <c r="P50" i="89"/>
  <c r="F52" i="89"/>
  <c r="N44" i="1"/>
  <c r="F45" i="1"/>
  <c r="J46" i="1"/>
  <c r="N44" i="41"/>
  <c r="L46" i="41"/>
  <c r="L44" i="44"/>
  <c r="K44" i="44" s="1"/>
  <c r="F45" i="44"/>
  <c r="I45" i="44" s="1"/>
  <c r="J46" i="44"/>
  <c r="J44" i="45"/>
  <c r="H46" i="45"/>
  <c r="P46" i="45"/>
  <c r="H44" i="47"/>
  <c r="L44" i="47"/>
  <c r="P44" i="47"/>
  <c r="F45" i="47"/>
  <c r="J46" i="47"/>
  <c r="N46" i="47"/>
  <c r="J44" i="48"/>
  <c r="N44" i="48"/>
  <c r="H46" i="48"/>
  <c r="L46" i="48"/>
  <c r="P46" i="48"/>
  <c r="H44" i="98"/>
  <c r="L44" i="98"/>
  <c r="P44" i="98"/>
  <c r="F45" i="98"/>
  <c r="J46" i="98"/>
  <c r="N46" i="98"/>
  <c r="J44" i="97"/>
  <c r="N44" i="97"/>
  <c r="H46" i="97"/>
  <c r="L46" i="97"/>
  <c r="P46" i="97"/>
  <c r="H44" i="95"/>
  <c r="L44" i="95"/>
  <c r="P44" i="95"/>
  <c r="F45" i="95"/>
  <c r="J46" i="95"/>
  <c r="N46" i="95"/>
  <c r="J44" i="84"/>
  <c r="N44" i="84"/>
  <c r="H46" i="84"/>
  <c r="L46" i="84"/>
  <c r="P46" i="84"/>
  <c r="H45" i="95"/>
  <c r="F46" i="95"/>
  <c r="I46" i="95" s="1"/>
  <c r="J49" i="60"/>
  <c r="N49" i="60"/>
  <c r="H51" i="60"/>
  <c r="L51" i="60"/>
  <c r="P51" i="60"/>
  <c r="F52" i="60"/>
  <c r="F49" i="61"/>
  <c r="J50" i="61"/>
  <c r="N50" i="61"/>
  <c r="H52" i="61"/>
  <c r="L52" i="61"/>
  <c r="P52" i="61"/>
  <c r="H49" i="86"/>
  <c r="L49" i="86"/>
  <c r="P49" i="86"/>
  <c r="J52" i="86"/>
  <c r="N52" i="86"/>
  <c r="J49" i="87"/>
  <c r="N49" i="87"/>
  <c r="H52" i="87"/>
  <c r="L52" i="87"/>
  <c r="K52" i="87" s="1"/>
  <c r="P52" i="87"/>
  <c r="H49" i="88"/>
  <c r="L49" i="88"/>
  <c r="P49" i="88"/>
  <c r="J52" i="88"/>
  <c r="N52" i="88"/>
  <c r="J49" i="89"/>
  <c r="N49" i="89"/>
  <c r="H52" i="89"/>
  <c r="L52" i="89"/>
  <c r="P52" i="89"/>
  <c r="H50" i="62"/>
  <c r="L50" i="62"/>
  <c r="P50" i="62"/>
  <c r="F51" i="62"/>
  <c r="J52" i="62"/>
  <c r="N52" i="62"/>
  <c r="J49" i="62"/>
  <c r="N49" i="62"/>
  <c r="H50" i="64"/>
  <c r="L50" i="64"/>
  <c r="P50" i="64"/>
  <c r="F51" i="64"/>
  <c r="J52" i="64"/>
  <c r="N52" i="64"/>
  <c r="J49" i="66"/>
  <c r="N49" i="66"/>
  <c r="H51" i="66"/>
  <c r="L51" i="66"/>
  <c r="P51" i="66"/>
  <c r="F52" i="66"/>
  <c r="F49" i="70"/>
  <c r="J50" i="70"/>
  <c r="N50" i="70"/>
  <c r="H52" i="70"/>
  <c r="L52" i="70"/>
  <c r="P52" i="70"/>
  <c r="H49" i="90"/>
  <c r="L49" i="90"/>
  <c r="P49" i="90"/>
  <c r="F50" i="90"/>
  <c r="J51" i="90"/>
  <c r="N51" i="90"/>
  <c r="H50" i="91"/>
  <c r="L50" i="91"/>
  <c r="P50" i="91"/>
  <c r="F51" i="91"/>
  <c r="J52" i="91"/>
  <c r="N52" i="91"/>
  <c r="J49" i="119"/>
  <c r="N49" i="119"/>
  <c r="H51" i="119"/>
  <c r="L51" i="119"/>
  <c r="P51" i="119"/>
  <c r="F52" i="119"/>
  <c r="I52" i="119" s="1"/>
  <c r="L45" i="95"/>
  <c r="P45" i="95"/>
  <c r="F44" i="84"/>
  <c r="J45" i="84"/>
  <c r="N45" i="84"/>
  <c r="H50" i="60"/>
  <c r="L50" i="60"/>
  <c r="P50" i="60"/>
  <c r="F51" i="60"/>
  <c r="J52" i="60"/>
  <c r="N52" i="60"/>
  <c r="J49" i="61"/>
  <c r="N49" i="61"/>
  <c r="H51" i="61"/>
  <c r="L51" i="61"/>
  <c r="P51" i="61"/>
  <c r="F52" i="61"/>
  <c r="H45" i="1"/>
  <c r="F46" i="1"/>
  <c r="N45" i="41"/>
  <c r="L45" i="44"/>
  <c r="F46" i="44"/>
  <c r="N45" i="45"/>
  <c r="H45" i="47"/>
  <c r="P45" i="47"/>
  <c r="N45" i="48"/>
  <c r="H45" i="67"/>
  <c r="P45" i="67"/>
  <c r="N45" i="99"/>
  <c r="H45" i="98"/>
  <c r="P45" i="98"/>
  <c r="F44" i="97"/>
  <c r="J45" i="97"/>
  <c r="P45" i="1"/>
  <c r="F44" i="41"/>
  <c r="J45" i="41"/>
  <c r="P45" i="44"/>
  <c r="F44" i="45"/>
  <c r="J45" i="45"/>
  <c r="L45" i="47"/>
  <c r="F46" i="47"/>
  <c r="F44" i="48"/>
  <c r="J45" i="48"/>
  <c r="L45" i="67"/>
  <c r="F46" i="67"/>
  <c r="F44" i="99"/>
  <c r="J45" i="99"/>
  <c r="L45" i="98"/>
  <c r="F46" i="98"/>
  <c r="N45" i="97"/>
  <c r="H46" i="1"/>
  <c r="P46" i="1"/>
  <c r="H44" i="41"/>
  <c r="L44" i="41"/>
  <c r="P44" i="41"/>
  <c r="F45" i="41"/>
  <c r="J46" i="41"/>
  <c r="N46" i="41"/>
  <c r="J44" i="44"/>
  <c r="N44" i="44"/>
  <c r="L46" i="44"/>
  <c r="P46" i="44"/>
  <c r="H44" i="45"/>
  <c r="L44" i="45"/>
  <c r="P44" i="45"/>
  <c r="F45" i="45"/>
  <c r="J46" i="45"/>
  <c r="N46" i="45"/>
  <c r="J44" i="47"/>
  <c r="N44" i="47"/>
  <c r="H46" i="47"/>
  <c r="L46" i="47"/>
  <c r="P46" i="47"/>
  <c r="H44" i="48"/>
  <c r="L44" i="48"/>
  <c r="P44" i="48"/>
  <c r="F45" i="48"/>
  <c r="J46" i="48"/>
  <c r="N46" i="48"/>
  <c r="J44" i="67"/>
  <c r="N44" i="67"/>
  <c r="H46" i="67"/>
  <c r="L46" i="67"/>
  <c r="P46" i="67"/>
  <c r="H44" i="99"/>
  <c r="L44" i="99"/>
  <c r="P44" i="99"/>
  <c r="F45" i="99"/>
  <c r="J46" i="99"/>
  <c r="N46" i="99"/>
  <c r="J44" i="98"/>
  <c r="N44" i="98"/>
  <c r="H46" i="98"/>
  <c r="L46" i="98"/>
  <c r="P46" i="98"/>
  <c r="H44" i="97"/>
  <c r="L44" i="97"/>
  <c r="P44" i="97"/>
  <c r="F45" i="97"/>
  <c r="J46" i="97"/>
  <c r="N46" i="97"/>
  <c r="J44" i="95"/>
  <c r="N44" i="95"/>
  <c r="H46" i="95"/>
  <c r="L46" i="95"/>
  <c r="P46" i="95"/>
  <c r="H44" i="84"/>
  <c r="G44" i="84" s="1"/>
  <c r="L44" i="84"/>
  <c r="P44" i="84"/>
  <c r="F45" i="84"/>
  <c r="J46" i="84"/>
  <c r="N46" i="84"/>
  <c r="F49" i="60"/>
  <c r="J50" i="60"/>
  <c r="N50" i="60"/>
  <c r="H52" i="60"/>
  <c r="L52" i="60"/>
  <c r="P52" i="60"/>
  <c r="H49" i="61"/>
  <c r="L49" i="61"/>
  <c r="P49" i="61"/>
  <c r="F50" i="61"/>
  <c r="J51" i="61"/>
  <c r="N51" i="61"/>
  <c r="F52" i="86"/>
  <c r="F52" i="88"/>
  <c r="F49" i="89"/>
  <c r="J50" i="89"/>
  <c r="N50" i="89"/>
  <c r="H51" i="62"/>
  <c r="L51" i="62"/>
  <c r="P51" i="62"/>
  <c r="F52" i="62"/>
  <c r="O52" i="62" s="1"/>
  <c r="F49" i="62"/>
  <c r="J49" i="64"/>
  <c r="N49" i="64"/>
  <c r="H51" i="64"/>
  <c r="L51" i="64"/>
  <c r="P51" i="64"/>
  <c r="F52" i="64"/>
  <c r="F49" i="66"/>
  <c r="J50" i="66"/>
  <c r="N50" i="66"/>
  <c r="H52" i="66"/>
  <c r="L52" i="66"/>
  <c r="P52" i="66"/>
  <c r="H49" i="70"/>
  <c r="L49" i="70"/>
  <c r="P49" i="70"/>
  <c r="F50" i="70"/>
  <c r="J51" i="70"/>
  <c r="N51" i="70"/>
  <c r="H50" i="90"/>
  <c r="L50" i="90"/>
  <c r="P50" i="90"/>
  <c r="F51" i="90"/>
  <c r="J52" i="90"/>
  <c r="N52" i="90"/>
  <c r="J49" i="91"/>
  <c r="N49" i="91"/>
  <c r="H51" i="91"/>
  <c r="L51" i="91"/>
  <c r="P51" i="91"/>
  <c r="F52" i="91"/>
  <c r="F49" i="119"/>
  <c r="J50" i="119"/>
  <c r="N50" i="119"/>
  <c r="H52" i="119"/>
  <c r="L52" i="119"/>
  <c r="P52" i="119"/>
  <c r="O51" i="123"/>
  <c r="F44" i="95"/>
  <c r="J45" i="95"/>
  <c r="N45" i="95"/>
  <c r="H45" i="84"/>
  <c r="L45" i="84"/>
  <c r="P45" i="84"/>
  <c r="F46" i="84"/>
  <c r="H49" i="60"/>
  <c r="L49" i="60"/>
  <c r="P49" i="60"/>
  <c r="F50" i="60"/>
  <c r="J51" i="60"/>
  <c r="N51" i="60"/>
  <c r="H50" i="61"/>
  <c r="L50" i="61"/>
  <c r="P50" i="61"/>
  <c r="F51" i="61"/>
  <c r="J52" i="61"/>
  <c r="N52" i="61"/>
  <c r="J49" i="86"/>
  <c r="N49" i="86"/>
  <c r="H52" i="86"/>
  <c r="L52" i="86"/>
  <c r="P52" i="86"/>
  <c r="H49" i="87"/>
  <c r="L49" i="87"/>
  <c r="P49" i="87"/>
  <c r="J52" i="87"/>
  <c r="I52" i="87" s="1"/>
  <c r="N52" i="87"/>
  <c r="M52" i="87" s="1"/>
  <c r="J49" i="88"/>
  <c r="N49" i="88"/>
  <c r="H52" i="88"/>
  <c r="L52" i="88"/>
  <c r="P52" i="88"/>
  <c r="H49" i="89"/>
  <c r="L49" i="89"/>
  <c r="P49" i="89"/>
  <c r="F50" i="89"/>
  <c r="J52" i="89"/>
  <c r="N52" i="89"/>
  <c r="J50" i="62"/>
  <c r="N50" i="62"/>
  <c r="H52" i="62"/>
  <c r="L52" i="62"/>
  <c r="P52" i="62"/>
  <c r="H49" i="62"/>
  <c r="L49" i="62"/>
  <c r="P49" i="62"/>
  <c r="F49" i="64"/>
  <c r="J50" i="64"/>
  <c r="N50" i="64"/>
  <c r="H52" i="64"/>
  <c r="L52" i="64"/>
  <c r="P52" i="64"/>
  <c r="H49" i="66"/>
  <c r="L49" i="66"/>
  <c r="P49" i="66"/>
  <c r="F50" i="66"/>
  <c r="J51" i="66"/>
  <c r="N51" i="66"/>
  <c r="H50" i="70"/>
  <c r="L50" i="70"/>
  <c r="P50" i="70"/>
  <c r="F51" i="70"/>
  <c r="J52" i="70"/>
  <c r="N52" i="70"/>
  <c r="J49" i="90"/>
  <c r="N49" i="90"/>
  <c r="H51" i="90"/>
  <c r="L51" i="90"/>
  <c r="P51" i="90"/>
  <c r="F52" i="90"/>
  <c r="F49" i="91"/>
  <c r="J50" i="91"/>
  <c r="N50" i="91"/>
  <c r="H52" i="91"/>
  <c r="L52" i="91"/>
  <c r="P52" i="91"/>
  <c r="H49" i="119"/>
  <c r="L49" i="119"/>
  <c r="P49" i="119"/>
  <c r="F50" i="119"/>
  <c r="J51" i="119"/>
  <c r="N51" i="119"/>
  <c r="O52" i="123"/>
  <c r="F50" i="62"/>
  <c r="J51" i="62"/>
  <c r="N51" i="62"/>
  <c r="H49" i="64"/>
  <c r="L49" i="64"/>
  <c r="P49" i="64"/>
  <c r="F50" i="64"/>
  <c r="O50" i="64" s="1"/>
  <c r="J51" i="64"/>
  <c r="N51" i="64"/>
  <c r="H50" i="66"/>
  <c r="L50" i="66"/>
  <c r="P50" i="66"/>
  <c r="F51" i="66"/>
  <c r="J52" i="66"/>
  <c r="N52" i="66"/>
  <c r="J49" i="70"/>
  <c r="N49" i="70"/>
  <c r="H51" i="70"/>
  <c r="L51" i="70"/>
  <c r="P51" i="70"/>
  <c r="F52" i="70"/>
  <c r="F49" i="90"/>
  <c r="J50" i="90"/>
  <c r="N50" i="90"/>
  <c r="H52" i="90"/>
  <c r="L52" i="90"/>
  <c r="P52" i="90"/>
  <c r="H49" i="91"/>
  <c r="L49" i="91"/>
  <c r="P49" i="91"/>
  <c r="F50" i="91"/>
  <c r="O50" i="91" s="1"/>
  <c r="J51" i="91"/>
  <c r="N51" i="91"/>
  <c r="H50" i="119"/>
  <c r="L50" i="119"/>
  <c r="P50" i="119"/>
  <c r="F51" i="119"/>
  <c r="J52" i="119"/>
  <c r="N52" i="119"/>
  <c r="I53" i="123"/>
  <c r="G53" i="123"/>
  <c r="M53" i="123"/>
  <c r="K53" i="123"/>
  <c r="I131" i="149" l="1"/>
  <c r="G44" i="47"/>
  <c r="S258" i="149"/>
  <c r="S269" i="149" s="1"/>
  <c r="S272" i="149" s="1"/>
  <c r="O51" i="119"/>
  <c r="O51" i="66"/>
  <c r="O50" i="62"/>
  <c r="K44" i="84"/>
  <c r="O45" i="41"/>
  <c r="O52" i="91"/>
  <c r="O52" i="90"/>
  <c r="O50" i="119"/>
  <c r="O49" i="119"/>
  <c r="M46" i="48"/>
  <c r="P47" i="41"/>
  <c r="K44" i="98"/>
  <c r="G46" i="48"/>
  <c r="K46" i="99"/>
  <c r="O51" i="60"/>
  <c r="M52" i="119"/>
  <c r="I50" i="90"/>
  <c r="J47" i="84"/>
  <c r="O45" i="97"/>
  <c r="J47" i="98"/>
  <c r="M46" i="45"/>
  <c r="N47" i="44"/>
  <c r="G258" i="152"/>
  <c r="G280" i="152" s="1"/>
  <c r="G283" i="152" s="1"/>
  <c r="G51" i="91"/>
  <c r="K52" i="66"/>
  <c r="G51" i="64"/>
  <c r="K46" i="95"/>
  <c r="I51" i="91"/>
  <c r="I51" i="64"/>
  <c r="K51" i="91"/>
  <c r="K51" i="64"/>
  <c r="G51" i="62"/>
  <c r="K44" i="67"/>
  <c r="L53" i="60"/>
  <c r="G44" i="98"/>
  <c r="I46" i="45"/>
  <c r="K46" i="45"/>
  <c r="I186" i="149"/>
  <c r="D258" i="150"/>
  <c r="D269" i="150" s="1"/>
  <c r="D272" i="150" s="1"/>
  <c r="J258" i="152"/>
  <c r="J280" i="152" s="1"/>
  <c r="J283" i="152" s="1"/>
  <c r="O52" i="70"/>
  <c r="O50" i="89"/>
  <c r="I46" i="48"/>
  <c r="O45" i="45"/>
  <c r="I45" i="98"/>
  <c r="G46" i="45"/>
  <c r="G44" i="67"/>
  <c r="L47" i="99"/>
  <c r="M50" i="90"/>
  <c r="O44" i="95"/>
  <c r="K46" i="48"/>
  <c r="J88" i="149"/>
  <c r="F88" i="149"/>
  <c r="F52" i="149"/>
  <c r="J52" i="149"/>
  <c r="J76" i="149"/>
  <c r="F76" i="149"/>
  <c r="H216" i="152"/>
  <c r="K211" i="152"/>
  <c r="K216" i="152" s="1"/>
  <c r="K149" i="152"/>
  <c r="K154" i="152" s="1"/>
  <c r="H154" i="152"/>
  <c r="H223" i="152"/>
  <c r="K218" i="152"/>
  <c r="K223" i="152" s="1"/>
  <c r="J175" i="149"/>
  <c r="F175" i="149"/>
  <c r="F230" i="149"/>
  <c r="J230" i="149"/>
  <c r="K177" i="152"/>
  <c r="K182" i="152" s="1"/>
  <c r="H182" i="152"/>
  <c r="F64" i="149"/>
  <c r="J64" i="149"/>
  <c r="F168" i="149"/>
  <c r="J168" i="149"/>
  <c r="F70" i="149"/>
  <c r="J70" i="149"/>
  <c r="K156" i="152"/>
  <c r="K161" i="152" s="1"/>
  <c r="H161" i="152"/>
  <c r="H58" i="152"/>
  <c r="K54" i="152"/>
  <c r="K58" i="152" s="1"/>
  <c r="H195" i="152"/>
  <c r="K190" i="152"/>
  <c r="K195" i="152" s="1"/>
  <c r="K19" i="152"/>
  <c r="K24" i="152" s="1"/>
  <c r="H24" i="152"/>
  <c r="K33" i="152"/>
  <c r="K38" i="152" s="1"/>
  <c r="H38" i="152"/>
  <c r="J31" i="149"/>
  <c r="F31" i="149"/>
  <c r="K84" i="152"/>
  <c r="K88" i="152" s="1"/>
  <c r="H88" i="152"/>
  <c r="K47" i="152"/>
  <c r="K52" i="152" s="1"/>
  <c r="H52" i="152"/>
  <c r="E186" i="149"/>
  <c r="F140" i="149"/>
  <c r="J140" i="149"/>
  <c r="J45" i="149"/>
  <c r="F45" i="149"/>
  <c r="H175" i="152"/>
  <c r="K170" i="152"/>
  <c r="K175" i="152" s="1"/>
  <c r="J202" i="149"/>
  <c r="F202" i="149"/>
  <c r="H230" i="152"/>
  <c r="K225" i="152"/>
  <c r="K230" i="152" s="1"/>
  <c r="F182" i="149"/>
  <c r="J182" i="149"/>
  <c r="K163" i="152"/>
  <c r="K168" i="152" s="1"/>
  <c r="H168" i="152"/>
  <c r="K66" i="152"/>
  <c r="K70" i="152" s="1"/>
  <c r="H70" i="152"/>
  <c r="E243" i="150"/>
  <c r="H82" i="152"/>
  <c r="K78" i="152"/>
  <c r="K82" i="152" s="1"/>
  <c r="J209" i="149"/>
  <c r="F209" i="149"/>
  <c r="F24" i="149"/>
  <c r="E94" i="149"/>
  <c r="J24" i="149"/>
  <c r="K26" i="152"/>
  <c r="K31" i="152" s="1"/>
  <c r="H31" i="152"/>
  <c r="H76" i="152"/>
  <c r="K72" i="152"/>
  <c r="K76" i="152" s="1"/>
  <c r="K135" i="152"/>
  <c r="K140" i="152" s="1"/>
  <c r="H140" i="152"/>
  <c r="K40" i="152"/>
  <c r="K45" i="152" s="1"/>
  <c r="H45" i="152"/>
  <c r="F216" i="149"/>
  <c r="J216" i="149"/>
  <c r="J154" i="149"/>
  <c r="F154" i="149"/>
  <c r="K142" i="152"/>
  <c r="K147" i="152" s="1"/>
  <c r="H147" i="152"/>
  <c r="H202" i="152"/>
  <c r="K197" i="152"/>
  <c r="K202" i="152" s="1"/>
  <c r="E131" i="149"/>
  <c r="F108" i="149"/>
  <c r="J108" i="149"/>
  <c r="H258" i="149"/>
  <c r="J58" i="149"/>
  <c r="F58" i="149"/>
  <c r="F195" i="149"/>
  <c r="E243" i="149"/>
  <c r="J195" i="149"/>
  <c r="J82" i="149"/>
  <c r="F82" i="149"/>
  <c r="I94" i="149"/>
  <c r="I97" i="149" s="1"/>
  <c r="H97" i="149"/>
  <c r="G269" i="149"/>
  <c r="D269" i="149"/>
  <c r="E186" i="150"/>
  <c r="J223" i="149"/>
  <c r="F223" i="149"/>
  <c r="F147" i="149"/>
  <c r="J147" i="149"/>
  <c r="K103" i="152"/>
  <c r="K108" i="152" s="1"/>
  <c r="K131" i="152" s="1"/>
  <c r="H108" i="152"/>
  <c r="H131" i="152" s="1"/>
  <c r="H64" i="152"/>
  <c r="K60" i="152"/>
  <c r="K64" i="152" s="1"/>
  <c r="J161" i="149"/>
  <c r="F161" i="149"/>
  <c r="I243" i="149"/>
  <c r="H209" i="152"/>
  <c r="K204" i="152"/>
  <c r="K209" i="152" s="1"/>
  <c r="E94" i="150"/>
  <c r="E97" i="150" s="1"/>
  <c r="J38" i="149"/>
  <c r="F38" i="149"/>
  <c r="J53" i="88"/>
  <c r="O49" i="88"/>
  <c r="N53" i="86"/>
  <c r="O49" i="70"/>
  <c r="O49" i="61"/>
  <c r="K50" i="90"/>
  <c r="P47" i="84"/>
  <c r="O52" i="61"/>
  <c r="O45" i="1"/>
  <c r="M52" i="66"/>
  <c r="M51" i="62"/>
  <c r="H53" i="89"/>
  <c r="N47" i="47"/>
  <c r="L47" i="41"/>
  <c r="I52" i="60"/>
  <c r="G52" i="87"/>
  <c r="G46" i="97"/>
  <c r="O49" i="90"/>
  <c r="O50" i="66"/>
  <c r="O50" i="60"/>
  <c r="O46" i="84"/>
  <c r="M45" i="95"/>
  <c r="O49" i="89"/>
  <c r="O52" i="86"/>
  <c r="H47" i="95"/>
  <c r="O45" i="99"/>
  <c r="O45" i="48"/>
  <c r="I46" i="41"/>
  <c r="H47" i="41"/>
  <c r="O46" i="98"/>
  <c r="F47" i="47"/>
  <c r="O46" i="47"/>
  <c r="O45" i="95"/>
  <c r="O49" i="91"/>
  <c r="O49" i="64"/>
  <c r="O50" i="70"/>
  <c r="O49" i="62"/>
  <c r="O52" i="88"/>
  <c r="P47" i="99"/>
  <c r="P47" i="48"/>
  <c r="G49" i="88"/>
  <c r="G52" i="119"/>
  <c r="O52" i="119"/>
  <c r="O51" i="91"/>
  <c r="O52" i="66"/>
  <c r="O51" i="64"/>
  <c r="O51" i="62"/>
  <c r="O52" i="60"/>
  <c r="O52" i="87"/>
  <c r="K46" i="97"/>
  <c r="O46" i="97"/>
  <c r="M45" i="98"/>
  <c r="K44" i="47"/>
  <c r="O44" i="47"/>
  <c r="F47" i="67"/>
  <c r="O46" i="67"/>
  <c r="G50" i="123"/>
  <c r="O50" i="123"/>
  <c r="G46" i="41"/>
  <c r="O46" i="41"/>
  <c r="O51" i="70"/>
  <c r="O51" i="61"/>
  <c r="O49" i="66"/>
  <c r="O50" i="61"/>
  <c r="O45" i="84"/>
  <c r="M46" i="99"/>
  <c r="O44" i="41"/>
  <c r="O44" i="97"/>
  <c r="I45" i="1"/>
  <c r="K46" i="41"/>
  <c r="K49" i="88"/>
  <c r="M46" i="95"/>
  <c r="O52" i="89"/>
  <c r="G46" i="99"/>
  <c r="O44" i="67"/>
  <c r="O46" i="45"/>
  <c r="G46" i="44"/>
  <c r="O46" i="44"/>
  <c r="O46" i="99"/>
  <c r="O51" i="90"/>
  <c r="O52" i="64"/>
  <c r="O49" i="87"/>
  <c r="O49" i="60"/>
  <c r="I46" i="99"/>
  <c r="N47" i="67"/>
  <c r="O44" i="99"/>
  <c r="O44" i="48"/>
  <c r="O44" i="45"/>
  <c r="O46" i="1"/>
  <c r="O44" i="84"/>
  <c r="O50" i="90"/>
  <c r="O46" i="95"/>
  <c r="O45" i="98"/>
  <c r="I45" i="47"/>
  <c r="O45" i="47"/>
  <c r="M45" i="44"/>
  <c r="G45" i="44"/>
  <c r="O45" i="44"/>
  <c r="O49" i="86"/>
  <c r="M45" i="67"/>
  <c r="O45" i="67"/>
  <c r="O44" i="98"/>
  <c r="O46" i="48"/>
  <c r="L47" i="48"/>
  <c r="H47" i="45"/>
  <c r="M46" i="97"/>
  <c r="K52" i="89"/>
  <c r="I46" i="97"/>
  <c r="M46" i="41"/>
  <c r="G52" i="89"/>
  <c r="M52" i="89"/>
  <c r="L53" i="89"/>
  <c r="H53" i="87"/>
  <c r="H47" i="47"/>
  <c r="G49" i="86"/>
  <c r="I52" i="89"/>
  <c r="N53" i="88"/>
  <c r="J53" i="86"/>
  <c r="H47" i="99"/>
  <c r="H47" i="48"/>
  <c r="J47" i="44"/>
  <c r="P53" i="87"/>
  <c r="H47" i="97"/>
  <c r="J47" i="67"/>
  <c r="J47" i="47"/>
  <c r="P53" i="89"/>
  <c r="L53" i="87"/>
  <c r="P47" i="45"/>
  <c r="K45" i="47"/>
  <c r="M45" i="47"/>
  <c r="G45" i="47"/>
  <c r="K49" i="86"/>
  <c r="I45" i="67"/>
  <c r="K45" i="95"/>
  <c r="M52" i="60"/>
  <c r="I44" i="84"/>
  <c r="H53" i="91"/>
  <c r="J53" i="70"/>
  <c r="H53" i="64"/>
  <c r="P47" i="95"/>
  <c r="I44" i="44"/>
  <c r="L47" i="45"/>
  <c r="F47" i="44"/>
  <c r="J47" i="1"/>
  <c r="H53" i="90"/>
  <c r="I52" i="66"/>
  <c r="I51" i="62"/>
  <c r="H47" i="84"/>
  <c r="G52" i="66"/>
  <c r="K52" i="60"/>
  <c r="L47" i="97"/>
  <c r="I50" i="123"/>
  <c r="K52" i="119"/>
  <c r="M51" i="91"/>
  <c r="L53" i="91"/>
  <c r="M51" i="64"/>
  <c r="L53" i="64"/>
  <c r="M49" i="88"/>
  <c r="N53" i="62"/>
  <c r="N53" i="119"/>
  <c r="P53" i="90"/>
  <c r="N53" i="66"/>
  <c r="K51" i="62"/>
  <c r="G52" i="60"/>
  <c r="N47" i="84"/>
  <c r="N47" i="98"/>
  <c r="N47" i="97"/>
  <c r="P47" i="98"/>
  <c r="H47" i="67"/>
  <c r="N47" i="45"/>
  <c r="M49" i="61"/>
  <c r="M44" i="84"/>
  <c r="J53" i="62"/>
  <c r="P53" i="60"/>
  <c r="I45" i="95"/>
  <c r="J53" i="119"/>
  <c r="J53" i="66"/>
  <c r="F53" i="88"/>
  <c r="N53" i="87"/>
  <c r="N53" i="60"/>
  <c r="I49" i="61"/>
  <c r="P47" i="1"/>
  <c r="K50" i="123"/>
  <c r="H47" i="98"/>
  <c r="N47" i="48"/>
  <c r="H47" i="1"/>
  <c r="G45" i="1"/>
  <c r="G45" i="95"/>
  <c r="P53" i="91"/>
  <c r="P53" i="64"/>
  <c r="L47" i="84"/>
  <c r="N53" i="89"/>
  <c r="P53" i="88"/>
  <c r="J53" i="87"/>
  <c r="J53" i="60"/>
  <c r="P47" i="97"/>
  <c r="L47" i="98"/>
  <c r="L47" i="67"/>
  <c r="M50" i="123"/>
  <c r="J47" i="97"/>
  <c r="N47" i="99"/>
  <c r="N53" i="70"/>
  <c r="L53" i="62"/>
  <c r="H53" i="60"/>
  <c r="J53" i="89"/>
  <c r="L53" i="88"/>
  <c r="J47" i="99"/>
  <c r="J47" i="48"/>
  <c r="J47" i="45"/>
  <c r="J47" i="41"/>
  <c r="P47" i="67"/>
  <c r="N47" i="41"/>
  <c r="M51" i="119"/>
  <c r="G51" i="119"/>
  <c r="K51" i="119"/>
  <c r="I51" i="119"/>
  <c r="M52" i="70"/>
  <c r="G52" i="70"/>
  <c r="K52" i="70"/>
  <c r="I52" i="70"/>
  <c r="M51" i="66"/>
  <c r="I51" i="66"/>
  <c r="M50" i="62"/>
  <c r="K50" i="62"/>
  <c r="I50" i="62"/>
  <c r="G50" i="62"/>
  <c r="H53" i="119"/>
  <c r="J53" i="90"/>
  <c r="H53" i="66"/>
  <c r="I49" i="88"/>
  <c r="M49" i="119"/>
  <c r="G49" i="119"/>
  <c r="F53" i="119"/>
  <c r="K49" i="119"/>
  <c r="I49" i="119"/>
  <c r="P53" i="70"/>
  <c r="M49" i="66"/>
  <c r="G49" i="66"/>
  <c r="K49" i="66"/>
  <c r="F53" i="66"/>
  <c r="I49" i="66"/>
  <c r="M52" i="62"/>
  <c r="G52" i="62"/>
  <c r="K52" i="62"/>
  <c r="I52" i="62"/>
  <c r="M50" i="61"/>
  <c r="G50" i="61"/>
  <c r="I50" i="61"/>
  <c r="K50" i="61"/>
  <c r="M45" i="84"/>
  <c r="K45" i="84"/>
  <c r="G45" i="84"/>
  <c r="I45" i="84"/>
  <c r="J47" i="95"/>
  <c r="M45" i="48"/>
  <c r="K45" i="48"/>
  <c r="G45" i="48"/>
  <c r="I45" i="48"/>
  <c r="F53" i="61"/>
  <c r="F47" i="84"/>
  <c r="M49" i="86"/>
  <c r="L53" i="90"/>
  <c r="M49" i="70"/>
  <c r="K51" i="66"/>
  <c r="H53" i="88"/>
  <c r="G46" i="95"/>
  <c r="I44" i="97"/>
  <c r="K44" i="97"/>
  <c r="M44" i="97"/>
  <c r="F47" i="97"/>
  <c r="G44" i="97"/>
  <c r="I44" i="98"/>
  <c r="G45" i="41"/>
  <c r="I49" i="86"/>
  <c r="M52" i="61"/>
  <c r="K52" i="61"/>
  <c r="G52" i="61"/>
  <c r="I52" i="61"/>
  <c r="N53" i="61"/>
  <c r="M51" i="60"/>
  <c r="I51" i="60"/>
  <c r="G51" i="60"/>
  <c r="K51" i="60"/>
  <c r="L47" i="95"/>
  <c r="K45" i="98"/>
  <c r="M50" i="119"/>
  <c r="G50" i="119"/>
  <c r="I50" i="119"/>
  <c r="K50" i="119"/>
  <c r="G50" i="66"/>
  <c r="I50" i="66"/>
  <c r="K50" i="66"/>
  <c r="M50" i="66"/>
  <c r="H53" i="62"/>
  <c r="M50" i="89"/>
  <c r="G50" i="89"/>
  <c r="I50" i="89"/>
  <c r="K50" i="89"/>
  <c r="I50" i="60"/>
  <c r="K50" i="60"/>
  <c r="M50" i="60"/>
  <c r="G50" i="60"/>
  <c r="M46" i="84"/>
  <c r="K46" i="84"/>
  <c r="G46" i="84"/>
  <c r="I46" i="84"/>
  <c r="M52" i="91"/>
  <c r="K52" i="91"/>
  <c r="G52" i="91"/>
  <c r="I52" i="91"/>
  <c r="N53" i="91"/>
  <c r="M51" i="90"/>
  <c r="G51" i="90"/>
  <c r="K51" i="90"/>
  <c r="I51" i="90"/>
  <c r="L53" i="70"/>
  <c r="M52" i="64"/>
  <c r="K52" i="64"/>
  <c r="G52" i="64"/>
  <c r="I52" i="64"/>
  <c r="N53" i="64"/>
  <c r="M49" i="87"/>
  <c r="G49" i="87"/>
  <c r="I49" i="87"/>
  <c r="K49" i="87"/>
  <c r="P53" i="61"/>
  <c r="I49" i="60"/>
  <c r="K49" i="60"/>
  <c r="M49" i="60"/>
  <c r="F53" i="60"/>
  <c r="G49" i="60"/>
  <c r="G51" i="66"/>
  <c r="L53" i="86"/>
  <c r="G44" i="99"/>
  <c r="K44" i="99"/>
  <c r="I44" i="99"/>
  <c r="F47" i="99"/>
  <c r="M44" i="99"/>
  <c r="M44" i="48"/>
  <c r="K44" i="48"/>
  <c r="I44" i="48"/>
  <c r="F47" i="48"/>
  <c r="G44" i="48"/>
  <c r="M44" i="45"/>
  <c r="F47" i="45"/>
  <c r="G44" i="45"/>
  <c r="I44" i="45"/>
  <c r="K44" i="45"/>
  <c r="I44" i="41"/>
  <c r="K44" i="41"/>
  <c r="F47" i="41"/>
  <c r="M44" i="41"/>
  <c r="G44" i="41"/>
  <c r="G45" i="45"/>
  <c r="G50" i="90"/>
  <c r="I49" i="70"/>
  <c r="G46" i="1"/>
  <c r="I46" i="1"/>
  <c r="M44" i="98"/>
  <c r="M44" i="47"/>
  <c r="J53" i="61"/>
  <c r="K45" i="67"/>
  <c r="L47" i="47"/>
  <c r="I50" i="91"/>
  <c r="G50" i="91"/>
  <c r="K50" i="91"/>
  <c r="M50" i="91"/>
  <c r="I50" i="64"/>
  <c r="K50" i="64"/>
  <c r="M50" i="64"/>
  <c r="G50" i="64"/>
  <c r="P53" i="119"/>
  <c r="I49" i="91"/>
  <c r="M49" i="91"/>
  <c r="F53" i="91"/>
  <c r="G49" i="91"/>
  <c r="K49" i="91"/>
  <c r="P53" i="66"/>
  <c r="I49" i="64"/>
  <c r="F53" i="64"/>
  <c r="M49" i="64"/>
  <c r="G49" i="64"/>
  <c r="K49" i="64"/>
  <c r="J53" i="91"/>
  <c r="H53" i="70"/>
  <c r="J53" i="64"/>
  <c r="I49" i="89"/>
  <c r="M49" i="89"/>
  <c r="F53" i="89"/>
  <c r="G49" i="89"/>
  <c r="K49" i="89"/>
  <c r="M52" i="86"/>
  <c r="G52" i="86"/>
  <c r="K52" i="86"/>
  <c r="I52" i="86"/>
  <c r="L53" i="61"/>
  <c r="M45" i="99"/>
  <c r="G45" i="99"/>
  <c r="K45" i="99"/>
  <c r="I45" i="99"/>
  <c r="M45" i="41"/>
  <c r="I45" i="41"/>
  <c r="K49" i="61"/>
  <c r="M46" i="98"/>
  <c r="G46" i="98"/>
  <c r="K46" i="98"/>
  <c r="I46" i="98"/>
  <c r="M46" i="67"/>
  <c r="G46" i="67"/>
  <c r="K46" i="67"/>
  <c r="I46" i="67"/>
  <c r="M46" i="47"/>
  <c r="G46" i="47"/>
  <c r="K46" i="47"/>
  <c r="I46" i="47"/>
  <c r="P47" i="44"/>
  <c r="K45" i="41"/>
  <c r="G49" i="70"/>
  <c r="P53" i="86"/>
  <c r="M46" i="44"/>
  <c r="K46" i="44"/>
  <c r="I46" i="44"/>
  <c r="M44" i="67"/>
  <c r="K45" i="45"/>
  <c r="F53" i="86"/>
  <c r="K51" i="61"/>
  <c r="G45" i="98"/>
  <c r="M44" i="44"/>
  <c r="G49" i="90"/>
  <c r="K49" i="90"/>
  <c r="I49" i="90"/>
  <c r="M49" i="90"/>
  <c r="F53" i="90"/>
  <c r="K52" i="123"/>
  <c r="I52" i="123"/>
  <c r="G52" i="123"/>
  <c r="M52" i="123"/>
  <c r="L53" i="119"/>
  <c r="M52" i="90"/>
  <c r="G52" i="90"/>
  <c r="K52" i="90"/>
  <c r="I52" i="90"/>
  <c r="N53" i="90"/>
  <c r="M51" i="70"/>
  <c r="I51" i="70"/>
  <c r="G51" i="70"/>
  <c r="K51" i="70"/>
  <c r="L53" i="66"/>
  <c r="P53" i="62"/>
  <c r="M51" i="61"/>
  <c r="I51" i="61"/>
  <c r="M44" i="95"/>
  <c r="I44" i="95"/>
  <c r="G44" i="95"/>
  <c r="K44" i="95"/>
  <c r="F47" i="95"/>
  <c r="O47" i="95" s="1"/>
  <c r="F54" i="123"/>
  <c r="O54" i="123" s="1"/>
  <c r="M51" i="123"/>
  <c r="K51" i="123"/>
  <c r="I51" i="123"/>
  <c r="G51" i="123"/>
  <c r="K50" i="70"/>
  <c r="I50" i="70"/>
  <c r="M50" i="70"/>
  <c r="G50" i="70"/>
  <c r="I49" i="62"/>
  <c r="M49" i="62"/>
  <c r="G49" i="62"/>
  <c r="F53" i="62"/>
  <c r="K49" i="62"/>
  <c r="M52" i="88"/>
  <c r="G52" i="88"/>
  <c r="K52" i="88"/>
  <c r="I52" i="88"/>
  <c r="H53" i="61"/>
  <c r="N47" i="95"/>
  <c r="M45" i="97"/>
  <c r="K45" i="97"/>
  <c r="I45" i="97"/>
  <c r="G45" i="97"/>
  <c r="K49" i="70"/>
  <c r="M45" i="45"/>
  <c r="I45" i="45"/>
  <c r="G49" i="61"/>
  <c r="F53" i="70"/>
  <c r="H53" i="86"/>
  <c r="L47" i="44"/>
  <c r="P47" i="47"/>
  <c r="K45" i="44"/>
  <c r="F47" i="98"/>
  <c r="I44" i="67"/>
  <c r="I44" i="47"/>
  <c r="G51" i="61"/>
  <c r="G45" i="67"/>
  <c r="O53" i="62" l="1"/>
  <c r="O47" i="41"/>
  <c r="I258" i="149"/>
  <c r="I269" i="149" s="1"/>
  <c r="E258" i="150"/>
  <c r="E269" i="150" s="1"/>
  <c r="E272" i="150" s="1"/>
  <c r="O53" i="119"/>
  <c r="O53" i="64"/>
  <c r="M47" i="44"/>
  <c r="O47" i="98"/>
  <c r="O53" i="91"/>
  <c r="O47" i="97"/>
  <c r="M47" i="67"/>
  <c r="M47" i="47"/>
  <c r="O47" i="84"/>
  <c r="K47" i="67"/>
  <c r="K47" i="47"/>
  <c r="K47" i="44"/>
  <c r="H243" i="152"/>
  <c r="K243" i="152"/>
  <c r="H186" i="152"/>
  <c r="E97" i="149"/>
  <c r="F94" i="149"/>
  <c r="J94" i="149"/>
  <c r="J186" i="149"/>
  <c r="F186" i="149"/>
  <c r="E258" i="149"/>
  <c r="J131" i="149"/>
  <c r="F131" i="149"/>
  <c r="K186" i="152"/>
  <c r="H94" i="152"/>
  <c r="H97" i="152" s="1"/>
  <c r="D272" i="149"/>
  <c r="H269" i="149"/>
  <c r="F243" i="149"/>
  <c r="J243" i="149"/>
  <c r="K94" i="152"/>
  <c r="K97" i="152" s="1"/>
  <c r="O53" i="87"/>
  <c r="T168" i="76" s="1"/>
  <c r="G47" i="47"/>
  <c r="O47" i="48"/>
  <c r="I47" i="47"/>
  <c r="G47" i="67"/>
  <c r="I47" i="67"/>
  <c r="O53" i="70"/>
  <c r="O53" i="89"/>
  <c r="T182" i="76" s="1"/>
  <c r="O47" i="99"/>
  <c r="O53" i="60"/>
  <c r="O53" i="66"/>
  <c r="I47" i="44"/>
  <c r="O47" i="45"/>
  <c r="O53" i="61"/>
  <c r="G47" i="44"/>
  <c r="O47" i="44"/>
  <c r="O53" i="90"/>
  <c r="O53" i="86"/>
  <c r="T161" i="76" s="1"/>
  <c r="M53" i="88"/>
  <c r="O53" i="88"/>
  <c r="T175" i="76" s="1"/>
  <c r="O47" i="67"/>
  <c r="O47" i="47"/>
  <c r="I53" i="88"/>
  <c r="O175" i="76" s="1"/>
  <c r="P175" i="76" s="1"/>
  <c r="G53" i="88"/>
  <c r="M175" i="76" s="1"/>
  <c r="N175" i="76" s="1"/>
  <c r="K53" i="88"/>
  <c r="Q175" i="76" s="1"/>
  <c r="I47" i="95"/>
  <c r="K47" i="95"/>
  <c r="G47" i="95"/>
  <c r="M47" i="95"/>
  <c r="I47" i="41"/>
  <c r="K47" i="41"/>
  <c r="G47" i="41"/>
  <c r="M47" i="41"/>
  <c r="K47" i="99"/>
  <c r="G47" i="99"/>
  <c r="M47" i="99"/>
  <c r="I47" i="99"/>
  <c r="K53" i="91"/>
  <c r="G53" i="91"/>
  <c r="M53" i="91"/>
  <c r="I53" i="91"/>
  <c r="G53" i="60"/>
  <c r="M53" i="60"/>
  <c r="I53" i="60"/>
  <c r="K53" i="60"/>
  <c r="K47" i="84"/>
  <c r="G47" i="84"/>
  <c r="M108" i="76" s="1"/>
  <c r="N108" i="76" s="1"/>
  <c r="M47" i="84"/>
  <c r="I47" i="84"/>
  <c r="O108" i="76" s="1"/>
  <c r="G47" i="98"/>
  <c r="M47" i="98"/>
  <c r="I47" i="98"/>
  <c r="K47" i="98"/>
  <c r="G54" i="123"/>
  <c r="M54" i="123"/>
  <c r="K54" i="123"/>
  <c r="I54" i="123"/>
  <c r="I53" i="90"/>
  <c r="K53" i="90"/>
  <c r="G53" i="90"/>
  <c r="M53" i="90"/>
  <c r="M53" i="89"/>
  <c r="I53" i="89"/>
  <c r="O182" i="76" s="1"/>
  <c r="P182" i="76" s="1"/>
  <c r="K53" i="89"/>
  <c r="Q182" i="76" s="1"/>
  <c r="G53" i="89"/>
  <c r="M182" i="76" s="1"/>
  <c r="N182" i="76" s="1"/>
  <c r="M47" i="48"/>
  <c r="I47" i="48"/>
  <c r="K47" i="48"/>
  <c r="G47" i="48"/>
  <c r="M47" i="97"/>
  <c r="I47" i="97"/>
  <c r="K47" i="97"/>
  <c r="G47" i="97"/>
  <c r="I53" i="61"/>
  <c r="M53" i="61"/>
  <c r="K53" i="61"/>
  <c r="G53" i="61"/>
  <c r="G53" i="66"/>
  <c r="I53" i="66"/>
  <c r="M53" i="66"/>
  <c r="K53" i="66"/>
  <c r="G53" i="119"/>
  <c r="I53" i="119"/>
  <c r="M53" i="119"/>
  <c r="K53" i="119"/>
  <c r="M53" i="70"/>
  <c r="I53" i="70"/>
  <c r="K53" i="70"/>
  <c r="G53" i="70"/>
  <c r="M53" i="62"/>
  <c r="K53" i="62"/>
  <c r="G53" i="62"/>
  <c r="I53" i="62"/>
  <c r="M53" i="86"/>
  <c r="K53" i="86"/>
  <c r="Q161" i="76" s="1"/>
  <c r="G53" i="86"/>
  <c r="M161" i="76" s="1"/>
  <c r="N161" i="76" s="1"/>
  <c r="I53" i="86"/>
  <c r="O161" i="76" s="1"/>
  <c r="P161" i="76" s="1"/>
  <c r="K53" i="64"/>
  <c r="G53" i="64"/>
  <c r="M53" i="64"/>
  <c r="I53" i="64"/>
  <c r="G47" i="45"/>
  <c r="I47" i="45"/>
  <c r="M47" i="45"/>
  <c r="K47" i="45"/>
  <c r="K53" i="87"/>
  <c r="Q168" i="76" s="1"/>
  <c r="G53" i="87"/>
  <c r="M168" i="76" s="1"/>
  <c r="N168" i="76" s="1"/>
  <c r="M53" i="87"/>
  <c r="I53" i="87"/>
  <c r="O168" i="76" s="1"/>
  <c r="P168" i="76" s="1"/>
  <c r="N45" i="1"/>
  <c r="M45" i="1" s="1"/>
  <c r="L46" i="1"/>
  <c r="K46" i="1" s="1"/>
  <c r="L45" i="1"/>
  <c r="K45" i="1" s="1"/>
  <c r="N46" i="1"/>
  <c r="M46" i="1" s="1"/>
  <c r="L44" i="1"/>
  <c r="R161" i="76" l="1"/>
  <c r="V161" i="76" s="1"/>
  <c r="U161" i="76"/>
  <c r="R168" i="76"/>
  <c r="V168" i="76" s="1"/>
  <c r="U168" i="76"/>
  <c r="R175" i="76"/>
  <c r="V175" i="76" s="1"/>
  <c r="U175" i="76"/>
  <c r="R182" i="76"/>
  <c r="V182" i="76" s="1"/>
  <c r="U182" i="76"/>
  <c r="H258" i="152"/>
  <c r="H280" i="152" s="1"/>
  <c r="H283" i="152" s="1"/>
  <c r="K258" i="152"/>
  <c r="K280" i="152" s="1"/>
  <c r="K283" i="152" s="1"/>
  <c r="F258" i="149"/>
  <c r="J258" i="149"/>
  <c r="E269" i="149"/>
  <c r="F97" i="149"/>
  <c r="J97" i="149"/>
  <c r="L47" i="1"/>
  <c r="F44" i="1"/>
  <c r="O44" i="1" s="1"/>
  <c r="F62" i="123"/>
  <c r="F61" i="123"/>
  <c r="F60" i="123"/>
  <c r="F59" i="123"/>
  <c r="F58" i="123"/>
  <c r="F57" i="123"/>
  <c r="F60" i="119"/>
  <c r="F59" i="119"/>
  <c r="F58" i="119"/>
  <c r="F57" i="119"/>
  <c r="F56" i="119"/>
  <c r="F60" i="91"/>
  <c r="F59" i="91"/>
  <c r="F58" i="91"/>
  <c r="F57" i="91"/>
  <c r="F56" i="91"/>
  <c r="F60" i="90"/>
  <c r="F59" i="90"/>
  <c r="F58" i="90"/>
  <c r="F57" i="90"/>
  <c r="F56" i="90"/>
  <c r="F60" i="70"/>
  <c r="F59" i="70"/>
  <c r="F58" i="70"/>
  <c r="F57" i="70"/>
  <c r="F56" i="70"/>
  <c r="F60" i="66"/>
  <c r="F59" i="66"/>
  <c r="F58" i="66"/>
  <c r="F57" i="66"/>
  <c r="F56" i="66"/>
  <c r="F60" i="64"/>
  <c r="F59" i="64"/>
  <c r="F58" i="64"/>
  <c r="F57" i="64"/>
  <c r="F56" i="64"/>
  <c r="F60" i="62"/>
  <c r="F59" i="62"/>
  <c r="F58" i="62"/>
  <c r="F57" i="62"/>
  <c r="F56" i="62"/>
  <c r="F60" i="89"/>
  <c r="F59" i="89"/>
  <c r="F58" i="89"/>
  <c r="F57" i="89"/>
  <c r="F56" i="89"/>
  <c r="F60" i="88"/>
  <c r="F59" i="88"/>
  <c r="F58" i="88"/>
  <c r="F57" i="88"/>
  <c r="F56" i="88"/>
  <c r="F60" i="87"/>
  <c r="F59" i="87"/>
  <c r="F58" i="87"/>
  <c r="F57" i="87"/>
  <c r="F56" i="87"/>
  <c r="F60" i="86"/>
  <c r="F59" i="86"/>
  <c r="F58" i="86"/>
  <c r="F57" i="86"/>
  <c r="F56" i="86"/>
  <c r="F60" i="61"/>
  <c r="F59" i="61"/>
  <c r="F58" i="61"/>
  <c r="F57" i="61"/>
  <c r="F56" i="61"/>
  <c r="F60" i="60"/>
  <c r="F59" i="60"/>
  <c r="F58" i="60"/>
  <c r="F57" i="60"/>
  <c r="F56" i="60"/>
  <c r="F60" i="49"/>
  <c r="F59" i="49"/>
  <c r="F58" i="49"/>
  <c r="F57" i="49"/>
  <c r="F56" i="49"/>
  <c r="F54" i="84"/>
  <c r="F53" i="84"/>
  <c r="F52" i="84"/>
  <c r="F51" i="84"/>
  <c r="F50" i="84"/>
  <c r="F54" i="95"/>
  <c r="F53" i="95"/>
  <c r="F52" i="95"/>
  <c r="F51" i="95"/>
  <c r="F50" i="95"/>
  <c r="F54" i="97"/>
  <c r="F53" i="97"/>
  <c r="F52" i="97"/>
  <c r="F51" i="97"/>
  <c r="F50" i="97"/>
  <c r="F54" i="98"/>
  <c r="F53" i="98"/>
  <c r="F52" i="98"/>
  <c r="F51" i="98"/>
  <c r="F50" i="98"/>
  <c r="F54" i="99"/>
  <c r="F53" i="99"/>
  <c r="F52" i="99"/>
  <c r="F51" i="99"/>
  <c r="F50" i="99"/>
  <c r="F54" i="67"/>
  <c r="F53" i="67"/>
  <c r="F52" i="67"/>
  <c r="F51" i="67"/>
  <c r="F50" i="67"/>
  <c r="F54" i="48"/>
  <c r="F53" i="48"/>
  <c r="F52" i="48"/>
  <c r="F51" i="48"/>
  <c r="F50" i="48"/>
  <c r="F54" i="47"/>
  <c r="F53" i="47"/>
  <c r="F52" i="47"/>
  <c r="F51" i="47"/>
  <c r="F50" i="47"/>
  <c r="F54" i="45"/>
  <c r="F53" i="45"/>
  <c r="F52" i="45"/>
  <c r="F51" i="45"/>
  <c r="F50" i="45"/>
  <c r="F54" i="44"/>
  <c r="F53" i="44"/>
  <c r="F52" i="44"/>
  <c r="F51" i="44"/>
  <c r="F50" i="44"/>
  <c r="F54" i="41"/>
  <c r="F53" i="41"/>
  <c r="F52" i="41"/>
  <c r="F51" i="41"/>
  <c r="F50" i="41"/>
  <c r="F51" i="1"/>
  <c r="F52" i="1"/>
  <c r="F53" i="1"/>
  <c r="F54" i="1"/>
  <c r="F50" i="1"/>
  <c r="N47" i="1"/>
  <c r="E272" i="149" l="1"/>
  <c r="J269" i="149"/>
  <c r="F269" i="149"/>
  <c r="K44" i="1"/>
  <c r="G44" i="1"/>
  <c r="F47" i="1"/>
  <c r="O47" i="1" s="1"/>
  <c r="I44" i="1"/>
  <c r="M44" i="1"/>
  <c r="G47" i="1" l="1"/>
  <c r="I47" i="1"/>
  <c r="K47" i="1"/>
  <c r="M47" i="1"/>
  <c r="J247" i="76" l="1"/>
  <c r="J253" i="76"/>
  <c r="J251" i="76"/>
  <c r="J250" i="76"/>
  <c r="J249" i="76"/>
  <c r="J248" i="76"/>
  <c r="J237" i="76"/>
  <c r="J232" i="76"/>
  <c r="R252" i="76" l="1"/>
  <c r="P252" i="76"/>
  <c r="U241" i="76" l="1"/>
  <c r="V241" i="76" s="1"/>
  <c r="I241" i="76"/>
  <c r="U239" i="76"/>
  <c r="V239" i="76" s="1"/>
  <c r="I239" i="76"/>
  <c r="U184" i="76"/>
  <c r="I184" i="76"/>
  <c r="U92" i="76"/>
  <c r="U90" i="76"/>
  <c r="I92" i="76"/>
  <c r="I90" i="76"/>
  <c r="G239" i="150" l="1"/>
  <c r="H239" i="150" s="1"/>
  <c r="G90" i="150"/>
  <c r="H90" i="150" s="1"/>
  <c r="G184" i="150"/>
  <c r="H184" i="150" s="1"/>
  <c r="G241" i="150"/>
  <c r="H241" i="150" s="1"/>
  <c r="G92" i="150"/>
  <c r="H92" i="150" s="1"/>
  <c r="V184" i="76"/>
  <c r="V92" i="76"/>
  <c r="V90" i="76"/>
  <c r="G25" i="125"/>
  <c r="G24" i="125"/>
  <c r="G22" i="125"/>
  <c r="F22" i="125"/>
  <c r="F25" i="125"/>
  <c r="F24" i="125"/>
  <c r="C49" i="123"/>
  <c r="C48" i="119"/>
  <c r="C48" i="91"/>
  <c r="C48" i="90"/>
  <c r="C48" i="70"/>
  <c r="C48" i="66"/>
  <c r="C48" i="64"/>
  <c r="C48" i="62"/>
  <c r="C48" i="89"/>
  <c r="C48" i="88"/>
  <c r="C48" i="87"/>
  <c r="C48" i="86"/>
  <c r="C48" i="61"/>
  <c r="C48" i="60"/>
  <c r="C48" i="49"/>
  <c r="C43" i="84"/>
  <c r="C43" i="95"/>
  <c r="C43" i="97"/>
  <c r="C43" i="98"/>
  <c r="C43" i="99"/>
  <c r="C43" i="67"/>
  <c r="C43" i="48"/>
  <c r="C43" i="47"/>
  <c r="C43" i="45"/>
  <c r="C43" i="44"/>
  <c r="C43" i="41"/>
  <c r="C43" i="1"/>
  <c r="H186" i="150" l="1"/>
  <c r="G186" i="150" s="1"/>
  <c r="H94" i="150"/>
  <c r="H97" i="150" s="1"/>
  <c r="G97" i="150" s="1"/>
  <c r="H243" i="150"/>
  <c r="G243" i="150" s="1"/>
  <c r="J241" i="150"/>
  <c r="K241" i="150" s="1"/>
  <c r="J184" i="150"/>
  <c r="K184" i="150" s="1"/>
  <c r="J90" i="150"/>
  <c r="K90" i="150" s="1"/>
  <c r="J239" i="150"/>
  <c r="K239" i="150" s="1"/>
  <c r="G28" i="125"/>
  <c r="J92" i="150"/>
  <c r="K92" i="150" s="1"/>
  <c r="F28" i="125"/>
  <c r="F19" i="125"/>
  <c r="G19" i="125"/>
  <c r="G29" i="125" s="1"/>
  <c r="J24" i="76"/>
  <c r="J23" i="76"/>
  <c r="J22" i="76"/>
  <c r="J21" i="76"/>
  <c r="J20" i="76"/>
  <c r="J19" i="76"/>
  <c r="J31" i="76"/>
  <c r="J30" i="76"/>
  <c r="J29" i="76"/>
  <c r="J28" i="76"/>
  <c r="J27" i="76"/>
  <c r="J26" i="76"/>
  <c r="J38" i="76"/>
  <c r="J37" i="76"/>
  <c r="J36" i="76"/>
  <c r="J35" i="76"/>
  <c r="J34" i="76"/>
  <c r="J33" i="76"/>
  <c r="J45" i="76"/>
  <c r="J44" i="76"/>
  <c r="J43" i="76"/>
  <c r="J42" i="76"/>
  <c r="J41" i="76"/>
  <c r="J40" i="76"/>
  <c r="J47" i="76"/>
  <c r="J52" i="76"/>
  <c r="J51" i="76"/>
  <c r="J50" i="76"/>
  <c r="J49" i="76"/>
  <c r="J48" i="76"/>
  <c r="J58" i="76"/>
  <c r="J57" i="76"/>
  <c r="J56" i="76"/>
  <c r="J55" i="76"/>
  <c r="J54" i="76"/>
  <c r="J64" i="76"/>
  <c r="J63" i="76"/>
  <c r="J62" i="76"/>
  <c r="J61" i="76"/>
  <c r="J60" i="76"/>
  <c r="J70" i="76"/>
  <c r="J69" i="76"/>
  <c r="J68" i="76"/>
  <c r="J67" i="76"/>
  <c r="J66" i="76"/>
  <c r="J76" i="76"/>
  <c r="J75" i="76"/>
  <c r="J74" i="76"/>
  <c r="J73" i="76"/>
  <c r="J72" i="76"/>
  <c r="J82" i="76"/>
  <c r="J81" i="76"/>
  <c r="J80" i="76"/>
  <c r="J79" i="76"/>
  <c r="J78" i="76"/>
  <c r="J88" i="76"/>
  <c r="J87" i="76"/>
  <c r="J86" i="76"/>
  <c r="J85" i="76"/>
  <c r="J84" i="76"/>
  <c r="J108" i="76"/>
  <c r="J107" i="76"/>
  <c r="J106" i="76"/>
  <c r="J105" i="76"/>
  <c r="J104" i="76"/>
  <c r="J103" i="76"/>
  <c r="J135" i="76"/>
  <c r="J161" i="76"/>
  <c r="J160" i="76"/>
  <c r="J159" i="76"/>
  <c r="J158" i="76"/>
  <c r="J168" i="76"/>
  <c r="J167" i="76"/>
  <c r="J166" i="76"/>
  <c r="J165" i="76"/>
  <c r="J164" i="76"/>
  <c r="J163" i="76"/>
  <c r="J175" i="76"/>
  <c r="J174" i="76"/>
  <c r="J173" i="76"/>
  <c r="J172" i="76"/>
  <c r="J171" i="76"/>
  <c r="J170" i="76"/>
  <c r="J182" i="76"/>
  <c r="J181" i="76"/>
  <c r="J180" i="76"/>
  <c r="J179" i="76"/>
  <c r="J178" i="76"/>
  <c r="J177" i="76"/>
  <c r="J195" i="76"/>
  <c r="J194" i="76"/>
  <c r="J193" i="76"/>
  <c r="J192" i="76"/>
  <c r="J191" i="76"/>
  <c r="J202" i="76"/>
  <c r="J201" i="76"/>
  <c r="J200" i="76"/>
  <c r="J199" i="76"/>
  <c r="J198" i="76"/>
  <c r="J197" i="76"/>
  <c r="J209" i="76"/>
  <c r="J208" i="76"/>
  <c r="J207" i="76"/>
  <c r="J206" i="76"/>
  <c r="J205" i="76"/>
  <c r="J204" i="76"/>
  <c r="J216" i="76"/>
  <c r="J215" i="76"/>
  <c r="J214" i="76"/>
  <c r="J213" i="76"/>
  <c r="J212" i="76"/>
  <c r="J211" i="76"/>
  <c r="J223" i="76"/>
  <c r="J222" i="76"/>
  <c r="J221" i="76"/>
  <c r="J220" i="76"/>
  <c r="J219" i="76"/>
  <c r="J218" i="76"/>
  <c r="J230" i="76"/>
  <c r="J229" i="76"/>
  <c r="J228" i="76"/>
  <c r="J227" i="76"/>
  <c r="J226" i="76"/>
  <c r="J225" i="76"/>
  <c r="J236" i="76"/>
  <c r="J235" i="76"/>
  <c r="J234" i="76"/>
  <c r="J233" i="76"/>
  <c r="K19" i="125" l="1"/>
  <c r="I19" i="125"/>
  <c r="G94" i="150"/>
  <c r="L92" i="150"/>
  <c r="L184" i="150"/>
  <c r="L90" i="150"/>
  <c r="L241" i="150"/>
  <c r="L239" i="150"/>
  <c r="H258" i="150"/>
  <c r="G258" i="150" s="1"/>
  <c r="F29" i="125"/>
  <c r="H19" i="125"/>
  <c r="H269" i="150" l="1"/>
  <c r="G269" i="150" s="1"/>
  <c r="K13" i="125"/>
  <c r="S248" i="76"/>
  <c r="U248" i="76" s="1"/>
  <c r="R253" i="76"/>
  <c r="F63" i="123" l="1"/>
  <c r="F55" i="45"/>
  <c r="F61" i="64"/>
  <c r="G56" i="119"/>
  <c r="G60" i="119"/>
  <c r="G59" i="123"/>
  <c r="F61" i="90"/>
  <c r="F61" i="62"/>
  <c r="F61" i="89"/>
  <c r="G52" i="95"/>
  <c r="G52" i="97"/>
  <c r="G52" i="98"/>
  <c r="G52" i="99"/>
  <c r="G52" i="67"/>
  <c r="G53" i="48"/>
  <c r="G52" i="48"/>
  <c r="F61" i="119"/>
  <c r="F61" i="91"/>
  <c r="F61" i="70"/>
  <c r="F61" i="66"/>
  <c r="F61" i="88"/>
  <c r="F61" i="87"/>
  <c r="F61" i="86"/>
  <c r="F61" i="61"/>
  <c r="F61" i="60"/>
  <c r="F61" i="49"/>
  <c r="F55" i="84"/>
  <c r="F55" i="95"/>
  <c r="F55" i="97"/>
  <c r="F55" i="98"/>
  <c r="F55" i="99"/>
  <c r="F55" i="67"/>
  <c r="F55" i="48"/>
  <c r="F55" i="47"/>
  <c r="F55" i="1"/>
  <c r="F55" i="44"/>
  <c r="F55" i="41"/>
  <c r="N236" i="76" l="1"/>
  <c r="G58" i="123"/>
  <c r="G61" i="123"/>
  <c r="N232" i="76"/>
  <c r="N233" i="76"/>
  <c r="G59" i="119"/>
  <c r="N235" i="76"/>
  <c r="G57" i="119"/>
  <c r="G60" i="123"/>
  <c r="G57" i="123"/>
  <c r="F64" i="123"/>
  <c r="N234" i="76"/>
  <c r="G58" i="119"/>
  <c r="S252" i="76" l="1"/>
  <c r="U252" i="76" s="1"/>
  <c r="G63" i="123"/>
  <c r="G61" i="119"/>
  <c r="F62" i="119"/>
  <c r="V252" i="76" l="1"/>
  <c r="G62" i="119"/>
  <c r="G64" i="123"/>
  <c r="J252" i="150" l="1"/>
  <c r="K252" i="150" s="1"/>
  <c r="L252" i="150" l="1"/>
  <c r="N237" i="76" l="1"/>
  <c r="R236" i="76"/>
  <c r="P236" i="76"/>
  <c r="P232" i="76"/>
  <c r="S235" i="76" l="1"/>
  <c r="U235" i="76" s="1"/>
  <c r="S233" i="76"/>
  <c r="U233" i="76" s="1"/>
  <c r="S234" i="76"/>
  <c r="U234" i="76" s="1"/>
  <c r="S236" i="76"/>
  <c r="U236" i="76" s="1"/>
  <c r="G60" i="87"/>
  <c r="G60" i="90"/>
  <c r="V236" i="76" l="1"/>
  <c r="G60" i="91"/>
  <c r="G56" i="88"/>
  <c r="G57" i="60"/>
  <c r="G57" i="88"/>
  <c r="G58" i="88"/>
  <c r="G58" i="66"/>
  <c r="G57" i="64"/>
  <c r="G57" i="70"/>
  <c r="G60" i="89"/>
  <c r="G56" i="89"/>
  <c r="G57" i="89"/>
  <c r="G58" i="89"/>
  <c r="G59" i="89"/>
  <c r="G59" i="88"/>
  <c r="G59" i="87"/>
  <c r="G58" i="87"/>
  <c r="G57" i="87"/>
  <c r="G56" i="87"/>
  <c r="G60" i="61"/>
  <c r="G59" i="61"/>
  <c r="G58" i="61"/>
  <c r="G57" i="61"/>
  <c r="G56" i="61"/>
  <c r="G59" i="60"/>
  <c r="G58" i="60"/>
  <c r="G56" i="60"/>
  <c r="G60" i="60"/>
  <c r="G57" i="49"/>
  <c r="G60" i="49"/>
  <c r="G59" i="49"/>
  <c r="G58" i="49"/>
  <c r="G59" i="91"/>
  <c r="G58" i="91"/>
  <c r="G57" i="91"/>
  <c r="G56" i="91"/>
  <c r="G59" i="90"/>
  <c r="G57" i="90"/>
  <c r="G56" i="90"/>
  <c r="G58" i="90"/>
  <c r="G59" i="70"/>
  <c r="G56" i="70"/>
  <c r="G58" i="70"/>
  <c r="G60" i="70"/>
  <c r="G59" i="66"/>
  <c r="G57" i="66"/>
  <c r="G56" i="66"/>
  <c r="G60" i="66"/>
  <c r="G60" i="64"/>
  <c r="G59" i="64"/>
  <c r="G56" i="64"/>
  <c r="J236" i="150" l="1"/>
  <c r="K236" i="150" s="1"/>
  <c r="L236" i="150" s="1"/>
  <c r="S232" i="76"/>
  <c r="U232" i="76" s="1"/>
  <c r="G61" i="66"/>
  <c r="G60" i="88"/>
  <c r="G61" i="88" s="1"/>
  <c r="G61" i="87"/>
  <c r="G61" i="61"/>
  <c r="G61" i="90"/>
  <c r="G56" i="49"/>
  <c r="G61" i="49" s="1"/>
  <c r="G61" i="60"/>
  <c r="G61" i="89"/>
  <c r="G61" i="91"/>
  <c r="G61" i="70"/>
  <c r="R233" i="76"/>
  <c r="V233" i="76" s="1"/>
  <c r="P233" i="76"/>
  <c r="P234" i="76"/>
  <c r="R232" i="76"/>
  <c r="P235" i="76"/>
  <c r="G53" i="84"/>
  <c r="G54" i="95"/>
  <c r="G53" i="95"/>
  <c r="G51" i="95"/>
  <c r="G50" i="95"/>
  <c r="G54" i="97"/>
  <c r="G53" i="97"/>
  <c r="G51" i="97"/>
  <c r="G50" i="97"/>
  <c r="G54" i="98"/>
  <c r="G53" i="98"/>
  <c r="G51" i="98"/>
  <c r="G50" i="98"/>
  <c r="G54" i="99"/>
  <c r="G53" i="99"/>
  <c r="G51" i="99"/>
  <c r="G54" i="48"/>
  <c r="V232" i="76" l="1"/>
  <c r="J232" i="150"/>
  <c r="K232" i="150"/>
  <c r="J233" i="150"/>
  <c r="K233" i="150" s="1"/>
  <c r="L233" i="150" s="1"/>
  <c r="S237" i="76"/>
  <c r="U237" i="76" s="1"/>
  <c r="G58" i="64"/>
  <c r="G61" i="64" s="1"/>
  <c r="G55" i="98"/>
  <c r="G55" i="97"/>
  <c r="G55" i="95"/>
  <c r="G52" i="84"/>
  <c r="G54" i="84"/>
  <c r="G51" i="84"/>
  <c r="G50" i="84"/>
  <c r="G50" i="99"/>
  <c r="G55" i="99" s="1"/>
  <c r="R235" i="76"/>
  <c r="V235" i="76" s="1"/>
  <c r="R234" i="76"/>
  <c r="V234" i="76" s="1"/>
  <c r="G54" i="45"/>
  <c r="G51" i="48"/>
  <c r="G50" i="48"/>
  <c r="G54" i="67"/>
  <c r="G53" i="67"/>
  <c r="G51" i="67"/>
  <c r="G50" i="67"/>
  <c r="G54" i="47"/>
  <c r="G53" i="47"/>
  <c r="G52" i="47"/>
  <c r="G51" i="47"/>
  <c r="G50" i="47"/>
  <c r="G53" i="45"/>
  <c r="G52" i="45"/>
  <c r="G51" i="45"/>
  <c r="G50" i="45"/>
  <c r="G50" i="44"/>
  <c r="G51" i="44"/>
  <c r="G52" i="44"/>
  <c r="G53" i="44"/>
  <c r="G54" i="44"/>
  <c r="G50" i="41"/>
  <c r="G51" i="41"/>
  <c r="G52" i="41"/>
  <c r="G53" i="41"/>
  <c r="G54" i="41"/>
  <c r="J234" i="150" l="1"/>
  <c r="K234" i="150" s="1"/>
  <c r="L234" i="150" s="1"/>
  <c r="J235" i="150"/>
  <c r="K235" i="150" s="1"/>
  <c r="L235" i="150" s="1"/>
  <c r="L232" i="150"/>
  <c r="G55" i="67"/>
  <c r="G55" i="44"/>
  <c r="G55" i="84"/>
  <c r="G55" i="41"/>
  <c r="G55" i="48"/>
  <c r="G55" i="45"/>
  <c r="G55" i="47"/>
  <c r="L237" i="150" l="1"/>
  <c r="K237" i="150"/>
  <c r="R247" i="76" l="1"/>
  <c r="P253" i="76"/>
  <c r="R251" i="76"/>
  <c r="P251" i="76"/>
  <c r="R250" i="76"/>
  <c r="P250" i="76"/>
  <c r="R249" i="76"/>
  <c r="P249" i="76"/>
  <c r="P248" i="76"/>
  <c r="P247" i="76"/>
  <c r="R248" i="76"/>
  <c r="N52" i="49"/>
  <c r="F52" i="49"/>
  <c r="G58" i="86"/>
  <c r="G60" i="86"/>
  <c r="M79" i="76"/>
  <c r="N79" i="76" s="1"/>
  <c r="M73" i="76"/>
  <c r="N73" i="76" s="1"/>
  <c r="P52" i="49"/>
  <c r="J52" i="49"/>
  <c r="P103" i="76"/>
  <c r="M85" i="76"/>
  <c r="N85" i="76" s="1"/>
  <c r="Q72" i="76"/>
  <c r="Q103" i="76"/>
  <c r="Q66" i="76"/>
  <c r="T103" i="76"/>
  <c r="P104" i="76"/>
  <c r="T73" i="76"/>
  <c r="T104" i="76"/>
  <c r="Q227" i="76"/>
  <c r="H52" i="49"/>
  <c r="O69" i="76"/>
  <c r="P69" i="76" s="1"/>
  <c r="Q84" i="76"/>
  <c r="O75" i="76"/>
  <c r="P75" i="76" s="1"/>
  <c r="Q106" i="76"/>
  <c r="Q219" i="76"/>
  <c r="T69" i="76"/>
  <c r="T79" i="76"/>
  <c r="Q69" i="76"/>
  <c r="Q228" i="76"/>
  <c r="Q87" i="76"/>
  <c r="Q86" i="76"/>
  <c r="T85" i="76"/>
  <c r="T68" i="76"/>
  <c r="L52" i="49"/>
  <c r="Q215" i="76"/>
  <c r="M200" i="76"/>
  <c r="N200" i="76" s="1"/>
  <c r="Q54" i="76"/>
  <c r="M199" i="76"/>
  <c r="N199" i="76" s="1"/>
  <c r="M201" i="76"/>
  <c r="N201" i="76" s="1"/>
  <c r="O57" i="76"/>
  <c r="P57" i="76" s="1"/>
  <c r="Q198" i="76"/>
  <c r="O200" i="76"/>
  <c r="P200" i="76" s="1"/>
  <c r="T199" i="76"/>
  <c r="T201" i="76"/>
  <c r="T200" i="76"/>
  <c r="M47" i="76"/>
  <c r="N47" i="76" s="1"/>
  <c r="M61" i="76"/>
  <c r="N61" i="76" s="1"/>
  <c r="M60" i="76"/>
  <c r="N60" i="76" s="1"/>
  <c r="Q60" i="76"/>
  <c r="O60" i="76"/>
  <c r="P60" i="76" s="1"/>
  <c r="Q61" i="76"/>
  <c r="O61" i="76"/>
  <c r="P61" i="76" s="1"/>
  <c r="T60" i="76"/>
  <c r="Q47" i="76"/>
  <c r="T61" i="76"/>
  <c r="T47" i="76"/>
  <c r="O49" i="76"/>
  <c r="P49" i="76" s="1"/>
  <c r="T49" i="76"/>
  <c r="M41" i="76"/>
  <c r="N41" i="76" s="1"/>
  <c r="T50" i="76"/>
  <c r="Q42" i="76"/>
  <c r="O41" i="76"/>
  <c r="P41" i="76" s="1"/>
  <c r="T41" i="76"/>
  <c r="Q44" i="76"/>
  <c r="O26" i="76"/>
  <c r="P26" i="76" s="1"/>
  <c r="Q43" i="76"/>
  <c r="M26" i="76"/>
  <c r="N26" i="76" s="1"/>
  <c r="Q33" i="76"/>
  <c r="Q35" i="76"/>
  <c r="M153" i="76"/>
  <c r="N153" i="76" s="1"/>
  <c r="T26" i="76"/>
  <c r="N51" i="49"/>
  <c r="M143" i="76"/>
  <c r="N143" i="76" s="1"/>
  <c r="M142" i="76"/>
  <c r="N142" i="76" s="1"/>
  <c r="O142" i="76"/>
  <c r="P142" i="76" s="1"/>
  <c r="O153" i="76"/>
  <c r="P153" i="76" s="1"/>
  <c r="Q143" i="76"/>
  <c r="Q145" i="76"/>
  <c r="T142" i="76"/>
  <c r="O143" i="76"/>
  <c r="P143" i="76" s="1"/>
  <c r="T152" i="76"/>
  <c r="T153" i="76"/>
  <c r="T143" i="76"/>
  <c r="H51" i="49"/>
  <c r="M135" i="76"/>
  <c r="N135" i="76" s="1"/>
  <c r="H50" i="49"/>
  <c r="M138" i="76"/>
  <c r="N138" i="76" s="1"/>
  <c r="O135" i="76"/>
  <c r="P135" i="76" s="1"/>
  <c r="Q135" i="76"/>
  <c r="P49" i="49"/>
  <c r="L49" i="49"/>
  <c r="J49" i="49"/>
  <c r="Q136" i="76"/>
  <c r="J51" i="49"/>
  <c r="L50" i="49"/>
  <c r="T135" i="76"/>
  <c r="J50" i="49"/>
  <c r="P50" i="49"/>
  <c r="N50" i="49"/>
  <c r="V248" i="76" l="1"/>
  <c r="O52" i="49"/>
  <c r="R47" i="76"/>
  <c r="R228" i="76"/>
  <c r="R106" i="76"/>
  <c r="R219" i="76"/>
  <c r="R136" i="76"/>
  <c r="R135" i="76"/>
  <c r="R143" i="76"/>
  <c r="R42" i="76"/>
  <c r="R54" i="76"/>
  <c r="R86" i="76"/>
  <c r="R227" i="76"/>
  <c r="R33" i="76"/>
  <c r="R87" i="76"/>
  <c r="R229" i="76"/>
  <c r="R84" i="76"/>
  <c r="G52" i="49"/>
  <c r="I52" i="49"/>
  <c r="M52" i="49"/>
  <c r="K52" i="49"/>
  <c r="S249" i="76"/>
  <c r="U249" i="76" s="1"/>
  <c r="S251" i="76"/>
  <c r="U251" i="76" s="1"/>
  <c r="S222" i="76"/>
  <c r="S250" i="76"/>
  <c r="U250" i="76" s="1"/>
  <c r="J53" i="49"/>
  <c r="Q19" i="76"/>
  <c r="G56" i="86"/>
  <c r="G50" i="1"/>
  <c r="G51" i="1"/>
  <c r="S41" i="76"/>
  <c r="Q192" i="76"/>
  <c r="Q22" i="76"/>
  <c r="T227" i="76"/>
  <c r="S79" i="76"/>
  <c r="S229" i="76"/>
  <c r="U229" i="76" s="1"/>
  <c r="Q144" i="76"/>
  <c r="Q212" i="76"/>
  <c r="Q21" i="76"/>
  <c r="Q20" i="76"/>
  <c r="T20" i="76"/>
  <c r="O20" i="76"/>
  <c r="P20" i="76" s="1"/>
  <c r="M20" i="76"/>
  <c r="N20" i="76" s="1"/>
  <c r="S149" i="76"/>
  <c r="S153" i="76"/>
  <c r="Q37" i="76"/>
  <c r="Q51" i="76"/>
  <c r="Q50" i="76"/>
  <c r="Q41" i="76"/>
  <c r="O47" i="76"/>
  <c r="P47" i="76" s="1"/>
  <c r="Q63" i="76"/>
  <c r="Q200" i="76"/>
  <c r="Q214" i="76"/>
  <c r="T105" i="76"/>
  <c r="Q74" i="76"/>
  <c r="M67" i="76"/>
  <c r="N67" i="76" s="1"/>
  <c r="S75" i="76"/>
  <c r="T149" i="76"/>
  <c r="Q29" i="76"/>
  <c r="H49" i="49"/>
  <c r="H53" i="49" s="1"/>
  <c r="N49" i="49"/>
  <c r="N53" i="49" s="1"/>
  <c r="L51" i="49"/>
  <c r="L53" i="49" s="1"/>
  <c r="O67" i="76"/>
  <c r="P67" i="76" s="1"/>
  <c r="Q207" i="76"/>
  <c r="T42" i="76"/>
  <c r="O204" i="76"/>
  <c r="P204" i="76" s="1"/>
  <c r="T19" i="76"/>
  <c r="T37" i="76"/>
  <c r="Q153" i="76"/>
  <c r="Q49" i="76"/>
  <c r="Q48" i="76"/>
  <c r="Q75" i="76"/>
  <c r="O228" i="76"/>
  <c r="S60" i="76"/>
  <c r="U60" i="76" s="1"/>
  <c r="T28" i="76"/>
  <c r="Q55" i="76"/>
  <c r="O138" i="76"/>
  <c r="P138" i="76" s="1"/>
  <c r="Q142" i="76"/>
  <c r="T27" i="76"/>
  <c r="Q27" i="76"/>
  <c r="M19" i="76"/>
  <c r="N19" i="76" s="1"/>
  <c r="M28" i="76"/>
  <c r="N28" i="76" s="1"/>
  <c r="M50" i="76"/>
  <c r="N50" i="76" s="1"/>
  <c r="O215" i="76"/>
  <c r="P215" i="76" s="1"/>
  <c r="Q204" i="76"/>
  <c r="Q105" i="76"/>
  <c r="P105" i="76"/>
  <c r="G59" i="62"/>
  <c r="Q194" i="76"/>
  <c r="T197" i="76"/>
  <c r="T206" i="76"/>
  <c r="M207" i="76"/>
  <c r="N207" i="76" s="1"/>
  <c r="Q191" i="76"/>
  <c r="S215" i="76"/>
  <c r="Q56" i="76"/>
  <c r="F50" i="49"/>
  <c r="O50" i="49" s="1"/>
  <c r="T138" i="76"/>
  <c r="Q139" i="76"/>
  <c r="Q137" i="76"/>
  <c r="O19" i="76"/>
  <c r="P19" i="76" s="1"/>
  <c r="Q36" i="76"/>
  <c r="Q34" i="76"/>
  <c r="Q26" i="76"/>
  <c r="P51" i="49"/>
  <c r="P53" i="49" s="1"/>
  <c r="O50" i="76"/>
  <c r="P50" i="76" s="1"/>
  <c r="Q81" i="76"/>
  <c r="Q193" i="76"/>
  <c r="Q80" i="76"/>
  <c r="Q104" i="76"/>
  <c r="Q225" i="76"/>
  <c r="Q199" i="76"/>
  <c r="T215" i="76"/>
  <c r="M205" i="76"/>
  <c r="N205" i="76" s="1"/>
  <c r="Q208" i="76"/>
  <c r="M197" i="76"/>
  <c r="N197" i="76" s="1"/>
  <c r="Q221" i="76"/>
  <c r="U222" i="76" s="1"/>
  <c r="Q67" i="76"/>
  <c r="F62" i="64"/>
  <c r="G62" i="64" s="1"/>
  <c r="M62" i="76"/>
  <c r="N62" i="76" s="1"/>
  <c r="M213" i="76"/>
  <c r="N213" i="76" s="1"/>
  <c r="F62" i="88"/>
  <c r="G62" i="88" s="1"/>
  <c r="M56" i="76"/>
  <c r="N56" i="76" s="1"/>
  <c r="Q201" i="76"/>
  <c r="O201" i="76"/>
  <c r="P201" i="76" s="1"/>
  <c r="Q23" i="76"/>
  <c r="Q151" i="76"/>
  <c r="O79" i="76"/>
  <c r="P79" i="76" s="1"/>
  <c r="Q79" i="76"/>
  <c r="Q78" i="76"/>
  <c r="Q146" i="76"/>
  <c r="Q40" i="76"/>
  <c r="O28" i="76"/>
  <c r="P28" i="76" s="1"/>
  <c r="Q28" i="76"/>
  <c r="Q62" i="76"/>
  <c r="S47" i="76"/>
  <c r="U47" i="76" s="1"/>
  <c r="O197" i="76"/>
  <c r="P197" i="76" s="1"/>
  <c r="Q197" i="76"/>
  <c r="Q190" i="76"/>
  <c r="Q213" i="76"/>
  <c r="S49" i="76"/>
  <c r="S199" i="76"/>
  <c r="S57" i="76"/>
  <c r="T35" i="76"/>
  <c r="M215" i="76"/>
  <c r="N215" i="76" s="1"/>
  <c r="O218" i="76"/>
  <c r="P218" i="76" s="1"/>
  <c r="Q218" i="76"/>
  <c r="M151" i="76"/>
  <c r="N151" i="76" s="1"/>
  <c r="O199" i="76"/>
  <c r="P199" i="76" s="1"/>
  <c r="Q57" i="76"/>
  <c r="T57" i="76"/>
  <c r="M57" i="76"/>
  <c r="N57" i="76" s="1"/>
  <c r="S61" i="76"/>
  <c r="U61" i="76" s="1"/>
  <c r="F56" i="99"/>
  <c r="G56" i="99" s="1"/>
  <c r="M49" i="76"/>
  <c r="N49" i="76" s="1"/>
  <c r="Q206" i="76"/>
  <c r="Q220" i="76"/>
  <c r="Q85" i="76"/>
  <c r="O85" i="76"/>
  <c r="P85" i="76" s="1"/>
  <c r="Q68" i="76"/>
  <c r="O68" i="76"/>
  <c r="P68" i="76" s="1"/>
  <c r="Q107" i="76"/>
  <c r="M36" i="76"/>
  <c r="N36" i="76" s="1"/>
  <c r="T40" i="76"/>
  <c r="M44" i="76"/>
  <c r="N44" i="76" s="1"/>
  <c r="M136" i="76"/>
  <c r="N136" i="76" s="1"/>
  <c r="F51" i="49"/>
  <c r="Q205" i="76"/>
  <c r="O73" i="76"/>
  <c r="P73" i="76" s="1"/>
  <c r="Q73" i="76"/>
  <c r="S201" i="76"/>
  <c r="M68" i="76"/>
  <c r="N68" i="76" s="1"/>
  <c r="F56" i="98"/>
  <c r="G56" i="98" s="1"/>
  <c r="M214" i="76"/>
  <c r="N214" i="76" s="1"/>
  <c r="T106" i="76"/>
  <c r="M48" i="76"/>
  <c r="N48" i="76" s="1"/>
  <c r="T51" i="76"/>
  <c r="T75" i="76"/>
  <c r="O72" i="76"/>
  <c r="P72" i="76" s="1"/>
  <c r="T74" i="76"/>
  <c r="M75" i="76"/>
  <c r="N75" i="76" s="1"/>
  <c r="T80" i="76"/>
  <c r="M81" i="76"/>
  <c r="N81" i="76" s="1"/>
  <c r="M55" i="76"/>
  <c r="N55" i="76" s="1"/>
  <c r="F56" i="84"/>
  <c r="G56" i="84" s="1"/>
  <c r="T29" i="76"/>
  <c r="G56" i="62"/>
  <c r="M211" i="76"/>
  <c r="N211" i="76" s="1"/>
  <c r="M221" i="76"/>
  <c r="Q226" i="76"/>
  <c r="S26" i="76"/>
  <c r="P106" i="76"/>
  <c r="S200" i="76"/>
  <c r="O227" i="76"/>
  <c r="P227" i="76" s="1"/>
  <c r="F56" i="95"/>
  <c r="G56" i="95" s="1"/>
  <c r="M66" i="76"/>
  <c r="N66" i="76" s="1"/>
  <c r="S104" i="76"/>
  <c r="M69" i="76"/>
  <c r="N69" i="76" s="1"/>
  <c r="R43" i="76"/>
  <c r="R44" i="76"/>
  <c r="R145" i="76"/>
  <c r="R35" i="76"/>
  <c r="R61" i="76"/>
  <c r="R198" i="76"/>
  <c r="R60" i="76"/>
  <c r="R215" i="76"/>
  <c r="R69" i="76"/>
  <c r="R72" i="76"/>
  <c r="R66" i="76"/>
  <c r="R103" i="76"/>
  <c r="S73" i="76"/>
  <c r="F49" i="49"/>
  <c r="O49" i="49" s="1"/>
  <c r="V229" i="76" l="1"/>
  <c r="P228" i="76"/>
  <c r="P229" i="76"/>
  <c r="N221" i="76"/>
  <c r="N222" i="76"/>
  <c r="R222" i="76"/>
  <c r="V249" i="76"/>
  <c r="V251" i="76"/>
  <c r="V250" i="76"/>
  <c r="J248" i="150"/>
  <c r="K248" i="150" s="1"/>
  <c r="L248" i="150" s="1"/>
  <c r="U215" i="76"/>
  <c r="O51" i="49"/>
  <c r="U201" i="76"/>
  <c r="R104" i="76"/>
  <c r="V104" i="76" s="1"/>
  <c r="U104" i="76"/>
  <c r="R62" i="76"/>
  <c r="R146" i="76"/>
  <c r="R221" i="76"/>
  <c r="R80" i="76"/>
  <c r="R36" i="76"/>
  <c r="R191" i="76"/>
  <c r="R194" i="76"/>
  <c r="R105" i="76"/>
  <c r="R142" i="76"/>
  <c r="R49" i="76"/>
  <c r="V49" i="76" s="1"/>
  <c r="U49" i="76"/>
  <c r="R63" i="76"/>
  <c r="R51" i="76"/>
  <c r="R107" i="76"/>
  <c r="R85" i="76"/>
  <c r="R79" i="76"/>
  <c r="V79" i="76" s="1"/>
  <c r="U79" i="76"/>
  <c r="R34" i="76"/>
  <c r="R192" i="76"/>
  <c r="R220" i="76"/>
  <c r="R205" i="76"/>
  <c r="R68" i="76"/>
  <c r="R206" i="76"/>
  <c r="R213" i="76"/>
  <c r="R28" i="76"/>
  <c r="R151" i="76"/>
  <c r="R199" i="76"/>
  <c r="V199" i="76" s="1"/>
  <c r="U199" i="76"/>
  <c r="R193" i="76"/>
  <c r="R204" i="76"/>
  <c r="R153" i="76"/>
  <c r="V153" i="76" s="1"/>
  <c r="U153" i="76"/>
  <c r="R214" i="76"/>
  <c r="R37" i="76"/>
  <c r="R73" i="76"/>
  <c r="V73" i="76" s="1"/>
  <c r="U73" i="76"/>
  <c r="R197" i="76"/>
  <c r="R40" i="76"/>
  <c r="R139" i="76"/>
  <c r="R48" i="76"/>
  <c r="R29" i="76"/>
  <c r="R74" i="76"/>
  <c r="R200" i="76"/>
  <c r="V200" i="76" s="1"/>
  <c r="U200" i="76"/>
  <c r="R50" i="76"/>
  <c r="R144" i="76"/>
  <c r="J174" i="150"/>
  <c r="K174" i="150" s="1"/>
  <c r="L174" i="150" s="1"/>
  <c r="R57" i="76"/>
  <c r="V57" i="76" s="1"/>
  <c r="U57" i="76"/>
  <c r="R190" i="76"/>
  <c r="R78" i="76"/>
  <c r="R67" i="76"/>
  <c r="R208" i="76"/>
  <c r="R225" i="76"/>
  <c r="R81" i="76"/>
  <c r="R26" i="76"/>
  <c r="V26" i="76" s="1"/>
  <c r="U26" i="76"/>
  <c r="R137" i="76"/>
  <c r="R56" i="76"/>
  <c r="R27" i="76"/>
  <c r="R55" i="76"/>
  <c r="R75" i="76"/>
  <c r="V75" i="76" s="1"/>
  <c r="U75" i="76"/>
  <c r="R207" i="76"/>
  <c r="R41" i="76"/>
  <c r="V41" i="76" s="1"/>
  <c r="U41" i="76"/>
  <c r="R212" i="76"/>
  <c r="M51" i="49"/>
  <c r="K51" i="49"/>
  <c r="I51" i="49"/>
  <c r="G51" i="49"/>
  <c r="M50" i="49"/>
  <c r="K50" i="49"/>
  <c r="I50" i="49"/>
  <c r="G50" i="49"/>
  <c r="M49" i="49"/>
  <c r="K49" i="49"/>
  <c r="I49" i="49"/>
  <c r="G49" i="49"/>
  <c r="S85" i="76"/>
  <c r="U85" i="76" s="1"/>
  <c r="S152" i="76"/>
  <c r="R21" i="76"/>
  <c r="R23" i="76"/>
  <c r="R20" i="76"/>
  <c r="R19" i="76"/>
  <c r="R22" i="76"/>
  <c r="S135" i="76"/>
  <c r="U135" i="76" s="1"/>
  <c r="S142" i="76"/>
  <c r="S69" i="76"/>
  <c r="U69" i="76" s="1"/>
  <c r="S50" i="76"/>
  <c r="U50" i="76" s="1"/>
  <c r="S228" i="76"/>
  <c r="F53" i="49"/>
  <c r="O53" i="49" s="1"/>
  <c r="S19" i="76"/>
  <c r="U19" i="76" s="1"/>
  <c r="G59" i="86"/>
  <c r="T194" i="76"/>
  <c r="G60" i="62"/>
  <c r="G57" i="86"/>
  <c r="T192" i="76"/>
  <c r="G58" i="62"/>
  <c r="S68" i="76"/>
  <c r="T191" i="76"/>
  <c r="G57" i="62"/>
  <c r="S20" i="76"/>
  <c r="U20" i="76" s="1"/>
  <c r="M22" i="76"/>
  <c r="N22" i="76" s="1"/>
  <c r="G53" i="1"/>
  <c r="O21" i="76"/>
  <c r="P21" i="76" s="1"/>
  <c r="G52" i="1"/>
  <c r="M23" i="76"/>
  <c r="N23" i="76" s="1"/>
  <c r="G54" i="1"/>
  <c r="Q45" i="76"/>
  <c r="M70" i="76"/>
  <c r="N70" i="76" s="1"/>
  <c r="Q52" i="76"/>
  <c r="O191" i="76"/>
  <c r="P191" i="76" s="1"/>
  <c r="M88" i="76"/>
  <c r="N88" i="76" s="1"/>
  <c r="M226" i="76"/>
  <c r="N226" i="76" s="1"/>
  <c r="M228" i="76"/>
  <c r="T228" i="76"/>
  <c r="M194" i="76"/>
  <c r="N194" i="76" s="1"/>
  <c r="M227" i="76"/>
  <c r="N227" i="76" s="1"/>
  <c r="S138" i="76"/>
  <c r="Q147" i="76"/>
  <c r="Q202" i="76"/>
  <c r="M202" i="76"/>
  <c r="N202" i="76" s="1"/>
  <c r="T207" i="76"/>
  <c r="O213" i="76"/>
  <c r="P213" i="76" s="1"/>
  <c r="M192" i="76"/>
  <c r="N192" i="76" s="1"/>
  <c r="Q24" i="76"/>
  <c r="S80" i="76"/>
  <c r="U80" i="76" s="1"/>
  <c r="O145" i="76"/>
  <c r="P145" i="76" s="1"/>
  <c r="T145" i="76"/>
  <c r="O226" i="76"/>
  <c r="P226" i="76" s="1"/>
  <c r="O206" i="76"/>
  <c r="P206" i="76" s="1"/>
  <c r="T205" i="76"/>
  <c r="T193" i="76"/>
  <c r="O192" i="76"/>
  <c r="P192" i="76" s="1"/>
  <c r="Q211" i="76"/>
  <c r="T67" i="76"/>
  <c r="T204" i="76"/>
  <c r="M145" i="76"/>
  <c r="N145" i="76" s="1"/>
  <c r="O194" i="76"/>
  <c r="P194" i="76" s="1"/>
  <c r="M218" i="76"/>
  <c r="N218" i="76" s="1"/>
  <c r="Q216" i="76"/>
  <c r="M204" i="76"/>
  <c r="N204" i="76" s="1"/>
  <c r="V222" i="76"/>
  <c r="O42" i="76"/>
  <c r="P42" i="76" s="1"/>
  <c r="S197" i="76"/>
  <c r="U197" i="76" s="1"/>
  <c r="T23" i="76"/>
  <c r="M42" i="76"/>
  <c r="N42" i="76" s="1"/>
  <c r="O23" i="76"/>
  <c r="P23" i="76" s="1"/>
  <c r="R201" i="76"/>
  <c r="V201" i="76" s="1"/>
  <c r="T107" i="76"/>
  <c r="P107" i="76"/>
  <c r="T72" i="76"/>
  <c r="M29" i="76"/>
  <c r="N29" i="76" s="1"/>
  <c r="O202" i="76"/>
  <c r="P202" i="76" s="1"/>
  <c r="O87" i="76"/>
  <c r="P87" i="76" s="1"/>
  <c r="O27" i="76"/>
  <c r="P27" i="76" s="1"/>
  <c r="T62" i="76"/>
  <c r="M30" i="76"/>
  <c r="N30" i="76" s="1"/>
  <c r="O193" i="76"/>
  <c r="P193" i="76" s="1"/>
  <c r="Q31" i="76"/>
  <c r="M139" i="76"/>
  <c r="N139" i="76" s="1"/>
  <c r="T56" i="76"/>
  <c r="P108" i="76"/>
  <c r="M76" i="76"/>
  <c r="N76" i="76" s="1"/>
  <c r="M191" i="76"/>
  <c r="N191" i="76" s="1"/>
  <c r="T87" i="76"/>
  <c r="T213" i="76"/>
  <c r="M27" i="76"/>
  <c r="N27" i="76" s="1"/>
  <c r="O208" i="76"/>
  <c r="P208" i="76" s="1"/>
  <c r="M206" i="76"/>
  <c r="N206" i="76" s="1"/>
  <c r="M193" i="76"/>
  <c r="N193" i="76" s="1"/>
  <c r="M208" i="76"/>
  <c r="N208" i="76" s="1"/>
  <c r="O30" i="76"/>
  <c r="P30" i="76" s="1"/>
  <c r="Q30" i="76"/>
  <c r="O56" i="76"/>
  <c r="P56" i="76" s="1"/>
  <c r="O205" i="76"/>
  <c r="P205" i="76" s="1"/>
  <c r="T208" i="76"/>
  <c r="M37" i="76"/>
  <c r="N37" i="76" s="1"/>
  <c r="T30" i="76"/>
  <c r="M35" i="76"/>
  <c r="N35" i="76" s="1"/>
  <c r="T151" i="76"/>
  <c r="T202" i="76"/>
  <c r="M87" i="76"/>
  <c r="N87" i="76" s="1"/>
  <c r="O137" i="76"/>
  <c r="P137" i="76" s="1"/>
  <c r="M137" i="76"/>
  <c r="N137" i="76" s="1"/>
  <c r="T137" i="76"/>
  <c r="Q138" i="76"/>
  <c r="O139" i="76"/>
  <c r="P139" i="76" s="1"/>
  <c r="O207" i="76"/>
  <c r="P207" i="76" s="1"/>
  <c r="O37" i="76"/>
  <c r="P37" i="76" s="1"/>
  <c r="T139" i="76"/>
  <c r="O62" i="76"/>
  <c r="P62" i="76" s="1"/>
  <c r="T54" i="76"/>
  <c r="M54" i="76"/>
  <c r="N54" i="76" s="1"/>
  <c r="O54" i="76"/>
  <c r="P54" i="76" s="1"/>
  <c r="O211" i="76"/>
  <c r="P211" i="76" s="1"/>
  <c r="R218" i="76"/>
  <c r="V47" i="76"/>
  <c r="O212" i="76"/>
  <c r="P212" i="76" s="1"/>
  <c r="M190" i="76"/>
  <c r="N190" i="76" s="1"/>
  <c r="M80" i="76"/>
  <c r="N80" i="76" s="1"/>
  <c r="O80" i="76"/>
  <c r="P80" i="76" s="1"/>
  <c r="T218" i="76"/>
  <c r="O34" i="76"/>
  <c r="P34" i="76" s="1"/>
  <c r="T221" i="76"/>
  <c r="O136" i="76"/>
  <c r="P136" i="76" s="1"/>
  <c r="O43" i="76"/>
  <c r="P43" i="76" s="1"/>
  <c r="T211" i="76"/>
  <c r="T190" i="76"/>
  <c r="F62" i="89"/>
  <c r="G62" i="89" s="1"/>
  <c r="T55" i="76"/>
  <c r="M51" i="76"/>
  <c r="N51" i="76" s="1"/>
  <c r="M45" i="76"/>
  <c r="N45" i="76" s="1"/>
  <c r="O78" i="76"/>
  <c r="P78" i="76" s="1"/>
  <c r="O151" i="76"/>
  <c r="P151" i="76" s="1"/>
  <c r="M34" i="76"/>
  <c r="N34" i="76" s="1"/>
  <c r="O225" i="76"/>
  <c r="P225" i="76" s="1"/>
  <c r="M21" i="76"/>
  <c r="N21" i="76" s="1"/>
  <c r="Q108" i="76"/>
  <c r="O81" i="76"/>
  <c r="P81" i="76" s="1"/>
  <c r="O74" i="76"/>
  <c r="P74" i="76" s="1"/>
  <c r="O22" i="76"/>
  <c r="P22" i="76" s="1"/>
  <c r="M78" i="76"/>
  <c r="N78" i="76" s="1"/>
  <c r="O48" i="76"/>
  <c r="P48" i="76" s="1"/>
  <c r="M212" i="76"/>
  <c r="N212" i="76" s="1"/>
  <c r="F62" i="61"/>
  <c r="G62" i="61" s="1"/>
  <c r="M40" i="76"/>
  <c r="N40" i="76" s="1"/>
  <c r="O36" i="76"/>
  <c r="P36" i="76" s="1"/>
  <c r="T36" i="76"/>
  <c r="M74" i="76"/>
  <c r="N74" i="76" s="1"/>
  <c r="T43" i="76"/>
  <c r="T108" i="76"/>
  <c r="O66" i="76"/>
  <c r="P66" i="76" s="1"/>
  <c r="T81" i="76"/>
  <c r="O55" i="76"/>
  <c r="P55" i="76" s="1"/>
  <c r="Q38" i="76"/>
  <c r="T21" i="76"/>
  <c r="O144" i="76"/>
  <c r="P144" i="76" s="1"/>
  <c r="O221" i="76"/>
  <c r="F62" i="66"/>
  <c r="G62" i="66" s="1"/>
  <c r="O84" i="76"/>
  <c r="P84" i="76" s="1"/>
  <c r="F56" i="1"/>
  <c r="T84" i="76"/>
  <c r="O51" i="76"/>
  <c r="P51" i="76" s="1"/>
  <c r="M72" i="76"/>
  <c r="N72" i="76" s="1"/>
  <c r="T78" i="76"/>
  <c r="T212" i="76"/>
  <c r="O44" i="76"/>
  <c r="P44" i="76" s="1"/>
  <c r="F56" i="67"/>
  <c r="G56" i="67" s="1"/>
  <c r="M84" i="76"/>
  <c r="N84" i="76" s="1"/>
  <c r="T66" i="76"/>
  <c r="M43" i="76"/>
  <c r="N43" i="76" s="1"/>
  <c r="T44" i="76"/>
  <c r="T22" i="76"/>
  <c r="O214" i="76"/>
  <c r="P214" i="76" s="1"/>
  <c r="O35" i="76"/>
  <c r="P35" i="76" s="1"/>
  <c r="O216" i="76"/>
  <c r="P216" i="76" s="1"/>
  <c r="T214" i="76"/>
  <c r="O190" i="76"/>
  <c r="P190" i="76" s="1"/>
  <c r="T34" i="76"/>
  <c r="T136" i="76"/>
  <c r="T48" i="76"/>
  <c r="O29" i="76"/>
  <c r="P29" i="76" s="1"/>
  <c r="O40" i="76"/>
  <c r="P40" i="76" s="1"/>
  <c r="S227" i="76"/>
  <c r="U227" i="76" s="1"/>
  <c r="R226" i="76"/>
  <c r="S66" i="76"/>
  <c r="S106" i="76"/>
  <c r="U106" i="76" s="1"/>
  <c r="T33" i="76"/>
  <c r="M33" i="76"/>
  <c r="N33" i="76" s="1"/>
  <c r="O33" i="76"/>
  <c r="P33" i="76" s="1"/>
  <c r="M220" i="76"/>
  <c r="N220" i="76" s="1"/>
  <c r="O220" i="76"/>
  <c r="P220" i="76" s="1"/>
  <c r="T220" i="76"/>
  <c r="M86" i="76"/>
  <c r="N86" i="76" s="1"/>
  <c r="O86" i="76"/>
  <c r="P86" i="76" s="1"/>
  <c r="T86" i="76"/>
  <c r="S151" i="76"/>
  <c r="S67" i="76"/>
  <c r="S143" i="76"/>
  <c r="U143" i="76" s="1"/>
  <c r="V60" i="76"/>
  <c r="F62" i="86"/>
  <c r="O63" i="76"/>
  <c r="P63" i="76" s="1"/>
  <c r="M63" i="76"/>
  <c r="N63" i="76" s="1"/>
  <c r="T63" i="76"/>
  <c r="M219" i="76"/>
  <c r="N219" i="76" s="1"/>
  <c r="O219" i="76"/>
  <c r="P219" i="76" s="1"/>
  <c r="T219" i="76"/>
  <c r="S103" i="76"/>
  <c r="U103" i="76" s="1"/>
  <c r="F56" i="41"/>
  <c r="G56" i="41" s="1"/>
  <c r="V215" i="76"/>
  <c r="V61" i="76"/>
  <c r="J251" i="150" l="1"/>
  <c r="K251" i="150" s="1"/>
  <c r="L251" i="150" s="1"/>
  <c r="J229" i="150"/>
  <c r="K229" i="150" s="1"/>
  <c r="L229" i="150" s="1"/>
  <c r="N228" i="76"/>
  <c r="N229" i="76"/>
  <c r="P221" i="76"/>
  <c r="P222" i="76"/>
  <c r="J250" i="150"/>
  <c r="K250" i="150" s="1"/>
  <c r="L250" i="150" s="1"/>
  <c r="J249" i="150"/>
  <c r="K249" i="150" s="1"/>
  <c r="L249" i="150" s="1"/>
  <c r="V142" i="76"/>
  <c r="V68" i="76"/>
  <c r="J68" i="150" s="1"/>
  <c r="K68" i="150" s="1"/>
  <c r="L68" i="150" s="1"/>
  <c r="U67" i="76"/>
  <c r="U66" i="76"/>
  <c r="U151" i="76"/>
  <c r="U68" i="76"/>
  <c r="U142" i="76"/>
  <c r="J199" i="150"/>
  <c r="K199" i="150" s="1"/>
  <c r="L199" i="150" s="1"/>
  <c r="J200" i="150"/>
  <c r="K200" i="150" s="1"/>
  <c r="L200" i="150" s="1"/>
  <c r="J73" i="150"/>
  <c r="K73" i="150" s="1"/>
  <c r="L73" i="150" s="1"/>
  <c r="J57" i="150"/>
  <c r="K57" i="150" s="1"/>
  <c r="L57" i="150" s="1"/>
  <c r="R108" i="76"/>
  <c r="J201" i="150"/>
  <c r="K201" i="150" s="1"/>
  <c r="L201" i="150" s="1"/>
  <c r="R202" i="76"/>
  <c r="K41" i="150"/>
  <c r="L41" i="150" s="1"/>
  <c r="J104" i="150"/>
  <c r="K104" i="150" s="1"/>
  <c r="L104" i="150" s="1"/>
  <c r="J79" i="150"/>
  <c r="K79" i="150" s="1"/>
  <c r="L79" i="150" s="1"/>
  <c r="R38" i="76"/>
  <c r="J49" i="150"/>
  <c r="K49" i="150" s="1"/>
  <c r="L49" i="150" s="1"/>
  <c r="J61" i="150"/>
  <c r="K61" i="150" s="1"/>
  <c r="L61" i="150" s="1"/>
  <c r="J173" i="150"/>
  <c r="K173" i="150" s="1"/>
  <c r="L173" i="150" s="1"/>
  <c r="R31" i="76"/>
  <c r="R147" i="76"/>
  <c r="U228" i="76"/>
  <c r="J47" i="150"/>
  <c r="K47" i="150" s="1"/>
  <c r="L47" i="150" s="1"/>
  <c r="R138" i="76"/>
  <c r="V138" i="76" s="1"/>
  <c r="U138" i="76"/>
  <c r="R216" i="76"/>
  <c r="J171" i="150"/>
  <c r="K171" i="150" s="1"/>
  <c r="L171" i="150" s="1"/>
  <c r="K26" i="150"/>
  <c r="L26" i="150" s="1"/>
  <c r="J215" i="150"/>
  <c r="K215" i="150" s="1"/>
  <c r="L215" i="150" s="1"/>
  <c r="J60" i="150"/>
  <c r="K60" i="150" s="1"/>
  <c r="L60" i="150" s="1"/>
  <c r="J222" i="150"/>
  <c r="K222" i="150" s="1"/>
  <c r="L222" i="150" s="1"/>
  <c r="R211" i="76"/>
  <c r="J75" i="150"/>
  <c r="K75" i="150" s="1"/>
  <c r="L75" i="150" s="1"/>
  <c r="J153" i="150"/>
  <c r="K153" i="150" s="1"/>
  <c r="L153" i="150" s="1"/>
  <c r="R52" i="76"/>
  <c r="R45" i="76"/>
  <c r="V19" i="76"/>
  <c r="K53" i="49"/>
  <c r="Q140" i="76" s="1"/>
  <c r="I53" i="49"/>
  <c r="O140" i="76" s="1"/>
  <c r="P140" i="76" s="1"/>
  <c r="M53" i="49"/>
  <c r="G53" i="49"/>
  <c r="M140" i="76" s="1"/>
  <c r="N140" i="76" s="1"/>
  <c r="S247" i="76"/>
  <c r="U247" i="76" s="1"/>
  <c r="V85" i="76"/>
  <c r="V69" i="76"/>
  <c r="V135" i="76"/>
  <c r="R24" i="76"/>
  <c r="V20" i="76"/>
  <c r="V50" i="76"/>
  <c r="G61" i="62"/>
  <c r="T140" i="76"/>
  <c r="F62" i="49"/>
  <c r="G62" i="49" s="1"/>
  <c r="G61" i="86"/>
  <c r="G62" i="86" s="1"/>
  <c r="M195" i="76"/>
  <c r="N195" i="76" s="1"/>
  <c r="T216" i="76"/>
  <c r="F62" i="70"/>
  <c r="G62" i="70" s="1"/>
  <c r="T223" i="76"/>
  <c r="F62" i="87"/>
  <c r="G62" i="87" s="1"/>
  <c r="T230" i="76"/>
  <c r="F62" i="91"/>
  <c r="G62" i="91" s="1"/>
  <c r="G55" i="1"/>
  <c r="G56" i="1" s="1"/>
  <c r="O38" i="76"/>
  <c r="P38" i="76" s="1"/>
  <c r="F56" i="44"/>
  <c r="G56" i="44" s="1"/>
  <c r="F56" i="45"/>
  <c r="G56" i="45" s="1"/>
  <c r="F56" i="48"/>
  <c r="G56" i="48" s="1"/>
  <c r="F56" i="97"/>
  <c r="G56" i="97" s="1"/>
  <c r="M52" i="76"/>
  <c r="N52" i="76" s="1"/>
  <c r="F56" i="47"/>
  <c r="G56" i="47" s="1"/>
  <c r="M216" i="76"/>
  <c r="N216" i="76" s="1"/>
  <c r="O45" i="76"/>
  <c r="P45" i="76" s="1"/>
  <c r="T45" i="76"/>
  <c r="V197" i="76"/>
  <c r="V228" i="76"/>
  <c r="T195" i="76"/>
  <c r="M225" i="76"/>
  <c r="N225" i="76" s="1"/>
  <c r="T226" i="76"/>
  <c r="Q230" i="76"/>
  <c r="T225" i="76"/>
  <c r="V151" i="76"/>
  <c r="Q209" i="76"/>
  <c r="O195" i="76"/>
  <c r="P195" i="76" s="1"/>
  <c r="Q195" i="76"/>
  <c r="V66" i="76"/>
  <c r="T150" i="76"/>
  <c r="S23" i="76"/>
  <c r="V23" i="76" s="1"/>
  <c r="S145" i="76"/>
  <c r="V145" i="76" s="1"/>
  <c r="S105" i="76"/>
  <c r="U105" i="76" s="1"/>
  <c r="V80" i="76"/>
  <c r="M152" i="76"/>
  <c r="N152" i="76" s="1"/>
  <c r="S204" i="76"/>
  <c r="U204" i="76" s="1"/>
  <c r="S42" i="76"/>
  <c r="U42" i="76" s="1"/>
  <c r="S137" i="76"/>
  <c r="V137" i="76" s="1"/>
  <c r="S226" i="76"/>
  <c r="S205" i="76"/>
  <c r="U205" i="76" s="1"/>
  <c r="S191" i="76"/>
  <c r="U191" i="76" s="1"/>
  <c r="S208" i="76"/>
  <c r="V208" i="76" s="1"/>
  <c r="S37" i="76"/>
  <c r="U37" i="76" s="1"/>
  <c r="S28" i="76"/>
  <c r="U28" i="76" s="1"/>
  <c r="S194" i="76"/>
  <c r="U194" i="76" s="1"/>
  <c r="S213" i="76"/>
  <c r="U213" i="76" s="1"/>
  <c r="S193" i="76"/>
  <c r="U193" i="76" s="1"/>
  <c r="S27" i="76"/>
  <c r="U27" i="76" s="1"/>
  <c r="S62" i="76"/>
  <c r="U62" i="76" s="1"/>
  <c r="S206" i="76"/>
  <c r="U206" i="76" s="1"/>
  <c r="R30" i="76"/>
  <c r="S192" i="76"/>
  <c r="U192" i="76" s="1"/>
  <c r="S150" i="76"/>
  <c r="S30" i="76"/>
  <c r="U30" i="76" s="1"/>
  <c r="S139" i="76"/>
  <c r="V139" i="76" s="1"/>
  <c r="S56" i="76"/>
  <c r="V56" i="76" s="1"/>
  <c r="S207" i="76"/>
  <c r="U207" i="76" s="1"/>
  <c r="S87" i="76"/>
  <c r="U87" i="76" s="1"/>
  <c r="S44" i="76"/>
  <c r="V44" i="76" s="1"/>
  <c r="T209" i="76"/>
  <c r="S190" i="76"/>
  <c r="V190" i="76" s="1"/>
  <c r="O24" i="76"/>
  <c r="P24" i="76" s="1"/>
  <c r="M24" i="76"/>
  <c r="N24" i="76" s="1"/>
  <c r="M38" i="76"/>
  <c r="N38" i="76" s="1"/>
  <c r="T38" i="76"/>
  <c r="S22" i="76"/>
  <c r="V22" i="76" s="1"/>
  <c r="S74" i="76"/>
  <c r="U74" i="76" s="1"/>
  <c r="S81" i="76"/>
  <c r="V81" i="76" s="1"/>
  <c r="S218" i="76"/>
  <c r="S221" i="76"/>
  <c r="U221" i="76" s="1"/>
  <c r="S107" i="76"/>
  <c r="U107" i="76" s="1"/>
  <c r="S214" i="76"/>
  <c r="V214" i="76" s="1"/>
  <c r="S51" i="76"/>
  <c r="U51" i="76" s="1"/>
  <c r="M82" i="76"/>
  <c r="N82" i="76" s="1"/>
  <c r="T24" i="76"/>
  <c r="S48" i="76"/>
  <c r="U48" i="76" s="1"/>
  <c r="S225" i="76"/>
  <c r="O58" i="76"/>
  <c r="P58" i="76" s="1"/>
  <c r="S34" i="76"/>
  <c r="V34" i="76" s="1"/>
  <c r="S54" i="76"/>
  <c r="U54" i="76" s="1"/>
  <c r="S35" i="76"/>
  <c r="U35" i="76" s="1"/>
  <c r="S72" i="76"/>
  <c r="U72" i="76" s="1"/>
  <c r="O52" i="76"/>
  <c r="P52" i="76" s="1"/>
  <c r="T52" i="76"/>
  <c r="S212" i="76"/>
  <c r="U212" i="76" s="1"/>
  <c r="S84" i="76"/>
  <c r="U84" i="76" s="1"/>
  <c r="S29" i="76"/>
  <c r="U29" i="76" s="1"/>
  <c r="S211" i="76"/>
  <c r="S36" i="76"/>
  <c r="S40" i="76"/>
  <c r="U40" i="76" s="1"/>
  <c r="Q223" i="76"/>
  <c r="O223" i="76"/>
  <c r="P223" i="76" s="1"/>
  <c r="S21" i="76"/>
  <c r="U21" i="76" s="1"/>
  <c r="M223" i="76"/>
  <c r="N223" i="76" s="1"/>
  <c r="S43" i="76"/>
  <c r="V43" i="76" s="1"/>
  <c r="S136" i="76"/>
  <c r="U136" i="76" s="1"/>
  <c r="S78" i="76"/>
  <c r="U78" i="76" s="1"/>
  <c r="S55" i="76"/>
  <c r="V55" i="76" s="1"/>
  <c r="M209" i="76"/>
  <c r="N209" i="76" s="1"/>
  <c r="O209" i="76"/>
  <c r="P209" i="76" s="1"/>
  <c r="V106" i="76"/>
  <c r="V227" i="76"/>
  <c r="V103" i="76"/>
  <c r="S219" i="76"/>
  <c r="V219" i="76" s="1"/>
  <c r="V67" i="76"/>
  <c r="S70" i="76"/>
  <c r="S86" i="76"/>
  <c r="U86" i="76" s="1"/>
  <c r="T31" i="76"/>
  <c r="M31" i="76"/>
  <c r="N31" i="76" s="1"/>
  <c r="O31" i="76"/>
  <c r="P31" i="76" s="1"/>
  <c r="S63" i="76"/>
  <c r="V143" i="76"/>
  <c r="S220" i="76"/>
  <c r="S33" i="76"/>
  <c r="U33" i="76" s="1"/>
  <c r="V247" i="76" l="1"/>
  <c r="J156" i="150"/>
  <c r="K156" i="150" s="1"/>
  <c r="L156" i="150" s="1"/>
  <c r="J142" i="150"/>
  <c r="K142" i="150" s="1"/>
  <c r="L142" i="150" s="1"/>
  <c r="V211" i="76"/>
  <c r="U190" i="76"/>
  <c r="U226" i="76"/>
  <c r="U145" i="76"/>
  <c r="U139" i="76"/>
  <c r="U214" i="76"/>
  <c r="J67" i="150"/>
  <c r="K67" i="150" s="1"/>
  <c r="L67" i="150" s="1"/>
  <c r="J106" i="150"/>
  <c r="K106" i="150" s="1"/>
  <c r="L106" i="150" s="1"/>
  <c r="K34" i="150"/>
  <c r="L34" i="150" s="1"/>
  <c r="J177" i="150"/>
  <c r="K177" i="150" s="1"/>
  <c r="L177" i="150" s="1"/>
  <c r="K22" i="150"/>
  <c r="L22" i="150" s="1"/>
  <c r="J44" i="150"/>
  <c r="K44" i="150" s="1"/>
  <c r="L44" i="150" s="1"/>
  <c r="J208" i="150"/>
  <c r="K208" i="150" s="1"/>
  <c r="L208" i="150" s="1"/>
  <c r="R140" i="76"/>
  <c r="U137" i="76"/>
  <c r="U56" i="76"/>
  <c r="J214" i="150"/>
  <c r="K214" i="150" s="1"/>
  <c r="L214" i="150" s="1"/>
  <c r="R195" i="76"/>
  <c r="J69" i="150"/>
  <c r="K69" i="150" s="1"/>
  <c r="L69" i="150" s="1"/>
  <c r="U211" i="76"/>
  <c r="V220" i="76"/>
  <c r="U220" i="76"/>
  <c r="J219" i="150"/>
  <c r="K219" i="150" s="1"/>
  <c r="L219" i="150" s="1"/>
  <c r="J103" i="150"/>
  <c r="K103" i="150" s="1"/>
  <c r="L103" i="150" s="1"/>
  <c r="J43" i="150"/>
  <c r="K43" i="150" s="1"/>
  <c r="L43" i="150" s="1"/>
  <c r="R223" i="76"/>
  <c r="J81" i="150"/>
  <c r="K81" i="150" s="1"/>
  <c r="L81" i="150" s="1"/>
  <c r="J190" i="150"/>
  <c r="K190" i="150" s="1"/>
  <c r="L190" i="150" s="1"/>
  <c r="J145" i="150"/>
  <c r="K145" i="150" s="1"/>
  <c r="L145" i="150" s="1"/>
  <c r="J66" i="150"/>
  <c r="K66" i="150" s="1"/>
  <c r="U225" i="76"/>
  <c r="J197" i="150"/>
  <c r="K197" i="150" s="1"/>
  <c r="L197" i="150" s="1"/>
  <c r="J165" i="150"/>
  <c r="K165" i="150" s="1"/>
  <c r="L165" i="150" s="1"/>
  <c r="J138" i="150"/>
  <c r="K138" i="150" s="1"/>
  <c r="L138" i="150" s="1"/>
  <c r="J170" i="150"/>
  <c r="K170" i="150" s="1"/>
  <c r="L170" i="150" s="1"/>
  <c r="J85" i="150"/>
  <c r="K85" i="150" s="1"/>
  <c r="L85" i="150" s="1"/>
  <c r="U22" i="76"/>
  <c r="U55" i="76"/>
  <c r="U23" i="76"/>
  <c r="V63" i="76"/>
  <c r="U63" i="76"/>
  <c r="V36" i="76"/>
  <c r="U36" i="76"/>
  <c r="J180" i="150"/>
  <c r="K180" i="150" s="1"/>
  <c r="L180" i="150" s="1"/>
  <c r="J56" i="150"/>
  <c r="K56" i="150" s="1"/>
  <c r="L56" i="150" s="1"/>
  <c r="J160" i="150"/>
  <c r="K160" i="150" s="1"/>
  <c r="L160" i="150" s="1"/>
  <c r="J137" i="150"/>
  <c r="K137" i="150" s="1"/>
  <c r="L137" i="150" s="1"/>
  <c r="J80" i="150"/>
  <c r="K80" i="150" s="1"/>
  <c r="L80" i="150" s="1"/>
  <c r="J151" i="150"/>
  <c r="K151" i="150" s="1"/>
  <c r="L151" i="150" s="1"/>
  <c r="J135" i="150"/>
  <c r="K135" i="150" s="1"/>
  <c r="L135" i="150" s="1"/>
  <c r="V218" i="76"/>
  <c r="U218" i="76"/>
  <c r="J179" i="150"/>
  <c r="K179" i="150" s="1"/>
  <c r="L179" i="150" s="1"/>
  <c r="R209" i="76"/>
  <c r="J50" i="150"/>
  <c r="K50" i="150" s="1"/>
  <c r="L50" i="150" s="1"/>
  <c r="K19" i="150"/>
  <c r="J143" i="150"/>
  <c r="K143" i="150" s="1"/>
  <c r="L143" i="150" s="1"/>
  <c r="J172" i="150"/>
  <c r="K172" i="150" s="1"/>
  <c r="L172" i="150" s="1"/>
  <c r="J227" i="150"/>
  <c r="K227" i="150" s="1"/>
  <c r="L227" i="150" s="1"/>
  <c r="J55" i="150"/>
  <c r="K55" i="150" s="1"/>
  <c r="L55" i="150" s="1"/>
  <c r="J139" i="150"/>
  <c r="K139" i="150" s="1"/>
  <c r="L139" i="150" s="1"/>
  <c r="J164" i="150"/>
  <c r="K164" i="150" s="1"/>
  <c r="L164" i="150" s="1"/>
  <c r="K23" i="150"/>
  <c r="L23" i="150" s="1"/>
  <c r="J158" i="150"/>
  <c r="K158" i="150" s="1"/>
  <c r="L158" i="150" s="1"/>
  <c r="R230" i="76"/>
  <c r="J228" i="150"/>
  <c r="K228" i="150" s="1"/>
  <c r="L228" i="150" s="1"/>
  <c r="K20" i="150"/>
  <c r="L20" i="150" s="1"/>
  <c r="U44" i="76"/>
  <c r="U43" i="76"/>
  <c r="U219" i="76"/>
  <c r="U34" i="76"/>
  <c r="U208" i="76"/>
  <c r="U81" i="76"/>
  <c r="S253" i="76"/>
  <c r="U253" i="76" s="1"/>
  <c r="S154" i="76"/>
  <c r="V21" i="76"/>
  <c r="S82" i="76"/>
  <c r="V225" i="76"/>
  <c r="S230" i="76"/>
  <c r="U230" i="76" s="1"/>
  <c r="V221" i="76"/>
  <c r="R237" i="76"/>
  <c r="V237" i="76" s="1"/>
  <c r="M230" i="76"/>
  <c r="N230" i="76" s="1"/>
  <c r="O230" i="76"/>
  <c r="P230" i="76" s="1"/>
  <c r="P237" i="76"/>
  <c r="V226" i="76"/>
  <c r="S108" i="76"/>
  <c r="U108" i="76" s="1"/>
  <c r="M150" i="76"/>
  <c r="N150" i="76" s="1"/>
  <c r="V42" i="76"/>
  <c r="V204" i="76"/>
  <c r="T154" i="76"/>
  <c r="O149" i="76"/>
  <c r="P149" i="76" s="1"/>
  <c r="Q58" i="76"/>
  <c r="T88" i="76"/>
  <c r="V105" i="76"/>
  <c r="O150" i="76"/>
  <c r="P150" i="76" s="1"/>
  <c r="V212" i="76"/>
  <c r="V193" i="76"/>
  <c r="V213" i="76"/>
  <c r="V28" i="76"/>
  <c r="V37" i="76"/>
  <c r="V54" i="76"/>
  <c r="V87" i="76"/>
  <c r="V62" i="76"/>
  <c r="V192" i="76"/>
  <c r="V30" i="76"/>
  <c r="V27" i="76"/>
  <c r="V194" i="76"/>
  <c r="V191" i="76"/>
  <c r="V207" i="76"/>
  <c r="V206" i="76"/>
  <c r="S209" i="76"/>
  <c r="V205" i="76"/>
  <c r="S76" i="76"/>
  <c r="V74" i="76"/>
  <c r="S45" i="76"/>
  <c r="U45" i="76" s="1"/>
  <c r="V136" i="76"/>
  <c r="V48" i="76"/>
  <c r="S31" i="76"/>
  <c r="U31" i="76" s="1"/>
  <c r="S58" i="76"/>
  <c r="S24" i="76"/>
  <c r="U24" i="76" s="1"/>
  <c r="V40" i="76"/>
  <c r="V72" i="76"/>
  <c r="V35" i="76"/>
  <c r="S216" i="76"/>
  <c r="U216" i="76" s="1"/>
  <c r="V78" i="76"/>
  <c r="S140" i="76"/>
  <c r="U140" i="76" s="1"/>
  <c r="V29" i="76"/>
  <c r="V84" i="76"/>
  <c r="S52" i="76"/>
  <c r="V51" i="76"/>
  <c r="V107" i="76"/>
  <c r="S195" i="76"/>
  <c r="U195" i="76" s="1"/>
  <c r="V86" i="76"/>
  <c r="S88" i="76"/>
  <c r="S38" i="76"/>
  <c r="U38" i="76" s="1"/>
  <c r="V33" i="76"/>
  <c r="S223" i="76"/>
  <c r="U223" i="76" s="1"/>
  <c r="S64" i="76"/>
  <c r="J247" i="150" l="1"/>
  <c r="K247" i="150" s="1"/>
  <c r="V253" i="76"/>
  <c r="J211" i="150"/>
  <c r="K211" i="150" s="1"/>
  <c r="L211" i="150" s="1"/>
  <c r="J237" i="150"/>
  <c r="V209" i="76"/>
  <c r="K70" i="150"/>
  <c r="K175" i="150"/>
  <c r="L175" i="150"/>
  <c r="J107" i="150"/>
  <c r="K107" i="150" s="1"/>
  <c r="L107" i="150" s="1"/>
  <c r="K29" i="150"/>
  <c r="L29" i="150" s="1"/>
  <c r="J74" i="150"/>
  <c r="K74" i="150" s="1"/>
  <c r="L74" i="150" s="1"/>
  <c r="J205" i="150"/>
  <c r="K205" i="150" s="1"/>
  <c r="L205" i="150" s="1"/>
  <c r="K30" i="150"/>
  <c r="L30" i="150" s="1"/>
  <c r="K28" i="150"/>
  <c r="L28" i="150" s="1"/>
  <c r="R58" i="76"/>
  <c r="J157" i="150"/>
  <c r="K157" i="150" s="1"/>
  <c r="L157" i="150" s="1"/>
  <c r="J63" i="150"/>
  <c r="K63" i="150" s="1"/>
  <c r="L63" i="150" s="1"/>
  <c r="J51" i="150"/>
  <c r="K51" i="150" s="1"/>
  <c r="L51" i="150" s="1"/>
  <c r="J191" i="150"/>
  <c r="K191" i="150" s="1"/>
  <c r="L191" i="150" s="1"/>
  <c r="J54" i="150"/>
  <c r="K54" i="150" s="1"/>
  <c r="K58" i="150" s="1"/>
  <c r="J213" i="150"/>
  <c r="K213" i="150" s="1"/>
  <c r="L213" i="150" s="1"/>
  <c r="J161" i="150"/>
  <c r="V52" i="76"/>
  <c r="U52" i="76"/>
  <c r="V140" i="76"/>
  <c r="J166" i="150"/>
  <c r="K166" i="150" s="1"/>
  <c r="L166" i="150" s="1"/>
  <c r="K35" i="150"/>
  <c r="L35" i="150" s="1"/>
  <c r="K40" i="150"/>
  <c r="L40" i="150" s="1"/>
  <c r="J206" i="150"/>
  <c r="K206" i="150" s="1"/>
  <c r="L206" i="150" s="1"/>
  <c r="J194" i="150"/>
  <c r="K194" i="150" s="1"/>
  <c r="L194" i="150" s="1"/>
  <c r="K37" i="150"/>
  <c r="L37" i="150" s="1"/>
  <c r="J193" i="150"/>
  <c r="K193" i="150" s="1"/>
  <c r="L193" i="150" s="1"/>
  <c r="J105" i="150"/>
  <c r="K105" i="150" s="1"/>
  <c r="L105" i="150" s="1"/>
  <c r="J163" i="150"/>
  <c r="K163" i="150" s="1"/>
  <c r="L163" i="150" s="1"/>
  <c r="J221" i="150"/>
  <c r="K221" i="150" s="1"/>
  <c r="L221" i="150" s="1"/>
  <c r="K36" i="150"/>
  <c r="L36" i="150" s="1"/>
  <c r="K33" i="150"/>
  <c r="L33" i="150" s="1"/>
  <c r="J86" i="150"/>
  <c r="K86" i="150" s="1"/>
  <c r="L86" i="150" s="1"/>
  <c r="J159" i="150"/>
  <c r="K159" i="150" s="1"/>
  <c r="L159" i="150" s="1"/>
  <c r="J87" i="150"/>
  <c r="K87" i="150" s="1"/>
  <c r="L87" i="150" s="1"/>
  <c r="J42" i="150"/>
  <c r="K42" i="150" s="1"/>
  <c r="L42" i="150" s="1"/>
  <c r="J226" i="150"/>
  <c r="K226" i="150" s="1"/>
  <c r="L226" i="150" s="1"/>
  <c r="K21" i="150"/>
  <c r="L21" i="150" s="1"/>
  <c r="J167" i="150"/>
  <c r="K167" i="150" s="1"/>
  <c r="L167" i="150" s="1"/>
  <c r="J48" i="150"/>
  <c r="K48" i="150" s="1"/>
  <c r="J192" i="150"/>
  <c r="K192" i="150" s="1"/>
  <c r="L192" i="150" s="1"/>
  <c r="U209" i="76"/>
  <c r="J181" i="150"/>
  <c r="K181" i="150" s="1"/>
  <c r="L181" i="150" s="1"/>
  <c r="J220" i="150"/>
  <c r="K220" i="150" s="1"/>
  <c r="L220" i="150" s="1"/>
  <c r="J168" i="150"/>
  <c r="J84" i="150"/>
  <c r="K84" i="150" s="1"/>
  <c r="J78" i="150"/>
  <c r="K78" i="150" s="1"/>
  <c r="K82" i="150" s="1"/>
  <c r="J72" i="150"/>
  <c r="K72" i="150" s="1"/>
  <c r="J136" i="150"/>
  <c r="K136" i="150" s="1"/>
  <c r="L136" i="150" s="1"/>
  <c r="L140" i="150" s="1"/>
  <c r="J207" i="150"/>
  <c r="K207" i="150" s="1"/>
  <c r="L207" i="150" s="1"/>
  <c r="K27" i="150"/>
  <c r="J62" i="150"/>
  <c r="K62" i="150" s="1"/>
  <c r="L62" i="150" s="1"/>
  <c r="J178" i="150"/>
  <c r="K178" i="150" s="1"/>
  <c r="L178" i="150" s="1"/>
  <c r="J212" i="150"/>
  <c r="K212" i="150" s="1"/>
  <c r="L212" i="150" s="1"/>
  <c r="J204" i="150"/>
  <c r="K204" i="150" s="1"/>
  <c r="L204" i="150" s="1"/>
  <c r="J225" i="150"/>
  <c r="K225" i="150" s="1"/>
  <c r="L66" i="150"/>
  <c r="L70" i="150" s="1"/>
  <c r="J218" i="150"/>
  <c r="K218" i="150" s="1"/>
  <c r="L19" i="150"/>
  <c r="V230" i="76"/>
  <c r="V108" i="76"/>
  <c r="O70" i="76"/>
  <c r="P70" i="76" s="1"/>
  <c r="V31" i="76"/>
  <c r="V216" i="76"/>
  <c r="V45" i="76"/>
  <c r="V195" i="76"/>
  <c r="V38" i="76"/>
  <c r="V223" i="76"/>
  <c r="K88" i="150" l="1"/>
  <c r="L108" i="150"/>
  <c r="L131" i="150" s="1"/>
  <c r="J253" i="150"/>
  <c r="L247" i="150"/>
  <c r="L253" i="150" s="1"/>
  <c r="L255" i="150" s="1"/>
  <c r="K253" i="150"/>
  <c r="K76" i="150"/>
  <c r="K230" i="150"/>
  <c r="J209" i="150"/>
  <c r="L78" i="150"/>
  <c r="L82" i="150" s="1"/>
  <c r="L54" i="150"/>
  <c r="L58" i="150" s="1"/>
  <c r="L216" i="150"/>
  <c r="K182" i="150"/>
  <c r="K108" i="150"/>
  <c r="K31" i="150"/>
  <c r="K52" i="150"/>
  <c r="L182" i="150"/>
  <c r="K140" i="150"/>
  <c r="L195" i="150"/>
  <c r="J223" i="150"/>
  <c r="J195" i="150"/>
  <c r="L168" i="150"/>
  <c r="L161" i="150"/>
  <c r="L24" i="150"/>
  <c r="J52" i="150"/>
  <c r="K168" i="150"/>
  <c r="K24" i="150"/>
  <c r="J175" i="150"/>
  <c r="J182" i="150"/>
  <c r="J108" i="150"/>
  <c r="L64" i="150"/>
  <c r="L72" i="150"/>
  <c r="L76" i="150" s="1"/>
  <c r="L225" i="150"/>
  <c r="L230" i="150" s="1"/>
  <c r="K64" i="150"/>
  <c r="K38" i="150"/>
  <c r="K195" i="150"/>
  <c r="K45" i="150"/>
  <c r="J140" i="150"/>
  <c r="K161" i="150"/>
  <c r="J230" i="150"/>
  <c r="L38" i="150"/>
  <c r="L27" i="150"/>
  <c r="L31" i="150" s="1"/>
  <c r="L84" i="150"/>
  <c r="L88" i="150" s="1"/>
  <c r="K216" i="150"/>
  <c r="J45" i="150"/>
  <c r="J216" i="150"/>
  <c r="L48" i="150"/>
  <c r="L52" i="150" s="1"/>
  <c r="L45" i="150"/>
  <c r="L209" i="150"/>
  <c r="K223" i="150"/>
  <c r="L218" i="150"/>
  <c r="L223" i="150" s="1"/>
  <c r="K209" i="150"/>
  <c r="Q82" i="76"/>
  <c r="O82" i="76"/>
  <c r="P82" i="76" s="1"/>
  <c r="Q70" i="76"/>
  <c r="M149" i="76"/>
  <c r="N149" i="76" s="1"/>
  <c r="K131" i="150" l="1"/>
  <c r="J131" i="150" s="1"/>
  <c r="K255" i="150"/>
  <c r="L94" i="150"/>
  <c r="L97" i="150" s="1"/>
  <c r="K94" i="150"/>
  <c r="K97" i="150" s="1"/>
  <c r="R82" i="76"/>
  <c r="O152" i="76"/>
  <c r="P152" i="76" s="1"/>
  <c r="M154" i="76"/>
  <c r="N154" i="76" s="1"/>
  <c r="R70" i="76"/>
  <c r="Q76" i="76"/>
  <c r="O76" i="76"/>
  <c r="P76" i="76" s="1"/>
  <c r="Q88" i="76"/>
  <c r="U88" i="76" s="1"/>
  <c r="O88" i="76"/>
  <c r="P88" i="76" s="1"/>
  <c r="T70" i="76"/>
  <c r="U70" i="76" s="1"/>
  <c r="Q150" i="76"/>
  <c r="U150" i="76" s="1"/>
  <c r="Q149" i="76"/>
  <c r="U149" i="76" s="1"/>
  <c r="J255" i="150" l="1"/>
  <c r="J94" i="150"/>
  <c r="J97" i="150"/>
  <c r="V70" i="76"/>
  <c r="T82" i="76"/>
  <c r="U82" i="76" s="1"/>
  <c r="T76" i="76"/>
  <c r="U76" i="76" s="1"/>
  <c r="R88" i="76"/>
  <c r="T58" i="76"/>
  <c r="U58" i="76" s="1"/>
  <c r="R76" i="76"/>
  <c r="R149" i="76"/>
  <c r="R150" i="76"/>
  <c r="O154" i="76"/>
  <c r="P154" i="76" s="1"/>
  <c r="J70" i="150" l="1"/>
  <c r="V82" i="76"/>
  <c r="V88" i="76"/>
  <c r="V58" i="76"/>
  <c r="V76" i="76"/>
  <c r="V150" i="76"/>
  <c r="V149" i="76"/>
  <c r="J58" i="150" l="1"/>
  <c r="J88" i="150"/>
  <c r="J82" i="150"/>
  <c r="J76" i="150"/>
  <c r="J149" i="150"/>
  <c r="K149" i="150" s="1"/>
  <c r="L149" i="150" s="1"/>
  <c r="J150" i="150"/>
  <c r="K150" i="150" s="1"/>
  <c r="L150" i="150" s="1"/>
  <c r="Q152" i="76"/>
  <c r="U152" i="76" s="1"/>
  <c r="R152" i="76" l="1"/>
  <c r="M58" i="76"/>
  <c r="N58" i="76" s="1"/>
  <c r="Q154" i="76"/>
  <c r="U154" i="76" s="1"/>
  <c r="V152" i="76" l="1"/>
  <c r="R154" i="76"/>
  <c r="J152" i="150" l="1"/>
  <c r="K152" i="150" s="1"/>
  <c r="K154" i="150" s="1"/>
  <c r="V154" i="76"/>
  <c r="M64" i="76"/>
  <c r="N64" i="76" s="1"/>
  <c r="L152" i="150" l="1"/>
  <c r="L154" i="150" s="1"/>
  <c r="J154" i="150"/>
  <c r="Q64" i="76" l="1"/>
  <c r="O64" i="76"/>
  <c r="P64" i="76" s="1"/>
  <c r="T64" i="76" l="1"/>
  <c r="U64" i="76" s="1"/>
  <c r="R64" i="76"/>
  <c r="V64" i="76" l="1"/>
  <c r="J64" i="150" l="1"/>
  <c r="O198" i="76" l="1"/>
  <c r="P198" i="76" s="1"/>
  <c r="M198" i="76"/>
  <c r="N198" i="76" s="1"/>
  <c r="T198" i="76"/>
  <c r="S198" i="76" l="1"/>
  <c r="U198" i="76" s="1"/>
  <c r="V198" i="76" l="1"/>
  <c r="S202" i="76"/>
  <c r="U202" i="76" s="1"/>
  <c r="J198" i="150" l="1"/>
  <c r="K198" i="150" s="1"/>
  <c r="K202" i="150" s="1"/>
  <c r="V202" i="76"/>
  <c r="K243" i="150" l="1"/>
  <c r="J243" i="150" s="1"/>
  <c r="L198" i="150"/>
  <c r="L202" i="150" s="1"/>
  <c r="L243" i="150" s="1"/>
  <c r="J202" i="150"/>
  <c r="M146" i="76" l="1"/>
  <c r="N146" i="76" s="1"/>
  <c r="M144" i="76"/>
  <c r="N144" i="76" s="1"/>
  <c r="O146" i="76"/>
  <c r="P146" i="76" s="1"/>
  <c r="T146" i="76"/>
  <c r="F62" i="60"/>
  <c r="G62" i="60" s="1"/>
  <c r="M147" i="76" l="1"/>
  <c r="N147" i="76" s="1"/>
  <c r="T147" i="76"/>
  <c r="O147" i="76"/>
  <c r="P147" i="76" s="1"/>
  <c r="S146" i="76"/>
  <c r="V146" i="76" s="1"/>
  <c r="T144" i="76"/>
  <c r="J146" i="150" l="1"/>
  <c r="K146" i="150" s="1"/>
  <c r="L146" i="150" s="1"/>
  <c r="U146" i="76"/>
  <c r="S144" i="76"/>
  <c r="V144" i="76" s="1"/>
  <c r="J144" i="150" l="1"/>
  <c r="K144" i="150" s="1"/>
  <c r="K147" i="150" s="1"/>
  <c r="U144" i="76"/>
  <c r="S147" i="76"/>
  <c r="U147" i="76" s="1"/>
  <c r="K186" i="150" l="1"/>
  <c r="K258" i="150" s="1"/>
  <c r="K269" i="150" s="1"/>
  <c r="L144" i="150"/>
  <c r="L147" i="150" s="1"/>
  <c r="L186" i="150" s="1"/>
  <c r="L258" i="150" s="1"/>
  <c r="L269" i="150" s="1"/>
  <c r="L271" i="150" s="1"/>
  <c r="V147" i="76"/>
  <c r="J186" i="150" l="1"/>
  <c r="J147" i="150"/>
  <c r="J258" i="150"/>
  <c r="J269" i="150"/>
  <c r="L295" i="164" l="1"/>
</calcChain>
</file>

<file path=xl/sharedStrings.xml><?xml version="1.0" encoding="utf-8"?>
<sst xmlns="http://schemas.openxmlformats.org/spreadsheetml/2006/main" count="12450" uniqueCount="1444">
  <si>
    <t>TAMPA ELECTRIC COMPANY</t>
  </si>
  <si>
    <t>Determination of Average Remaining Life</t>
  </si>
  <si>
    <t>and Average Service Life at</t>
  </si>
  <si>
    <t>Average</t>
  </si>
  <si>
    <t>Service Life</t>
  </si>
  <si>
    <t>Remaining Life</t>
  </si>
  <si>
    <t>Depreciation</t>
  </si>
  <si>
    <t>Original</t>
  </si>
  <si>
    <t>Service</t>
  </si>
  <si>
    <t>Reserve</t>
  </si>
  <si>
    <t>Life</t>
  </si>
  <si>
    <t>Age</t>
  </si>
  <si>
    <t>Dollars</t>
  </si>
  <si>
    <t>Cost</t>
  </si>
  <si>
    <t>Ratio</t>
  </si>
  <si>
    <t>(yrs)</t>
  </si>
  <si>
    <t>($)</t>
  </si>
  <si>
    <t>Future</t>
  </si>
  <si>
    <t>Retirements</t>
  </si>
  <si>
    <t>COR</t>
  </si>
  <si>
    <t>Big Bend Common</t>
  </si>
  <si>
    <t>Life Category</t>
  </si>
  <si>
    <t>- Year Life</t>
  </si>
  <si>
    <t>Net Salvage</t>
  </si>
  <si>
    <t>Rate</t>
  </si>
  <si>
    <t>Subtotal:</t>
  </si>
  <si>
    <t>Big Bend Unit #1</t>
  </si>
  <si>
    <t>Big Bend Unit #2</t>
  </si>
  <si>
    <t>Big Bend Unit #3</t>
  </si>
  <si>
    <t>Big Bend Unit #4</t>
  </si>
  <si>
    <t>Bayside Common</t>
  </si>
  <si>
    <t>Polk Common</t>
  </si>
  <si>
    <t>Polk Unit #1</t>
  </si>
  <si>
    <t>Polk Unit #2</t>
  </si>
  <si>
    <t>Polk Unit #3</t>
  </si>
  <si>
    <t>Bayside Unit #1</t>
  </si>
  <si>
    <t>Bayside Unit #2</t>
  </si>
  <si>
    <t>Actual</t>
  </si>
  <si>
    <t>Accrual</t>
  </si>
  <si>
    <t>Depre-</t>
  </si>
  <si>
    <t>Total</t>
  </si>
  <si>
    <t>Accumulated</t>
  </si>
  <si>
    <t>on</t>
  </si>
  <si>
    <t>Change in</t>
  </si>
  <si>
    <t>Account</t>
  </si>
  <si>
    <t>Remaining</t>
  </si>
  <si>
    <t>Net</t>
  </si>
  <si>
    <t>ciation</t>
  </si>
  <si>
    <t>Plant</t>
  </si>
  <si>
    <t>Annual</t>
  </si>
  <si>
    <t>Minus</t>
  </si>
  <si>
    <t>over</t>
  </si>
  <si>
    <t>Number</t>
  </si>
  <si>
    <t>Account Title</t>
  </si>
  <si>
    <t>Salvage</t>
  </si>
  <si>
    <t>Accruals</t>
  </si>
  <si>
    <t>Theoretical</t>
  </si>
  <si>
    <t>(%)</t>
  </si>
  <si>
    <t>STEAM PRODUCTION</t>
  </si>
  <si>
    <t>BIG BEND STATION</t>
  </si>
  <si>
    <t xml:space="preserve"> </t>
  </si>
  <si>
    <t>Big Bend Amortizable Tools</t>
  </si>
  <si>
    <t>BAYSIDE POWER STATION</t>
  </si>
  <si>
    <t>OTHER PRODUCTION</t>
  </si>
  <si>
    <t>POLK POWER STATION</t>
  </si>
  <si>
    <t>Polk Amortizable Tools</t>
  </si>
  <si>
    <t>TOTAL OTHER PRODUCTION</t>
  </si>
  <si>
    <t>TOTAL PRODUCTION PLANT</t>
  </si>
  <si>
    <t>TOTAL STEAM PRODUCTION</t>
  </si>
  <si>
    <t>Variance</t>
  </si>
  <si>
    <t>Change</t>
  </si>
  <si>
    <t>in</t>
  </si>
  <si>
    <t>TOTAL BIG BEND STATION</t>
  </si>
  <si>
    <t>TOTAL BAYSIDE POWER STATION</t>
  </si>
  <si>
    <t>TOTAL POLK POWER STATION</t>
  </si>
  <si>
    <t>Subtotal</t>
  </si>
  <si>
    <t>Transfers</t>
  </si>
  <si>
    <t>Before</t>
  </si>
  <si>
    <t>After</t>
  </si>
  <si>
    <t>Round</t>
  </si>
  <si>
    <t>Depr</t>
  </si>
  <si>
    <t>No. 1 &amp; 2  FGD System</t>
  </si>
  <si>
    <t>No. 3 &amp; 4  FGD System</t>
  </si>
  <si>
    <t>Bayside Amortizable Tools</t>
  </si>
  <si>
    <t>Big Bend CT Unit #4</t>
  </si>
  <si>
    <t>Bayside CT Unit #3</t>
  </si>
  <si>
    <t>Bayside CT Unit #4</t>
  </si>
  <si>
    <t>Bayside CT Unit #5</t>
  </si>
  <si>
    <t>Bayside CT Unit #6</t>
  </si>
  <si>
    <t>Polk Unit #4</t>
  </si>
  <si>
    <t>Polk Unit #5</t>
  </si>
  <si>
    <t>Hide</t>
  </si>
  <si>
    <t>Plant Cost</t>
  </si>
  <si>
    <t>Big Bend 1&amp;2 FGD System</t>
  </si>
  <si>
    <t>Big Bend 3&amp;4 FGD System</t>
  </si>
  <si>
    <t>No. 1 SCR System</t>
  </si>
  <si>
    <t>No. 2 SCR System</t>
  </si>
  <si>
    <t>No. 3 SCR System</t>
  </si>
  <si>
    <t>No. 4 SCR System</t>
  </si>
  <si>
    <t>Big Bend 4 SCR System</t>
  </si>
  <si>
    <t>Big Bend 3 SCR System</t>
  </si>
  <si>
    <t>Big Bend 2 SCR System</t>
  </si>
  <si>
    <t>Big Bend 1 SCR System</t>
  </si>
  <si>
    <t>BB Common</t>
  </si>
  <si>
    <t>BB Unit  No. 1</t>
  </si>
  <si>
    <t>BB Unit  No. 2</t>
  </si>
  <si>
    <t>BB Unit  No. 3</t>
  </si>
  <si>
    <t>BB Unit  No. 4</t>
  </si>
  <si>
    <t>BB CT No. 4</t>
  </si>
  <si>
    <t>BP Common</t>
  </si>
  <si>
    <t>BP Unit No. 1</t>
  </si>
  <si>
    <t>BP Unit No. 2</t>
  </si>
  <si>
    <t>BP CT No. 3</t>
  </si>
  <si>
    <t>BP CT No. 4</t>
  </si>
  <si>
    <t>BP CT No. 5</t>
  </si>
  <si>
    <t>BP CT No. 6</t>
  </si>
  <si>
    <t>PK Common</t>
  </si>
  <si>
    <t>PK Unit No. 1</t>
  </si>
  <si>
    <t>PK CT No. 2</t>
  </si>
  <si>
    <t>PK CT No. 3</t>
  </si>
  <si>
    <t>PK CT No. 4</t>
  </si>
  <si>
    <t>PK CT No. 5</t>
  </si>
  <si>
    <t>Post Transfer</t>
  </si>
  <si>
    <t/>
  </si>
  <si>
    <t>TRANSMISSION PLANT</t>
  </si>
  <si>
    <t>DISTRIBUTION PLANT</t>
  </si>
  <si>
    <t>GENERAL PLANT</t>
  </si>
  <si>
    <t>SCHEDULE B-7</t>
  </si>
  <si>
    <t>PLANT BALANCES BY ACCOUNT AND SUB-ACCOUNT</t>
  </si>
  <si>
    <t>FLORIDA PUBLIC SERVICE COMMISSION</t>
  </si>
  <si>
    <t xml:space="preserve">                  EXPLANATION:</t>
  </si>
  <si>
    <t>Provide the depreciation rate and plant balances for each account  or sub-account to which</t>
  </si>
  <si>
    <t>Type of data shown:</t>
  </si>
  <si>
    <t>a separate depreciation rate is prescribed. (Include Amortization/Recovery amounts).</t>
  </si>
  <si>
    <t>COMPANY: TAMPA ELECTRIC COMPANY</t>
  </si>
  <si>
    <t>RULE 25-6.0436(9), F.A.C.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</si>
  <si>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</si>
  <si>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</si>
  <si>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</si>
  <si>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</si>
  <si>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</si>
  <si>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</si>
  <si>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</si>
  <si>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</si>
  <si>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</si>
  <si>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Account/</t>
  </si>
  <si>
    <t>Line</t>
  </si>
  <si>
    <t>Sub-account</t>
  </si>
  <si>
    <t>Rate*</t>
  </si>
  <si>
    <t>Balance</t>
  </si>
  <si>
    <t>Adjustments</t>
  </si>
  <si>
    <t>13-Month</t>
  </si>
  <si>
    <t>No.</t>
  </si>
  <si>
    <t>Title</t>
  </si>
  <si>
    <t>Beg. of Year</t>
  </si>
  <si>
    <t>Added</t>
  </si>
  <si>
    <t>Retired</t>
  </si>
  <si>
    <t>or Transfers</t>
  </si>
  <si>
    <t>End of Year</t>
  </si>
  <si>
    <t>BIG BEND POWER STATION</t>
  </si>
  <si>
    <t>BIG BEND COMMON</t>
  </si>
  <si>
    <t xml:space="preserve">  Structures and Improvements</t>
  </si>
  <si>
    <t xml:space="preserve">  Boiler Plant Equipment</t>
  </si>
  <si>
    <t xml:space="preserve">  Turbogenerator Units</t>
  </si>
  <si>
    <t xml:space="preserve">  Accessory Electric Equipment</t>
  </si>
  <si>
    <t xml:space="preserve">  Misc. Power Plant Equipment</t>
  </si>
  <si>
    <t>TOTAL TRANSMISSION PLANT</t>
  </si>
  <si>
    <t>TOTAL BIG BEND COMMON</t>
  </si>
  <si>
    <t>Big Bend Fuel Clause</t>
  </si>
  <si>
    <t>TOTAL DISTRIBUTION PLANT</t>
  </si>
  <si>
    <t>BIG BEND UNIT 1</t>
  </si>
  <si>
    <t>TOTAL GENERAL PLANT</t>
  </si>
  <si>
    <t>TOTAL DEPRECIABLE PLANT</t>
  </si>
  <si>
    <t>TOTAL NON-DEPRECIABLE</t>
  </si>
  <si>
    <t>TOTAL BIG BEND UNIT 1</t>
  </si>
  <si>
    <t>TOTAL INTANGIBLES</t>
  </si>
  <si>
    <t>BIG BEND UNIT 2</t>
  </si>
  <si>
    <t>TOTAL ASSET RETIREMENT OBLIGATION</t>
  </si>
  <si>
    <t>TOTAL ELECTRIC PLANT IN SERVICE</t>
  </si>
  <si>
    <t>TOTAL ACQUISITION ADJUSTMENTS</t>
  </si>
  <si>
    <t>TOTAL BIG BEND UNIT 2</t>
  </si>
  <si>
    <t>ELECTRIC PLANT PURCHASED OR SOLD</t>
  </si>
  <si>
    <t>BIG BEND UNIT 3</t>
  </si>
  <si>
    <t>PROPERTY HELD FOR FUTURE USE</t>
  </si>
  <si>
    <t>TOTAL ELECTRIC UTILITY PLANT</t>
  </si>
  <si>
    <t>TOTAL BIG BEND UNIT 3</t>
  </si>
  <si>
    <t>Totals may be affected due to rounding.</t>
  </si>
  <si>
    <t xml:space="preserve">       Type of data shown:</t>
  </si>
  <si>
    <t>BIG BEND UNIT 4</t>
  </si>
  <si>
    <t>TOTAL BIG BEND UNIT 4</t>
  </si>
  <si>
    <t>BIG BEND UNIT 3 &amp; 4 FGD</t>
  </si>
  <si>
    <t>TOTAL BIG BEND UNIT 3 &amp; 4 FGD</t>
  </si>
  <si>
    <t>BIG BEND UNIT 1 &amp; 2 FGD</t>
  </si>
  <si>
    <t>TOTAL BIG BEND UNIT 1 &amp; 2 FGD</t>
  </si>
  <si>
    <t>BIG BEND UNIT 1 SCR</t>
  </si>
  <si>
    <t>Misc Power Plant Eq-BPC</t>
  </si>
  <si>
    <t>TOTAL BIG BEND UNIT 1 SCR</t>
  </si>
  <si>
    <t>BIG BEND UNIT 2 SCR</t>
  </si>
  <si>
    <t>TOTAL BIG BEND UNIT 2 SCR</t>
  </si>
  <si>
    <t>BIG BEND UNIT 3 SCR</t>
  </si>
  <si>
    <t>TOTAL BIG BEND UNIT 3 SCR</t>
  </si>
  <si>
    <t>BIG BEND UNIT 4 SCR</t>
  </si>
  <si>
    <t>TOTAL BIG BEND UNIT 4 SCR</t>
  </si>
  <si>
    <t>BIG BEND FUEL CLAUSE</t>
  </si>
  <si>
    <t>BIG BEND TOOLS - AMORT</t>
  </si>
  <si>
    <t>TOTAL BIG BEND POWER STATION</t>
  </si>
  <si>
    <t xml:space="preserve">  Fuel Holders, Producers and Accessories</t>
  </si>
  <si>
    <t xml:space="preserve">  Prime Movers</t>
  </si>
  <si>
    <t>BIG BEND COMBUSTION TURBINE #4</t>
  </si>
  <si>
    <t>TOTAL BIG BEND COMBUSTION TURBINE #4</t>
  </si>
  <si>
    <t>POLK COMMON</t>
  </si>
  <si>
    <t>TOTAL POLK POWER COMMON</t>
  </si>
  <si>
    <t>POLK UNIT 1</t>
  </si>
  <si>
    <t>TOTAL POLK UNIT 1</t>
  </si>
  <si>
    <t>POLK UNIT 2</t>
  </si>
  <si>
    <t>TOTAL POLK UNIT 2</t>
  </si>
  <si>
    <t>POLK UNIT 3</t>
  </si>
  <si>
    <t>TOTAL POLK UNIT 3</t>
  </si>
  <si>
    <t>POLK UNIT 4</t>
  </si>
  <si>
    <t>TOTAL POLK UNIT 4</t>
  </si>
  <si>
    <t>POLK UNIT 5</t>
  </si>
  <si>
    <t>TOTAL POLK UNIT 5</t>
  </si>
  <si>
    <t>POLK 1 FUEL CLAUSE</t>
  </si>
  <si>
    <t>POLK POWER TOOLS - AMORT</t>
  </si>
  <si>
    <t>BAYSIDE COMMON</t>
  </si>
  <si>
    <t>TOTAL BAYSIDE COMMON</t>
  </si>
  <si>
    <t>BAYSIDE UNIT 1</t>
  </si>
  <si>
    <t>TOTAL BAYSIDE UNIT 1</t>
  </si>
  <si>
    <t>BAYSIDE UNIT 2</t>
  </si>
  <si>
    <t>TOTAL BAYSIDE UNIT 2</t>
  </si>
  <si>
    <t>BAYSIDE COMBUSTION TURBINE 3</t>
  </si>
  <si>
    <t>TOTAL BAYSIDE COMBUSTION TURBINE 3</t>
  </si>
  <si>
    <t>BAYSIDE COMBUSTION TURBINE 4</t>
  </si>
  <si>
    <t>TOTAL BAYSIDE COMBUSTION TURBINE 4</t>
  </si>
  <si>
    <t>BAYSIDE COMBUSTION TURBINE 5</t>
  </si>
  <si>
    <t>TOTAL BAYSIDE COMBUSTION TURBINE 5</t>
  </si>
  <si>
    <t>BAYSIDE COMBUSTION TURBINE 6</t>
  </si>
  <si>
    <t>TOTAL BAYSIDE COMBUSTION TURBINE 6</t>
  </si>
  <si>
    <t>BAYSIDE TOOLS</t>
  </si>
  <si>
    <t>STR AND IMPROVEMENTS-SOLAR</t>
  </si>
  <si>
    <t>SOLAR PRIME MOVERS</t>
  </si>
  <si>
    <t>ACCESSORY ELECT EQ-SOLAR</t>
  </si>
  <si>
    <t xml:space="preserve">LAND RIGHTS </t>
  </si>
  <si>
    <t>STRUCTURES &amp; IMPROVEMENTS</t>
  </si>
  <si>
    <t>STATION EQUIPMENT</t>
  </si>
  <si>
    <t>TOWERS &amp; FIXTURES</t>
  </si>
  <si>
    <t>POLES &amp; FIXTURES</t>
  </si>
  <si>
    <t>OVERHEAD CONDUCTORS &amp; DEVICES</t>
  </si>
  <si>
    <t>CLEARING RIGHTS-OF-WAY</t>
  </si>
  <si>
    <t>UNDERGROUND CONDUIT</t>
  </si>
  <si>
    <t>UNDERGROUND CONDUCTORS &amp; DEVICES</t>
  </si>
  <si>
    <t>ROADS AND TRAILS</t>
  </si>
  <si>
    <t>POLES, TOWERS &amp; FIXTURES</t>
  </si>
  <si>
    <t>LINE TRANSFORMERS</t>
  </si>
  <si>
    <t>OVERHEAD SERVICES</t>
  </si>
  <si>
    <t>UNDERGROUND SERVICE</t>
  </si>
  <si>
    <t>METERS</t>
  </si>
  <si>
    <t>STREET LIGHTING &amp; SIGNAL SYSTEMS</t>
  </si>
  <si>
    <t>OFFICE FURNITURE &amp; EQUIPMENT - AMORT</t>
  </si>
  <si>
    <t>COMPUTER EQUIPMENT - AMORT</t>
  </si>
  <si>
    <t>DATA HANDLING EQUIPMENT - AMORT</t>
  </si>
  <si>
    <t>MAINFRAME EQUIPMENT - AMORT</t>
  </si>
  <si>
    <t>LIGHT TRUCKS - ENERGY DELIVERY</t>
  </si>
  <si>
    <t>HEAVY TRUCKS  - ENERGY DELIVERY</t>
  </si>
  <si>
    <t>MEDIUM TRUCKS - ENERGY DELIVERY</t>
  </si>
  <si>
    <t>LIGHT TRUCKS - ENERGY SUPPLY</t>
  </si>
  <si>
    <t>HEAVY TRUCKS - ENERGY SUPPLY</t>
  </si>
  <si>
    <t>MEDIUM TRUCKS - ENERGY SUPPLY</t>
  </si>
  <si>
    <t>STORES EQUIPMENT - AMORT</t>
  </si>
  <si>
    <t>TOOLS, SHOP &amp; GARAGE EQUIP - AMORT</t>
  </si>
  <si>
    <t>LABORATORY EQUIPMENT - AMORT</t>
  </si>
  <si>
    <t>POWER OPERATED EQUIPMENT - AMORT</t>
  </si>
  <si>
    <t>COMMUNICATION EQUIPMENT - AMORT</t>
  </si>
  <si>
    <t>COMMUNICATION EQUIPMENT- FIBER</t>
  </si>
  <si>
    <t>MISCELLANEOUS EQUIPMENT - AMORT</t>
  </si>
  <si>
    <t>NON-DEPRECIABLE PROPERTY</t>
  </si>
  <si>
    <t>310's</t>
  </si>
  <si>
    <t>LAND-STEAM PRODUCTION</t>
  </si>
  <si>
    <t>340's</t>
  </si>
  <si>
    <t xml:space="preserve">LAND-OTHER PRODUCTION </t>
  </si>
  <si>
    <t>LAND-TRANSMISSION</t>
  </si>
  <si>
    <t>LAND-DISTRIBUTION</t>
  </si>
  <si>
    <t>LAND-GENERAL</t>
  </si>
  <si>
    <t>INTANGIBLES</t>
  </si>
  <si>
    <t>SOFTWARE - AMORT - 15YR</t>
  </si>
  <si>
    <t xml:space="preserve">TOTAL INTANGIBLES </t>
  </si>
  <si>
    <t>ASSET RETIREMENT OBLIGATION</t>
  </si>
  <si>
    <t>317.00 ARO Costs-Steam</t>
  </si>
  <si>
    <t>347.00 ARO Costs-Other</t>
  </si>
  <si>
    <t>374.00 ARO Costs-Distribution</t>
  </si>
  <si>
    <t>399.10 ARO Costs-General</t>
  </si>
  <si>
    <t>ACQUISITION ADJUSTMENTS</t>
  </si>
  <si>
    <t>ACQUISITION ADJUSTMENT - OUC</t>
  </si>
  <si>
    <t>ACQUISITION ADJUSTMENT - FPL</t>
  </si>
  <si>
    <t>ACQUISITION ADJUSTMENT - UNION HALL</t>
  </si>
  <si>
    <t>Annual Status Tab less 121XX + 10200</t>
  </si>
  <si>
    <t>101+106 Plant</t>
  </si>
  <si>
    <t>102 Plant Purchased or Sold</t>
  </si>
  <si>
    <t>105 PHFFU</t>
  </si>
  <si>
    <t>114 Acq Adj</t>
  </si>
  <si>
    <t>Net Plant Check</t>
  </si>
  <si>
    <t>SCHEDULE B-9</t>
  </si>
  <si>
    <t>DEPRECIATION RESERVE BALANCES BY ACCOUNT AND SUB-ACCOUNT</t>
  </si>
  <si>
    <t>Provide the depreciation reserve balances for each account or sub-account to which</t>
  </si>
  <si>
    <t>an individual depreciation rate is applied. (Include Amortization/Recovery amounts).</t>
  </si>
  <si>
    <t>(10)</t>
  </si>
  <si>
    <t>Gross</t>
  </si>
  <si>
    <t>Accrued</t>
  </si>
  <si>
    <t>TOTAL DEPRECIABLE RESERVE</t>
  </si>
  <si>
    <t>TOTAL ELECTRIC PLANT RESERVE</t>
  </si>
  <si>
    <t>TOTAL FOSSIL DISMANTLING</t>
  </si>
  <si>
    <t>RWIP Unallocated</t>
  </si>
  <si>
    <t>TOTAL ELECTRIC UTILITY RESERVE</t>
  </si>
  <si>
    <t>PRIME MOVERS - SOLAR</t>
  </si>
  <si>
    <t>FOSSIL DISMANTLING</t>
  </si>
  <si>
    <t>108[03,50-56]</t>
  </si>
  <si>
    <t>FOSSIL DISMANTLING - STEAM</t>
  </si>
  <si>
    <t>108[03]</t>
  </si>
  <si>
    <t>FOSSIL DISMANTLING - OTHER</t>
  </si>
  <si>
    <t>Annual Status Tab less 121XX</t>
  </si>
  <si>
    <t>108.01</t>
  </si>
  <si>
    <t>108 [03,50-56]</t>
  </si>
  <si>
    <t>Aqc Adj 115</t>
  </si>
  <si>
    <t>Page 1 of 10</t>
  </si>
  <si>
    <t>Page 10 of 10</t>
  </si>
  <si>
    <t>Page 3 of 10</t>
  </si>
  <si>
    <t>Page 4 of 10</t>
  </si>
  <si>
    <t>Page 5 of 10</t>
  </si>
  <si>
    <t>Page 6 of 10</t>
  </si>
  <si>
    <t>Page 7 of 10</t>
  </si>
  <si>
    <t>Page 8 of 10</t>
  </si>
  <si>
    <t>Page 9 of 10</t>
  </si>
  <si>
    <t>Misc. Power Plant Equipment</t>
  </si>
  <si>
    <t>SOLAR</t>
  </si>
  <si>
    <t>Comparative Analysis of Latest Approved Rates</t>
  </si>
  <si>
    <t>Tampa Electric Company</t>
  </si>
  <si>
    <t>FP&amp;L</t>
  </si>
  <si>
    <t>Progress Energy</t>
  </si>
  <si>
    <t>GULF</t>
  </si>
  <si>
    <t>PSC-10-0131-FOF-EI</t>
  </si>
  <si>
    <t>PSC-10-0458-PAA-EI</t>
  </si>
  <si>
    <t>Current</t>
  </si>
  <si>
    <t>Company</t>
  </si>
  <si>
    <t>Approved</t>
  </si>
  <si>
    <t>Depreciation Rate</t>
  </si>
  <si>
    <t>Average Service Life</t>
  </si>
  <si>
    <t>Average Remaining Life</t>
  </si>
  <si>
    <t>Future Net Salvage %</t>
  </si>
  <si>
    <t>Reserve Ratio</t>
  </si>
  <si>
    <t>Curve Type</t>
  </si>
  <si>
    <t>R2</t>
  </si>
  <si>
    <t>S0</t>
  </si>
  <si>
    <t>R0.5</t>
  </si>
  <si>
    <t>20.52</t>
  </si>
  <si>
    <t>R1.5</t>
  </si>
  <si>
    <t>R1</t>
  </si>
  <si>
    <t>R2.5</t>
  </si>
  <si>
    <t>S0.5</t>
  </si>
  <si>
    <t>L0</t>
  </si>
  <si>
    <t>SQ</t>
  </si>
  <si>
    <t>L2</t>
  </si>
  <si>
    <t>L0.5</t>
  </si>
  <si>
    <t>S.5</t>
  </si>
  <si>
    <t>O1</t>
  </si>
  <si>
    <t>SQ, S3, S4</t>
  </si>
  <si>
    <t>SQ ,S3, S4</t>
  </si>
  <si>
    <t>SQ, S2, S3, S4</t>
  </si>
  <si>
    <t>PSC-16-160062-EI</t>
  </si>
  <si>
    <t>Comparative Analysis</t>
  </si>
  <si>
    <t>Low</t>
  </si>
  <si>
    <t>High</t>
  </si>
  <si>
    <t>1.31</t>
  </si>
  <si>
    <t>14.11</t>
  </si>
  <si>
    <t>2.87</t>
  </si>
  <si>
    <t>21.52</t>
  </si>
  <si>
    <t>Structures &amp; Improvements</t>
  </si>
  <si>
    <t>311</t>
  </si>
  <si>
    <t>Boiler Plant Equipment</t>
  </si>
  <si>
    <t>312</t>
  </si>
  <si>
    <t>314</t>
  </si>
  <si>
    <t>Turbogenerator Units</t>
  </si>
  <si>
    <t>Accessory Electric Equipment</t>
  </si>
  <si>
    <t>315</t>
  </si>
  <si>
    <t>316</t>
  </si>
  <si>
    <t>341</t>
  </si>
  <si>
    <t>Fuel Holders, Producers and Accessories</t>
  </si>
  <si>
    <t>342</t>
  </si>
  <si>
    <t>Prime Movers - General</t>
  </si>
  <si>
    <t>343</t>
  </si>
  <si>
    <t>Prime Movers - Capital Spare Parts</t>
  </si>
  <si>
    <t>343.2</t>
  </si>
  <si>
    <t>Generators</t>
  </si>
  <si>
    <t>344</t>
  </si>
  <si>
    <t>345</t>
  </si>
  <si>
    <t>346</t>
  </si>
  <si>
    <t>TOTAL BIG BEND OTHER PRODUCTION</t>
  </si>
  <si>
    <t>POLK CCST</t>
  </si>
  <si>
    <t>TOTAL POLK CCST</t>
  </si>
  <si>
    <t>TOTAL SOLAR</t>
  </si>
  <si>
    <t>NOTE:</t>
  </si>
  <si>
    <t>NON UTILITY IS NOT INCLUDED IN ASR</t>
  </si>
  <si>
    <t>Solar</t>
  </si>
  <si>
    <t>Tampa Electric</t>
  </si>
  <si>
    <t>311.40 L Str &amp; Improvements-BBCM</t>
  </si>
  <si>
    <t>311.40 M Str &amp; Improvements-BBCM</t>
  </si>
  <si>
    <t>S4</t>
  </si>
  <si>
    <t>311.40 S Str &amp; Improvements-BBCM</t>
  </si>
  <si>
    <t>S3</t>
  </si>
  <si>
    <t>311.40 TOTAL COMPOSITE</t>
  </si>
  <si>
    <t>311.41 L Str &amp; Improvements-BB1</t>
  </si>
  <si>
    <t>311.41 M Str &amp; Improvements-BB1</t>
  </si>
  <si>
    <t>311.41 S Str &amp; Improvements-BB1</t>
  </si>
  <si>
    <t>311.41 TOTAL COMPOSITE</t>
  </si>
  <si>
    <t>311.42 L Str &amp; Improvements-BB2</t>
  </si>
  <si>
    <t>311.42 M Str &amp; Improvements-BB2</t>
  </si>
  <si>
    <t>311.42 S Str &amp; Improvements-BB2</t>
  </si>
  <si>
    <t>311.42 TOTAL COMPOSITE</t>
  </si>
  <si>
    <t>311.43 L Str &amp; Improvements-BB3</t>
  </si>
  <si>
    <t>311.43 M Str &amp; Improvements-BB3</t>
  </si>
  <si>
    <t>311.43 S Str &amp; Improvements-BB3</t>
  </si>
  <si>
    <t>311.43 TOTAL COMPOSITE</t>
  </si>
  <si>
    <t>311.44 L Str &amp; Improve-BB4 MAIN STT</t>
  </si>
  <si>
    <t>311.44 M Str &amp; Improve-BB4 MAIN STT</t>
  </si>
  <si>
    <t>311.44 S Str &amp; Improve-BB4 MAIN STT</t>
  </si>
  <si>
    <t>311.44 TOTAL COMPOSITE</t>
  </si>
  <si>
    <t>311.45 L Str &amp; Improvements-BB3&amp;4 F</t>
  </si>
  <si>
    <t>311.45 M Str &amp; Improvements-BB3&amp;4 F</t>
  </si>
  <si>
    <t>311.45 S Str &amp; Improvements-BB3&amp;4 F</t>
  </si>
  <si>
    <t>311.45 TOTAL COMPOSITE</t>
  </si>
  <si>
    <t>311.46 L Str &amp; Improve-BB1&amp;2 FGD</t>
  </si>
  <si>
    <t>311.46 M Str &amp; Improve-BB1&amp;2 FGD</t>
  </si>
  <si>
    <t>311.46 S Str &amp; Improve-BB1&amp;2 FGD</t>
  </si>
  <si>
    <t>311.46 TOTAL COMPOSITE</t>
  </si>
  <si>
    <t>311.51 L Str &amp; Improve-BBSCR1</t>
  </si>
  <si>
    <t>311.51 M Str &amp; Improve-BBSCR1</t>
  </si>
  <si>
    <t>311.51 S Str &amp; Improve-BBSCR1</t>
  </si>
  <si>
    <t>311.51 TOTAL COMPOSITE</t>
  </si>
  <si>
    <t>311.52 L Str &amp; Improve-BBSCR2</t>
  </si>
  <si>
    <t>311.52 M Str &amp; Improve-BBSCR2</t>
  </si>
  <si>
    <t>311.52 S Str &amp; Improve-BBSCR2</t>
  </si>
  <si>
    <t>311.52 TOTAL COMPOSITE</t>
  </si>
  <si>
    <t>311.53 L Str &amp; Improve-BBSCR3</t>
  </si>
  <si>
    <t>311.53 M Str &amp; Improve-BBSCR3</t>
  </si>
  <si>
    <t>311.53 S Str &amp; Improve-BBSCR3</t>
  </si>
  <si>
    <t>311.53 TOTAL COMPOSITE</t>
  </si>
  <si>
    <t>311.54 L Str &amp; Improve-BB4 SCR</t>
  </si>
  <si>
    <t>311.54 M Str &amp; Improve-BB4 SCR</t>
  </si>
  <si>
    <t>311.54 S Str &amp; Improve-BB4 SCR</t>
  </si>
  <si>
    <t>311.54 TOTAL COMPOSITE</t>
  </si>
  <si>
    <t>312.40 L Boiler Plant Eq-BBCM</t>
  </si>
  <si>
    <t>312.40 M Boiler Plant Eq-BBCM</t>
  </si>
  <si>
    <t>312.40 S Boiler Plant Eq-BBCM</t>
  </si>
  <si>
    <t>312.40 TOTAL COMPOSITE</t>
  </si>
  <si>
    <t>312.41 L Boiler Plant Eq-BB1</t>
  </si>
  <si>
    <t>312.41 M Boiler Plant Eq-BB1</t>
  </si>
  <si>
    <t>312.41 S Boiler Plant Eq-BB1</t>
  </si>
  <si>
    <t>312.41 TOTAL COMPOSITE</t>
  </si>
  <si>
    <t>312.42 L Boiler Plant Eq-BB2</t>
  </si>
  <si>
    <t>312.42 M Boiler Plant Eq-BB2</t>
  </si>
  <si>
    <t>312.42 S Boiler Plant Eq-BB2</t>
  </si>
  <si>
    <t>312.42 TOTAL COMPOSITE</t>
  </si>
  <si>
    <t>312.43 L Boiler Plant Eq-BB3</t>
  </si>
  <si>
    <t>312.43 M Boiler Plant Eq-BB3</t>
  </si>
  <si>
    <t>312.43 S Boiler Plant Eq-BB3</t>
  </si>
  <si>
    <t>312.43 TOTAL COMPOSITE</t>
  </si>
  <si>
    <t>312.44 L Boiler Plant Eq-BB4 MAIN S</t>
  </si>
  <si>
    <t>312.44 M Boiler Plant Eq-BB4 MAIN S</t>
  </si>
  <si>
    <t>312.44 S Boiler Plant Eq-BB4 MAIN S</t>
  </si>
  <si>
    <t>312.44 TOTAL COMPOSITE</t>
  </si>
  <si>
    <t>312.45 L Boiler Plant Eq-BB3&amp;4 FGD</t>
  </si>
  <si>
    <t>312.45 M Boiler Plant Eq-BB3&amp;4 FGD</t>
  </si>
  <si>
    <t>312.45 S Boiler Plant Eq-BB3&amp;4 FGD</t>
  </si>
  <si>
    <t>312.45 TOTAL COMPOSITE</t>
  </si>
  <si>
    <t>312.46 L Boiler Plant Eq-BB1&amp;2 FGD</t>
  </si>
  <si>
    <t>312.46 M Boiler Plant Eq-BB1&amp;2 FGD</t>
  </si>
  <si>
    <t>312.46 S Boiler Plant Eq-BB1&amp;2 FGD</t>
  </si>
  <si>
    <t>312.46 TOTAL COMPOSITE</t>
  </si>
  <si>
    <t>312.51 L Boiler Plant Eq-BBSCR1</t>
  </si>
  <si>
    <t>312.51 M Boiler Plant Eq-BBSCR1</t>
  </si>
  <si>
    <t>312.51 S Boiler Plant Eq-BBSCR1</t>
  </si>
  <si>
    <t>312.51 TOTAL COMPOSITE</t>
  </si>
  <si>
    <t>312.52 L Boiler Plant Eq-BBSCR2</t>
  </si>
  <si>
    <t>312.52 M Boiler Plant Eq-BBSCR2</t>
  </si>
  <si>
    <t>312.52 S Boiler Plant Eq-BBSCR2</t>
  </si>
  <si>
    <t>312.52 TOTAL COMPOSITE</t>
  </si>
  <si>
    <t>312.53 L Boiler Plant Eq-BBSCR3</t>
  </si>
  <si>
    <t>312.53 M Boiler Plant Eq-BBSCR3</t>
  </si>
  <si>
    <t>312.53 S Boiler Plant Eq-BBSCR3</t>
  </si>
  <si>
    <t>312.53 TOTAL COMPOSITE</t>
  </si>
  <si>
    <t>312.54 L Boiler Plant Eq-BB4 SCR</t>
  </si>
  <si>
    <t>312.54 M Boiler Plant Eq-BB4 SCR</t>
  </si>
  <si>
    <t>312.54 S Boiler Plant Eq-BB4 SCR</t>
  </si>
  <si>
    <t>312.54 TOTAL COMPOSITE</t>
  </si>
  <si>
    <t>314.40 L Turbogenerator Units-BBCM</t>
  </si>
  <si>
    <t>314.40 M Turbogenerator Units-BBCM</t>
  </si>
  <si>
    <t>314.40 S Turbogenerator Units-BBCM</t>
  </si>
  <si>
    <t>314.40 TOTAL COMPOSITE</t>
  </si>
  <si>
    <t>314.41 L Turbogenerator Units-BB1</t>
  </si>
  <si>
    <t>314.41 M Turbogenerator Units-BB1</t>
  </si>
  <si>
    <t>314.41 S Turbogenerator Units-BB1</t>
  </si>
  <si>
    <t>314.41 TOTAL COMPOSITE</t>
  </si>
  <si>
    <t>314.42 L Turbogenerator Units-BB2</t>
  </si>
  <si>
    <t>314.42 M Turbogenerator Units-BB2</t>
  </si>
  <si>
    <t>314.42 S Turbogenerator Units-BB2</t>
  </si>
  <si>
    <t>314.42 TOTAL COMPOSITE</t>
  </si>
  <si>
    <t>314.43 L Turbogenerator Units-BB3</t>
  </si>
  <si>
    <t>314.43 M Turbogenerator Units-BB3</t>
  </si>
  <si>
    <t>314.43 S Turbogenerator Units-BB3</t>
  </si>
  <si>
    <t>314.43 TOTAL COMPOSITE</t>
  </si>
  <si>
    <t>314.44 L Turbogen Units-BB4 MAIN ST</t>
  </si>
  <si>
    <t>314.44 M Turbogen Units-BB4 MAIN ST</t>
  </si>
  <si>
    <t>314.44 S Turbogen Units-BB4 MAIN ST</t>
  </si>
  <si>
    <t>314.44 TOTAL COMPOSITE</t>
  </si>
  <si>
    <t>315.40 L Accessory Electric Eq-BBCM</t>
  </si>
  <si>
    <t>315.40 M Accessory Electric Eq-BBCM</t>
  </si>
  <si>
    <t>315.40 S Accessory Electric Eq-BBCM</t>
  </si>
  <si>
    <t>315.40 TOTAL COMPOSITE</t>
  </si>
  <si>
    <t>315.41 L Accessory Electric Eq-BB1</t>
  </si>
  <si>
    <t>315.41 M Accessory Electric Eq-BB1</t>
  </si>
  <si>
    <t>315.41 S Accessory Electric Eq-BB1</t>
  </si>
  <si>
    <t>315.41 TOTAL COMPOSITE</t>
  </si>
  <si>
    <t>315.42 L Accessory Electric Eq-BB2</t>
  </si>
  <si>
    <t>315.42 M Accessory Electric Eq-BB2</t>
  </si>
  <si>
    <t>315.42 S Accessory Electric Eq-BB2</t>
  </si>
  <si>
    <t>315.42 TOTAL COMPOSITE</t>
  </si>
  <si>
    <t>315.43 L Accessory Electric Eq-BB3</t>
  </si>
  <si>
    <t>315.43 M Accessory Electric Eq-BB3</t>
  </si>
  <si>
    <t>315.43 S Accessory Electric Eq-BB3</t>
  </si>
  <si>
    <t>315.43 TOTAL COMPOSITE</t>
  </si>
  <si>
    <t>315.44 L Access Elect Eq-BB4 MAIN S</t>
  </si>
  <si>
    <t>315.44 M Access Elect Eq-BB4 MAIN S</t>
  </si>
  <si>
    <t>315.44 S Access Elect Eq-BB4 MAIN S</t>
  </si>
  <si>
    <t>315.44 TOTAL COMPOSITE</t>
  </si>
  <si>
    <t>315.45 L Accessory Elect Eq-BB3&amp;4 F</t>
  </si>
  <si>
    <t>315.45 M Accessory Elect Eq-BB3&amp;4 F</t>
  </si>
  <si>
    <t>315.45 S Accessory Elect Eq-BB3&amp;4 F</t>
  </si>
  <si>
    <t>315.45 TOTAL COMPOSITE</t>
  </si>
  <si>
    <t>315.46 L Accessory Elect Eq-BB1&amp;2 F</t>
  </si>
  <si>
    <t>315.46 M Accessory Elect Eq-BB1&amp;2 F</t>
  </si>
  <si>
    <t>315.46 S Accessory Elect Eq-BB1&amp;2 F</t>
  </si>
  <si>
    <t>315.46 TOTAL COMPOSITE</t>
  </si>
  <si>
    <t>315.51 L Accessory Elect Eq-BBSCR1</t>
  </si>
  <si>
    <t>315.51 M Accessory Elect Eq-BBSCR1</t>
  </si>
  <si>
    <t>315.51 S Accessory Elect Eq-BBSCR1</t>
  </si>
  <si>
    <t>315.51 TOTAL COMPOSITE</t>
  </si>
  <si>
    <t>315.52 L Accessory Elect Eq-BBSCR2</t>
  </si>
  <si>
    <t>315.52 M Accessory Elect Eq-BBSCR2</t>
  </si>
  <si>
    <t>315.52 S Accessory Elect Eq-BBSCR2</t>
  </si>
  <si>
    <t>315.52 TOTAL COMPOSITE</t>
  </si>
  <si>
    <t>315.53 L Accessory Elect Eq-BBSCR3</t>
  </si>
  <si>
    <t>315.53 M Accessory Elect Eq-BBSCR3</t>
  </si>
  <si>
    <t>315.53 S Accessory Elect Eq-BBSCR3</t>
  </si>
  <si>
    <t>315.53 TOTAL COMPOSITE</t>
  </si>
  <si>
    <t>315.54 L Accesory Elect Eq-BB4 SCR</t>
  </si>
  <si>
    <t>315.54 M Accesory Elect Eq-BB4 SCR</t>
  </si>
  <si>
    <t>315.54 S Accesory Elect Eq-BB4 SCR</t>
  </si>
  <si>
    <t>315.54 TOTAL COMPOSITE</t>
  </si>
  <si>
    <t>316.40 L Misc Power Plant Eq-BBCM</t>
  </si>
  <si>
    <t>316.40 M Misc Power Plant Eq-BBCM</t>
  </si>
  <si>
    <t>316.40 S Misc Power Plant Eq-BBCM</t>
  </si>
  <si>
    <t>316.40 TOTAL COMPOSITE</t>
  </si>
  <si>
    <t>316.41 L Misc Power Plant Eq-BB1</t>
  </si>
  <si>
    <t>316.41 M Misc Power Plant Eq-BB1</t>
  </si>
  <si>
    <t>316.41 S Misc Power Plant Eq-BB1</t>
  </si>
  <si>
    <t>316.41 TOTAL COMPOSITE</t>
  </si>
  <si>
    <t>316.42 L Misc Power Plant Eq-BB2</t>
  </si>
  <si>
    <t>316.42 M Misc Power Plant Eq-BB2</t>
  </si>
  <si>
    <t>316.42 S Misc Power Plant Eq-BB2</t>
  </si>
  <si>
    <t>316.42 TOTAL COMPOSITE</t>
  </si>
  <si>
    <t>316.43 L Misc Power Plant Eq-BB3</t>
  </si>
  <si>
    <t>316.43 M Misc Power Plant Eq-BB3</t>
  </si>
  <si>
    <t>316.43 S Misc Power Plant Eq-BB3</t>
  </si>
  <si>
    <t>316.43 TOTAL COMPOSITE</t>
  </si>
  <si>
    <t>316.44 TOTAL COMPOSITE</t>
  </si>
  <si>
    <t>316.45 L Misc Power Plant Eq-BB3&amp;4F</t>
  </si>
  <si>
    <t>316.45 M Misc Power Plant Eq-BB3&amp;4F</t>
  </si>
  <si>
    <t>316.45 S Misc Power Plant Eq-BB3&amp;4F</t>
  </si>
  <si>
    <t>316.45 TOTAL COMPOSITE</t>
  </si>
  <si>
    <t>316.46 L Misc Power Plt Eq-BB1&amp;2 FG</t>
  </si>
  <si>
    <t>316.46 M Misc Power Plt Eq-BB1&amp;2 FG</t>
  </si>
  <si>
    <t>316.46 TOTAL COMPOSITE</t>
  </si>
  <si>
    <t>316.51 L Misc Power Plant Eq-BBSCR1</t>
  </si>
  <si>
    <t>316.51 M Misc Power Plant Eq-BBSCR1</t>
  </si>
  <si>
    <t>316.51 S Misc Power Plant Eq-BBSCR1</t>
  </si>
  <si>
    <t>316.51 TOTAL COMPOSITE</t>
  </si>
  <si>
    <t>316.52 L Misc Power Plant Eq-BBSCR2</t>
  </si>
  <si>
    <t>316.52 M Misc Power Plant Eq-BBSCR2</t>
  </si>
  <si>
    <t>316.52 S Misc Power Plant Eq-BBSCR2</t>
  </si>
  <si>
    <t>316.52 TOTAL COMPOSITE</t>
  </si>
  <si>
    <t>316.53 L Misc Power Plant Eq-BBSCR3</t>
  </si>
  <si>
    <t>316.53 M Misc Power Plant Eq-BBSCR3</t>
  </si>
  <si>
    <t>316.53 S Misc Power Plant Eq-BBSCR3</t>
  </si>
  <si>
    <t>316.53 TOTAL COMPOSITE</t>
  </si>
  <si>
    <t>316.54 L Misc Power Plt Eq-BB4 SCR</t>
  </si>
  <si>
    <t>316.54 M Misc Power Plt Eq-BB4 SCR</t>
  </si>
  <si>
    <t>316.54 TOTAL COMPOSITE</t>
  </si>
  <si>
    <t>341.30 L Str and Improvements-BPC</t>
  </si>
  <si>
    <t>341.30 M Str and Improvements-BPC</t>
  </si>
  <si>
    <t>341.30 S Str and Improvements-BPC</t>
  </si>
  <si>
    <t>341.30 TOTAL COMPOSITE</t>
  </si>
  <si>
    <t>341.31 L Str and Improvements-BP1</t>
  </si>
  <si>
    <t>341.31 M Str and Improvements-BP1</t>
  </si>
  <si>
    <t>341.31 S Str and Improvements-BP1</t>
  </si>
  <si>
    <t>341.31 TOTAL COMPOSITE</t>
  </si>
  <si>
    <t>341.32 L Str and Improvements-BP2</t>
  </si>
  <si>
    <t>341.32 M Str and Improvements-BP2</t>
  </si>
  <si>
    <t>341.32 S Str and Improvements-BP2</t>
  </si>
  <si>
    <t>341.32 TOTAL COMPOSITE</t>
  </si>
  <si>
    <t>341.33 L Str &amp; Improve-BP3</t>
  </si>
  <si>
    <t>341.33 M Str &amp; Improve-BP3</t>
  </si>
  <si>
    <t>341.33 TOTAL COMPOSITE</t>
  </si>
  <si>
    <t>341.34 L Str &amp; Improve-BP4</t>
  </si>
  <si>
    <t>341.34 M Str &amp; Improve-BP4</t>
  </si>
  <si>
    <t>341.34 TOTAL COMPOSITE</t>
  </si>
  <si>
    <t>341.44 L Str &amp; Improve-BBCT4</t>
  </si>
  <si>
    <t>341.44 M Str &amp; Improve-BBCT4</t>
  </si>
  <si>
    <t>341.44 S Str &amp; Improve-BBCT4</t>
  </si>
  <si>
    <t>341.44 TOTAL COMPOSITE</t>
  </si>
  <si>
    <t>342.44 L Fuel Holders,ProdAcc-BBCT4</t>
  </si>
  <si>
    <t>342.44 M Fuel Holders,ProdAcc-BBCT4</t>
  </si>
  <si>
    <t>342.44 S Fuel Holders,ProdAcc-BBCT4</t>
  </si>
  <si>
    <t>342.44 TOTAL COMPOSITE</t>
  </si>
  <si>
    <t>343.44 L Prime Movers-BBCT4</t>
  </si>
  <si>
    <t>343.44 M Prime Movers-BBCT4</t>
  </si>
  <si>
    <t>343.44 S Prime Movers-BBCT4</t>
  </si>
  <si>
    <t>343.44 TOTAL COMPOSITE</t>
  </si>
  <si>
    <t>345.44 L Accessory Electric E-BBCT4</t>
  </si>
  <si>
    <t>345.44 M Accessory Electric E-BBCT4</t>
  </si>
  <si>
    <t>345.44 S Accessory ElectricEq-BBCT4</t>
  </si>
  <si>
    <t>345.44 TOTAL COMPOSITE</t>
  </si>
  <si>
    <t>346.44 L Misc Power Plant Eq-BBCT4</t>
  </si>
  <si>
    <t>346.44 M Misc Power Plant Eq-BBCT4</t>
  </si>
  <si>
    <t>346.44 TOTAL COMPOSITE</t>
  </si>
  <si>
    <t>Surviving</t>
  </si>
  <si>
    <t>341.80 L Str and Improve-Polk Comm</t>
  </si>
  <si>
    <t>341.80 M Str and Improve-Polk Comm</t>
  </si>
  <si>
    <t>341.80 S Str and Improve-Polk Comm</t>
  </si>
  <si>
    <t>341.80 TOTAL COMPOSITE</t>
  </si>
  <si>
    <t>341.81 TOTAL COMPOSITE</t>
  </si>
  <si>
    <t>341.82 TOTAL COMPOSITE</t>
  </si>
  <si>
    <t>341.83 TOTAL COMPOSITE</t>
  </si>
  <si>
    <t>341.84 TOTAL COMPOSITE</t>
  </si>
  <si>
    <t>341.85 TOTAL COMPOSITE</t>
  </si>
  <si>
    <t>342.80 L Fuel Holders,Prod Acc-Polk</t>
  </si>
  <si>
    <t>342.80 M Fuel Holders,Prod Acc-Polk</t>
  </si>
  <si>
    <t>342.80 S Fuel Holders,Prod Acc-Polk</t>
  </si>
  <si>
    <t>342.80 TOTAL COMPOSITE</t>
  </si>
  <si>
    <t>342.81 L Fuel Holders,Prod Acc-Polk</t>
  </si>
  <si>
    <t>342.81 M Fuel Holders,Prod Acc-Polk</t>
  </si>
  <si>
    <t>342.81 S Fuel Holders,Prod Acc-Polk</t>
  </si>
  <si>
    <t>342.81 TOTAL COMPOSITE</t>
  </si>
  <si>
    <t>342.82 L Fuel Holders,Prod Acc-Polk</t>
  </si>
  <si>
    <t>342.82 M Fuel Holders,Prod Acc-Polk</t>
  </si>
  <si>
    <t>342.82 S Fuel Holders,Prod Acc-Polk</t>
  </si>
  <si>
    <t>342.82 TOTAL COMPOSITE</t>
  </si>
  <si>
    <t>342.83 L Fuel Holders,Prod Acc-Polk</t>
  </si>
  <si>
    <t>342.83 M Fuel Holders,Prod Acc-Polk</t>
  </si>
  <si>
    <t>342.83 S Fuel Holders,Prod Acc-Polk</t>
  </si>
  <si>
    <t>342.83 TOTAL COMPOSITE</t>
  </si>
  <si>
    <t>342.84 L Fuel Holders,Prod Acc-Polk</t>
  </si>
  <si>
    <t>342.84 M Fuel Holders,Prod Acc-Polk</t>
  </si>
  <si>
    <t>342.84 S Fuel Holders,Prod Acc-Polk</t>
  </si>
  <si>
    <t>342.84 TOTAL COMPOSITE</t>
  </si>
  <si>
    <t>342.85 L Fuel Holders,Prod Acc-Polk</t>
  </si>
  <si>
    <t>342.85 M Fuel Holders,Prod Acc-Polk</t>
  </si>
  <si>
    <t>342.85 S Fuel Holders,Prod Acc-Polk</t>
  </si>
  <si>
    <t>342.85 TOTAL COMPOSITE</t>
  </si>
  <si>
    <t>343.80 L Prime Movers-Polk Common</t>
  </si>
  <si>
    <t>343.80 M Prime Movers-Polk Common</t>
  </si>
  <si>
    <t>343.80 TOTAL COMPOSITE</t>
  </si>
  <si>
    <t>343.81 C Prime Movers-Polk U1</t>
  </si>
  <si>
    <t>343.81 L Prime Movers-Polk U1</t>
  </si>
  <si>
    <t>343.81 M Prime Movers-Polk U1</t>
  </si>
  <si>
    <t>343.81 S Prime Movers-Polk U1</t>
  </si>
  <si>
    <t>343.81 TOTAL COMPOSITE</t>
  </si>
  <si>
    <t>343.82 C Prime Movers-Polk U2</t>
  </si>
  <si>
    <t>343.82 L Prime Movers-Polk U2</t>
  </si>
  <si>
    <t>343.82 M Prime Movers-Polk U2</t>
  </si>
  <si>
    <t>343.82 S Prime Movers-Polk U2</t>
  </si>
  <si>
    <t>343.82 TOTAL COMPOSITE</t>
  </si>
  <si>
    <t>343.83 C Prime Movers-Polk U3</t>
  </si>
  <si>
    <t>343.83 L Prime Movers-Polk U3</t>
  </si>
  <si>
    <t>343.83 M Prime Movers-Polk U3</t>
  </si>
  <si>
    <t>343.83 S Prime Movers-Polk U3</t>
  </si>
  <si>
    <t>343.83 TOTAL COMPOSITE</t>
  </si>
  <si>
    <t>343.84 L Prime Movers-Polk U4</t>
  </si>
  <si>
    <t>343.84 M Prime Movers-Polk U4</t>
  </si>
  <si>
    <t>343.84 S Prime Movers-Polk U4</t>
  </si>
  <si>
    <t>343.84 TOTAL COMPOSITE</t>
  </si>
  <si>
    <t>343.85 L Prime Movers-Polk U5</t>
  </si>
  <si>
    <t>343.85 M Prime Movers-Polk U5</t>
  </si>
  <si>
    <t>343.85 S Prime Movers-Polk U5</t>
  </si>
  <si>
    <t>343.85 TOTAL COMPOSITE</t>
  </si>
  <si>
    <t>345.80 L Accessory Elect Eq-Polk Co</t>
  </si>
  <si>
    <t>345.80 M Accessory Elect Eq-Polk Co</t>
  </si>
  <si>
    <t>345.80 S Accessory Elect Eq-Polk Co</t>
  </si>
  <si>
    <t>345.80 TOTAL COMPOSITE</t>
  </si>
  <si>
    <t>345.81 L Accessory Elect Eq-Polk U1</t>
  </si>
  <si>
    <t>345.81 M Accessory Elect Eq-Polk U1</t>
  </si>
  <si>
    <t>345.81 S Accessory Elect Eq-Polk U1</t>
  </si>
  <si>
    <t>345.81 TOTAL COMPOSITE</t>
  </si>
  <si>
    <t>345.82 L Accessory Elect Eq-Polk U2</t>
  </si>
  <si>
    <t>345.82 M Accessory Elect Eq-Polk U2</t>
  </si>
  <si>
    <t>345.82 S Accessory Elect Eq-Polk U2</t>
  </si>
  <si>
    <t>345.82 TOTAL COMPOSITE</t>
  </si>
  <si>
    <t>345.83 L Accessory Elect Eq-Polk U3</t>
  </si>
  <si>
    <t>345.83 M Accessory Elect Eq-Polk U3</t>
  </si>
  <si>
    <t>345.83 S Accessory Elect Eq-Polk U3</t>
  </si>
  <si>
    <t>345.83 TOTAL COMPOSITE</t>
  </si>
  <si>
    <t>345.84 L Accessory Elect Eq-Polk U4</t>
  </si>
  <si>
    <t>345.84 M Accessory Elect Eq-Polk U4</t>
  </si>
  <si>
    <t>345.84 S Accessory Elect Eq-Polk U4</t>
  </si>
  <si>
    <t>345.84 TOTAL COMPOSITE</t>
  </si>
  <si>
    <t>345.85 L Accessory Elect Eq-Polk U5</t>
  </si>
  <si>
    <t>345.85 M Accessory Elect Eq-Polk U5</t>
  </si>
  <si>
    <t>345.85 S Accessory Elect Eq-Polk U5</t>
  </si>
  <si>
    <t>345.85 TOTAL COMPOSITE</t>
  </si>
  <si>
    <t>346.80 L Misc Power Plt Eq-Polk Com</t>
  </si>
  <si>
    <t>346.80 M Misc Power Plt Eq-Polk Com</t>
  </si>
  <si>
    <t>346.80 S Misc Power Plt Eq-Polk Com</t>
  </si>
  <si>
    <t>346.80 TOTAL COMPOSITE</t>
  </si>
  <si>
    <t>346.81 L Misc Power Plant Eq-Polk U</t>
  </si>
  <si>
    <t>346.81 M Misc Power Plant Eq-Polk U</t>
  </si>
  <si>
    <t>346.81 S Misc Power Plant Eq-Polk U</t>
  </si>
  <si>
    <t>346.81 TOTAL COMPOSITE</t>
  </si>
  <si>
    <t>346.82 L Misc Power Plant Eq-Polk U</t>
  </si>
  <si>
    <t>346.82 M Misc Power Plant Eq-Polk U</t>
  </si>
  <si>
    <t>346.82 TOTAL COMPOSITE</t>
  </si>
  <si>
    <t>346.83 L Misc Power Plant Eq-Polk U</t>
  </si>
  <si>
    <t>346.83 M Misc Power Plant Eq-Polk U</t>
  </si>
  <si>
    <t>346.83 TOTAL COMPOSITE</t>
  </si>
  <si>
    <t>342.30 L Fuel Holders,Prod Acc-BPC</t>
  </si>
  <si>
    <t>342.30 M Fuel Holders,Prod Acc-BPC</t>
  </si>
  <si>
    <t>342.30 S Fuel Holders,Prod Acc-BPC</t>
  </si>
  <si>
    <t>342.30 TOTAL COMPOSITE</t>
  </si>
  <si>
    <t>343.30 L Prime Movers-BPC</t>
  </si>
  <si>
    <t>343.30 M Prime Movers-BPC</t>
  </si>
  <si>
    <t>343.30 S Prime Movers-BPC</t>
  </si>
  <si>
    <t>343.30 TOTAL COMPOSITE</t>
  </si>
  <si>
    <t>345.30 L Accessory Electric Eq-BPC</t>
  </si>
  <si>
    <t>345.30 M Accessory Electric Eq-BPC</t>
  </si>
  <si>
    <t>345.30 S Accessory Electric Eq-BPC</t>
  </si>
  <si>
    <t>345.30 TOTAL COMPOSITE</t>
  </si>
  <si>
    <t>346.30 L Misc Power Plant Eq-BPC</t>
  </si>
  <si>
    <t>346.30 M Misc Power Plant Eq-BPC</t>
  </si>
  <si>
    <t>346.30 S Misc Power Plant Eq-BPC</t>
  </si>
  <si>
    <t>346.30 TOTAL COMPOSITE</t>
  </si>
  <si>
    <t>341.35 L Str &amp; Improve-BP5</t>
  </si>
  <si>
    <t>341.35 M Str &amp; Improve-BP5</t>
  </si>
  <si>
    <t>341.35 S Str &amp; Improve-BP5</t>
  </si>
  <si>
    <t>341.35 TOTAL COMPOSITE</t>
  </si>
  <si>
    <t>341.36 L Str &amp; Improve-BP6</t>
  </si>
  <si>
    <t>341.36 M Str &amp; Improve-BP6</t>
  </si>
  <si>
    <t>341.36 TOTAL COMPOSITE</t>
  </si>
  <si>
    <t>342.31 L Fuel Holders,Prod Acc-BP1</t>
  </si>
  <si>
    <t>342.31 M Fuel Holders,Prod Acc-BP1</t>
  </si>
  <si>
    <t>342.31 S Fuel Holders,Prod Acc-BP1</t>
  </si>
  <si>
    <t>342.31 TOTAL COMPOSITE</t>
  </si>
  <si>
    <t>342.32 L Fuel Holders,Prod Acc-BP2</t>
  </si>
  <si>
    <t>342.32 M Fuel Holders,Prod Acc-BP2</t>
  </si>
  <si>
    <t>342.32 S Fuel Holders,Prod Acc-BP2</t>
  </si>
  <si>
    <t>342.32 TOTAL COMPOSITE</t>
  </si>
  <si>
    <t>342.33 L Fuel Holders,Prod Acc-BP3</t>
  </si>
  <si>
    <t>342.33 M Fuel Holders,Prod Acc-BP3</t>
  </si>
  <si>
    <t>342.33 S Fuel Holders,Prod Acc-BP3</t>
  </si>
  <si>
    <t>342.33 TOTAL COMPOSITE</t>
  </si>
  <si>
    <t>342.34 L Fuel Holders,Prod Acc-BP4</t>
  </si>
  <si>
    <t>342.34 M Fuel Holders,Prod Acc-BP4</t>
  </si>
  <si>
    <t>342.34 S Fuel Holders,Prod Acc-BP4</t>
  </si>
  <si>
    <t>342.34 TOTAL COMPOSITE</t>
  </si>
  <si>
    <t>342.35 L Fuel Holders,Prod Acc-BP5</t>
  </si>
  <si>
    <t>342.35 M Fuel Holders,Prod Acc-BP5</t>
  </si>
  <si>
    <t>342.35 S Fuel Holders,Prod Acc-BP5</t>
  </si>
  <si>
    <t>342.35 TOTAL COMPOSITE</t>
  </si>
  <si>
    <t>342.36 L Fuel Holders,Prod Acc-BP6</t>
  </si>
  <si>
    <t>342.36 M Fuel Holders,Prod Acc-BP6</t>
  </si>
  <si>
    <t>342.36 S Fuel Holders,Prod Acc-BP6</t>
  </si>
  <si>
    <t>342.36 TOTAL COMPOSITE</t>
  </si>
  <si>
    <t>343.31 C Prime Movers-BP1</t>
  </si>
  <si>
    <t>343.31 L Prime Movers-BP1</t>
  </si>
  <si>
    <t>343.31 M Prime Movers-BP1</t>
  </si>
  <si>
    <t>343.31 S Prime Movers-BP1</t>
  </si>
  <si>
    <t>343.31 TOTAL COMPOSITE</t>
  </si>
  <si>
    <t>343.32 C Prime Movers-BP2</t>
  </si>
  <si>
    <t>343.32 L Prime Movers-BP2</t>
  </si>
  <si>
    <t>343.32 M Prime Movers-BP2</t>
  </si>
  <si>
    <t>343.32 S Prime Movers-BP2</t>
  </si>
  <si>
    <t>343.32 TOTAL COMPOSITE</t>
  </si>
  <si>
    <t>343.33 L Prime Movers-BP3</t>
  </si>
  <si>
    <t>343.33 M Prime Movers-BP3</t>
  </si>
  <si>
    <t>343.33 S Prime Movers-BP3</t>
  </si>
  <si>
    <t>343.33 TOTAL COMPOSITE</t>
  </si>
  <si>
    <t>343.34 L Prime Movers-BP4</t>
  </si>
  <si>
    <t>343.34 M Prime Movers-BP4</t>
  </si>
  <si>
    <t>343.34 S Prime Movers-BP4</t>
  </si>
  <si>
    <t>343.34 TOTAL COMPOSITE</t>
  </si>
  <si>
    <t>343.35 L Prime Movers-BP5</t>
  </si>
  <si>
    <t>343.35 M Prime Movers-BP5</t>
  </si>
  <si>
    <t>343.35 S Prime Movers-BP5</t>
  </si>
  <si>
    <t>343.35 TOTAL COMPOSITE</t>
  </si>
  <si>
    <t>343.36 L Prime Movers-BP6</t>
  </si>
  <si>
    <t>343.36 M Prime Movers-BP6</t>
  </si>
  <si>
    <t>343.36 S Prime Movers-BP6</t>
  </si>
  <si>
    <t>343.36 TOTAL COMPOSITE</t>
  </si>
  <si>
    <t>345.31 L Accessory Electric Eq-BP1</t>
  </si>
  <si>
    <t>345.31 M Accessory Electric Eq-BP1</t>
  </si>
  <si>
    <t>345.31 S Accessory Electric Eq-BP1</t>
  </si>
  <si>
    <t>345.31 TOTAL COMPOSITE</t>
  </si>
  <si>
    <t>345.32 L Accessory Electric Eq-BP2</t>
  </si>
  <si>
    <t>345.32 M Accessory Electric Eq-BP2</t>
  </si>
  <si>
    <t>345.32 S Accessory Electric Eq-BP2</t>
  </si>
  <si>
    <t>345.32 TOTAL COMPOSITE</t>
  </si>
  <si>
    <t>345.33 L Accessory Electric Eq-BP3</t>
  </si>
  <si>
    <t>345.33 M Accessory Electric Eq-BP3</t>
  </si>
  <si>
    <t>345.33 S Accessory Electric Eq-BP3</t>
  </si>
  <si>
    <t>345.33 TOTAL COMPOSITE</t>
  </si>
  <si>
    <t>345.34 L Accessory Electric Eq-BP4</t>
  </si>
  <si>
    <t>345.34 M Accessory Electric Eq-BP4</t>
  </si>
  <si>
    <t>345.34 TOTAL COMPOSITE</t>
  </si>
  <si>
    <t>345.35 L Accessory Electric Eq-BP5</t>
  </si>
  <si>
    <t>345.35 M Accessory Electric Eq-BP5</t>
  </si>
  <si>
    <t>345.35 S Accessory Electric Eq-BP5</t>
  </si>
  <si>
    <t>345.35 TOTAL COMPOSITE</t>
  </si>
  <si>
    <t>345.36 L Accessory Electric Eq-BP6</t>
  </si>
  <si>
    <t>345.36 M Accessory Electric Eq-BP6</t>
  </si>
  <si>
    <t>345.36 S Accessory Electric Eq-BP6</t>
  </si>
  <si>
    <t>345.36 TOTAL COMPOSITE</t>
  </si>
  <si>
    <t>346.31 L Misc Power Plant Eq-BP1</t>
  </si>
  <si>
    <t>346.31 M Misc Power Plant Eq-BP1</t>
  </si>
  <si>
    <t>346.31 TOTAL COMPOSITE</t>
  </si>
  <si>
    <t>346.32 L Misc Power Plant Eq-BP2</t>
  </si>
  <si>
    <t>346.32 M Misc Power Plant Eq-BP2</t>
  </si>
  <si>
    <t>346.32 TOTAL COMPOSITE</t>
  </si>
  <si>
    <t>346.33 M Misc Power Plant Eq-BP3</t>
  </si>
  <si>
    <t>346.33 TOTAL COMPOSITE</t>
  </si>
  <si>
    <t>346.34 M Misc Power Plant Eq-BP4</t>
  </si>
  <si>
    <t>346.34 TOTAL COMPOSITE</t>
  </si>
  <si>
    <t>346.36 L Misc Power Plant Eq-BP6</t>
  </si>
  <si>
    <t>346.36 M Misc Power Plant Eq-BP6</t>
  </si>
  <si>
    <t>346.36 TOTAL COMPOSITE</t>
  </si>
  <si>
    <t>Page 2 of 10</t>
  </si>
  <si>
    <t>ELECTRIC OTHER PRODUCTION - SOLAR</t>
  </si>
  <si>
    <t>TEC 2019 A - Strat 20200619</t>
  </si>
  <si>
    <t>345.34 S Accessory Electric Eq-BP4</t>
  </si>
  <si>
    <t>Year Ending December 31,2019</t>
  </si>
  <si>
    <t>SOFTWARE - AMORT - 30YR SOLAR</t>
  </si>
  <si>
    <t>B-7</t>
  </si>
  <si>
    <t>Amount</t>
  </si>
  <si>
    <t>`</t>
  </si>
  <si>
    <t>Curve</t>
  </si>
  <si>
    <t>Type</t>
  </si>
  <si>
    <t>Solar Sites</t>
  </si>
  <si>
    <t>7-year amortizable</t>
  </si>
  <si>
    <t>Calc</t>
  </si>
  <si>
    <t>Var</t>
  </si>
  <si>
    <t>Retirement</t>
  </si>
  <si>
    <t>Book</t>
  </si>
  <si>
    <t>(6)=(100%-(3))x(4)-(5)</t>
  </si>
  <si>
    <t>(8)=(6)/(7)</t>
  </si>
  <si>
    <t>(9)=(8)/(4)</t>
  </si>
  <si>
    <t>Total Solar Sites</t>
  </si>
  <si>
    <t>SOLAR POWER STATIONS</t>
  </si>
  <si>
    <t>TOTAL SOLAR POWER STATIONS</t>
  </si>
  <si>
    <t>Estimated Net Salvage and Remaining Life for</t>
  </si>
  <si>
    <t>Calculating Future Accruals, Annual Depreciation Accruals and Rates</t>
  </si>
  <si>
    <t>Year</t>
  </si>
  <si>
    <t>B-9</t>
  </si>
  <si>
    <t>Polk 1 Fuel Clause</t>
  </si>
  <si>
    <t>346.86 L Misc Power Plant Eq-PKCCST</t>
  </si>
  <si>
    <t>346.86 M Misc Power Plant Eq-PKCCST</t>
  </si>
  <si>
    <t>346.86 S Misc Power Plant Eq-PKCCST</t>
  </si>
  <si>
    <t>346.86 C Misc Power Plant Eq-PKCCST</t>
  </si>
  <si>
    <t>345.86 L Accesory Elect Eq-PKCCST</t>
  </si>
  <si>
    <t>345.86 C Accesory Elect Eq-PKCCST</t>
  </si>
  <si>
    <t>345.86 S Accesory Elect Eq-PKCCST</t>
  </si>
  <si>
    <t>345.86 M Accesory Elect Eq-PKCCST</t>
  </si>
  <si>
    <t>343.86 L Prime Movers-PKCCST</t>
  </si>
  <si>
    <t>343.86 M Prime Movers-PKCCST</t>
  </si>
  <si>
    <t>343.86 S Prime Movers-PKCCST</t>
  </si>
  <si>
    <t>343.86 C Prime Movers-PKCCST</t>
  </si>
  <si>
    <t>342.86 L Fuel Holders,Prod Acc-PK</t>
  </si>
  <si>
    <t>342.86 M Fuel Holders,Prod Acc-PK</t>
  </si>
  <si>
    <t>342.86 S Fuel Holders,Prod Acc-PK</t>
  </si>
  <si>
    <t>342.86 C Fuel Holders,Prod Acc-PK</t>
  </si>
  <si>
    <t>341.86 L Str and Improvements-PK</t>
  </si>
  <si>
    <t>341.86 M Str and Improvements-PK</t>
  </si>
  <si>
    <t>341.86 S Str and Improvements-PK</t>
  </si>
  <si>
    <t>341.86 C Str and Improvements-PK</t>
  </si>
  <si>
    <t>342.85 C Fuel Holders,Prod Acc-Polk</t>
  </si>
  <si>
    <t>343.85 C Prime Movers-Polk U5</t>
  </si>
  <si>
    <t>345.85 C Accessory Elect Eq-Polk U5</t>
  </si>
  <si>
    <t>342.84 C Fuel Holders,Prod Acc-Polk</t>
  </si>
  <si>
    <t>343.84 C Prime Movers-Polk U4</t>
  </si>
  <si>
    <t>345.84 C Accessory Elect Eq-Polk U4</t>
  </si>
  <si>
    <t>342.83 C Fuel Holders,Prod Acc-Polk</t>
  </si>
  <si>
    <t>345.83 C Accessory Elect Eq-Polk U3</t>
  </si>
  <si>
    <t>346.83 S Misc Power Plant Eq-Polk U</t>
  </si>
  <si>
    <t>346.83 C Misc Power Plant Eq-Polk U</t>
  </si>
  <si>
    <t>342.82 C Fuel Holders,Prod Acc-Polk</t>
  </si>
  <si>
    <t>345.82 C Accessory Elect Eq-Polk U2</t>
  </si>
  <si>
    <t>346.82 S Misc Power Plant Eq-Polk U</t>
  </si>
  <si>
    <t>346.82 C Misc Power Plant Eq-Polk U</t>
  </si>
  <si>
    <t>342.81 C Fuel Holders,Prod Acc-Polk</t>
  </si>
  <si>
    <t>345.81 C Accessory Elect Eq-Polk U1</t>
  </si>
  <si>
    <t>346.81 C Misc Power Plant Eq-Polk U</t>
  </si>
  <si>
    <t>341.80 C Str and Improve-Polk Comm</t>
  </si>
  <si>
    <t>342.80 C Fuel Holders,Prod Acc-Polk</t>
  </si>
  <si>
    <t>343.80 S Prime Movers-Polk Common</t>
  </si>
  <si>
    <t>343.80 C Prime Movers-Polk Common</t>
  </si>
  <si>
    <t>345.80 C Accessory Elect Eq-Polk Co</t>
  </si>
  <si>
    <t>346.80 C Misc Power Plt Eq-Polk Com</t>
  </si>
  <si>
    <t>341.36 S Str &amp; Improve-BP6</t>
  </si>
  <si>
    <t>346.36 S Misc Power Plant Eq-BP6</t>
  </si>
  <si>
    <t>346.35 L Misc Power Plant Eq-BP5</t>
  </si>
  <si>
    <t>346.35 M Misc Power Plant Eq-BP5</t>
  </si>
  <si>
    <t>346.35 S Misc Power Plant Eq-BP5</t>
  </si>
  <si>
    <t>341.34 S Str &amp; Improve-BP4</t>
  </si>
  <si>
    <t>346.34 L Misc Power Plant Eq-BP4</t>
  </si>
  <si>
    <t>346.34 S Misc Power Plant Eq-BP4</t>
  </si>
  <si>
    <t>341.33 S Str &amp; Improve-BP3</t>
  </si>
  <si>
    <t>346.33 L Misc Power Plant Eq-BP3</t>
  </si>
  <si>
    <t>346.33 S Misc Power Plant Eq-BP3</t>
  </si>
  <si>
    <t>341.32 C Str and Improvements-BP2</t>
  </si>
  <si>
    <t>345.32 C Accessory Electric Eq-BP2</t>
  </si>
  <si>
    <t>346.32 S Misc Power Plant Eq-BP2</t>
  </si>
  <si>
    <t>346.32 C Misc Power Plant Eq-BP2</t>
  </si>
  <si>
    <t>341.31 C Str and Improvements-BP1</t>
  </si>
  <si>
    <t>342.31 C Fuel Holders,Prod Acc-BP1</t>
  </si>
  <si>
    <t>345.31 C Accessory Electric Eq-BP1</t>
  </si>
  <si>
    <t>346.31 S Misc Power Plant Eq-BP1</t>
  </si>
  <si>
    <t>346.31 C Misc Power Plant Eq-BP1</t>
  </si>
  <si>
    <t>341.30 C Str and Improvements-BPC</t>
  </si>
  <si>
    <t>342.30 C Fuel Holders,Prod Acc-BPC</t>
  </si>
  <si>
    <t>343.30 C Prime Movers-BPC</t>
  </si>
  <si>
    <t>345.30 C Accessory Electric Eq-BPC</t>
  </si>
  <si>
    <t>346.30 C Misc Power Plant Eq-BPC</t>
  </si>
  <si>
    <t>346.44 S Misc Power Plant Eq-BBCT4</t>
  </si>
  <si>
    <t>316.54 S Misc Power Plt Eq-BB4 SCR</t>
  </si>
  <si>
    <t>316.46 S Misc Power Plt Eq-BB1&amp;2 FG</t>
  </si>
  <si>
    <t>341.99 L Str and Improvements-Solar</t>
  </si>
  <si>
    <t>341.99 M Str and Improvements-Solar</t>
  </si>
  <si>
    <t>341.99 S Str and Improvements-Solar</t>
  </si>
  <si>
    <t>343.99 L Prime Movers-Solar</t>
  </si>
  <si>
    <t>343.99 M Prime Movers-Solar</t>
  </si>
  <si>
    <t>343.99 S Prime Movers-Solar</t>
  </si>
  <si>
    <t>345.99 L Accessory Elect Eq-Solar</t>
  </si>
  <si>
    <t>345.99 M Accessory Elect Eq-Solar</t>
  </si>
  <si>
    <t>345.99 S Accessory Elect Eq-Solar</t>
  </si>
  <si>
    <t>346.99 L Misc Power Plant Eq-Solar</t>
  </si>
  <si>
    <t>346.99 M Misc Power Plant Eq-Solar</t>
  </si>
  <si>
    <t>346.99 S Misc Power Plant Eq-Solar</t>
  </si>
  <si>
    <t>342.99 L Fuel Holders,Prod Acc-Solar</t>
  </si>
  <si>
    <t>342.99 M Fuel Holders,Prod Acc-Solar</t>
  </si>
  <si>
    <t>342.99 S Fuel Holders,Prod Acc-Solar</t>
  </si>
  <si>
    <t>348.99 L Energy Storage Battery Eq</t>
  </si>
  <si>
    <t>348.99 M Energy Storage Battery Eq</t>
  </si>
  <si>
    <t>348.99 S Energy Storage Battery Eq</t>
  </si>
  <si>
    <t>Station</t>
  </si>
  <si>
    <t>Unit</t>
  </si>
  <si>
    <t>Big Bend Station</t>
  </si>
  <si>
    <t>Polk Station</t>
  </si>
  <si>
    <t>C</t>
  </si>
  <si>
    <t>L</t>
  </si>
  <si>
    <t>M</t>
  </si>
  <si>
    <t>S</t>
  </si>
  <si>
    <t>ENERGY SUPPLY - GENERATING UNIT</t>
  </si>
  <si>
    <t>CAPITAL RECOVERY DATES</t>
  </si>
  <si>
    <t>Year End</t>
  </si>
  <si>
    <t>Maximum</t>
  </si>
  <si>
    <t>In-svc</t>
  </si>
  <si>
    <t>Date</t>
  </si>
  <si>
    <t>Recovery</t>
  </si>
  <si>
    <t>Lifespan</t>
  </si>
  <si>
    <t>Name</t>
  </si>
  <si>
    <t>Unit No.</t>
  </si>
  <si>
    <t>Month</t>
  </si>
  <si>
    <t xml:space="preserve"> in Years</t>
  </si>
  <si>
    <t>31X</t>
  </si>
  <si>
    <t>Common</t>
  </si>
  <si>
    <t>SCR 1</t>
  </si>
  <si>
    <t>SCR 2</t>
  </si>
  <si>
    <t>SCR 3</t>
  </si>
  <si>
    <t>SCR 4</t>
  </si>
  <si>
    <t>34X</t>
  </si>
  <si>
    <t>CT 4</t>
  </si>
  <si>
    <t>CT 5</t>
  </si>
  <si>
    <t>CT 6</t>
  </si>
  <si>
    <t>Bayside Station</t>
  </si>
  <si>
    <t>CT 3</t>
  </si>
  <si>
    <t>CCST 2-5</t>
  </si>
  <si>
    <t>TIA Solar</t>
  </si>
  <si>
    <t>Legoland Solar</t>
  </si>
  <si>
    <t>Big Bend Solar + Battery</t>
  </si>
  <si>
    <t>Payne Creek Solar</t>
  </si>
  <si>
    <t>Balm Solar</t>
  </si>
  <si>
    <t>Lithia Solar</t>
  </si>
  <si>
    <t>Grange Hall Solar</t>
  </si>
  <si>
    <t>Bonnie Mine Solar</t>
  </si>
  <si>
    <t>Peace Creek Solar</t>
  </si>
  <si>
    <t>Lake Hancock Solar</t>
  </si>
  <si>
    <t>Little Manatee River Solar</t>
  </si>
  <si>
    <t>Wimauma Solar</t>
  </si>
  <si>
    <t>Durance Solar</t>
  </si>
  <si>
    <t>Mountain View Solar</t>
  </si>
  <si>
    <t>Future Solar 1</t>
  </si>
  <si>
    <t>Future Solar 2</t>
  </si>
  <si>
    <t>Future Solar 3</t>
  </si>
  <si>
    <t>Future Solar 4</t>
  </si>
  <si>
    <t>Other Future Generation</t>
  </si>
  <si>
    <t>Reciprocating Engine x 5</t>
  </si>
  <si>
    <t>Battery Storage x 3</t>
  </si>
  <si>
    <t>Curve Year</t>
  </si>
  <si>
    <t>346.84 M Misc Power Plant Eq-Polk U</t>
  </si>
  <si>
    <t>346.84 S Misc Power Plant Eq-Polk U</t>
  </si>
  <si>
    <t>346.84 C Misc Power Plant Eq-Polk U</t>
  </si>
  <si>
    <t>346.84 L Misc Power Plant Eq-Polk U</t>
  </si>
  <si>
    <t>346.85 M Misc Power Plant Eq-Polk U</t>
  </si>
  <si>
    <t>346.85 S Misc Power Plant Eq-Polk U</t>
  </si>
  <si>
    <t>346.85 C Misc Power Plant Eq-Polk U</t>
  </si>
  <si>
    <t>346.85 L Misc Power Plant Eq-Polk U</t>
  </si>
  <si>
    <t>314.45 L Turbogen Units-BB3&amp;4 FGD</t>
  </si>
  <si>
    <t>314.45 M Turbogen Units-BB3&amp;4 FGD</t>
  </si>
  <si>
    <t>314.45 S Turbogen Units-BB3&amp;4 FGD</t>
  </si>
  <si>
    <t>314.46 L Turbogen Units-BB1&amp;2 FGD</t>
  </si>
  <si>
    <t>314.46 M Turbogen Units-BB1&amp;2 FGD</t>
  </si>
  <si>
    <t>314.46 S Turbogen Units-BB1&amp;2 FGD</t>
  </si>
  <si>
    <t>314.51 L Turbogen Units-BBSCR1</t>
  </si>
  <si>
    <t>314.51 M Turbogen Units-BBSCR1</t>
  </si>
  <si>
    <t>314.51 S Turbogen Units-BBSCR1</t>
  </si>
  <si>
    <t>314.52 L Turbogen Units-BBSCR1</t>
  </si>
  <si>
    <t>314.52 M Turbogen Units-BBSCR1</t>
  </si>
  <si>
    <t>314.52 S Turbogen Units-BBSCR1</t>
  </si>
  <si>
    <t>314.53 M Turbogen Units-BBSCR1</t>
  </si>
  <si>
    <t>314.53 S Turbogen Units-BBSCR1</t>
  </si>
  <si>
    <t>314.53 L Turbogen Units-BBSCR1</t>
  </si>
  <si>
    <t>314.54 L Turbogen Units-BBSCR1</t>
  </si>
  <si>
    <t>314.54 M Turbogen Units-BBSCR1</t>
  </si>
  <si>
    <t>314.54 S Turbogen Units-BBSCR1</t>
  </si>
  <si>
    <t>342.32 C Fuel Holders,Prod Acc-BP2</t>
  </si>
  <si>
    <t>343.33 C Prime Movers-BP3</t>
  </si>
  <si>
    <t>343.34 C Prime Movers-BP4</t>
  </si>
  <si>
    <t>343.35 C Prime Movers-BP5</t>
  </si>
  <si>
    <t>343.36 C Prime Movers-BP6</t>
  </si>
  <si>
    <t>PV</t>
  </si>
  <si>
    <t>Analysis Account</t>
  </si>
  <si>
    <t>Curve Id</t>
  </si>
  <si>
    <t>Terminal Date</t>
  </si>
  <si>
    <t>Surviving Plant</t>
  </si>
  <si>
    <t>Avg Service Life</t>
  </si>
  <si>
    <t>Avg Service Life Dollars</t>
  </si>
  <si>
    <t>Future Net Salvage Pct</t>
  </si>
  <si>
    <t>Actual Reserve Spread</t>
  </si>
  <si>
    <t xml:space="preserve">316.44 L Misc Pwr Plt Eq-BB 4 MAIN </t>
  </si>
  <si>
    <t xml:space="preserve">316.44 M Misc Pwr Plt Eq-BB 4 MAIN </t>
  </si>
  <si>
    <t xml:space="preserve">316.44 S Misc Pwr Plt Eq-BB 4 MAIN </t>
  </si>
  <si>
    <t xml:space="preserve">341.81 L Str and Improvements-Polk </t>
  </si>
  <si>
    <t xml:space="preserve">341.81 M Str and Improvements-Polk </t>
  </si>
  <si>
    <t xml:space="preserve">341.81 S Str and Improvements-Polk </t>
  </si>
  <si>
    <t xml:space="preserve">341.82 L Str and Improvements-Polk </t>
  </si>
  <si>
    <t xml:space="preserve">341.82 M Str and Improvements-Polk </t>
  </si>
  <si>
    <t xml:space="preserve">341.82 S Str and Improvements-Polk </t>
  </si>
  <si>
    <t xml:space="preserve">341.83 L Str and Improvements-Polk </t>
  </si>
  <si>
    <t xml:space="preserve">341.83 M Str and Improvements-Polk </t>
  </si>
  <si>
    <t xml:space="preserve">341.83 S Str and Improvements-Polk </t>
  </si>
  <si>
    <t xml:space="preserve">341.84 L Str and Improvements-Polk </t>
  </si>
  <si>
    <t xml:space="preserve">341.84 M Str and Improvements-Polk </t>
  </si>
  <si>
    <t xml:space="preserve">341.85 L Str and Improvements-Polk </t>
  </si>
  <si>
    <t xml:space="preserve">341.85 M Str and Improvements-Polk </t>
  </si>
  <si>
    <t xml:space="preserve">341.81 C Str and Improvements-Polk </t>
  </si>
  <si>
    <t xml:space="preserve">341.82 C Str and Improvements-Polk </t>
  </si>
  <si>
    <t xml:space="preserve">341.83 C Str and Improvements-Polk </t>
  </si>
  <si>
    <t xml:space="preserve">341.84 S Str and Improvements-Polk </t>
  </si>
  <si>
    <t xml:space="preserve">341.84 C Str and Improvements-Polk </t>
  </si>
  <si>
    <t xml:space="preserve">341.85 S Str and Improvements-Polk </t>
  </si>
  <si>
    <t xml:space="preserve">341.85 C Str and Improvements-Polk </t>
  </si>
  <si>
    <t>341.99 TOTAL COMPOSITE</t>
  </si>
  <si>
    <t>342.99 TOTAL COMPOSITE</t>
  </si>
  <si>
    <t>343.99 TOTAL COMPOSITE</t>
  </si>
  <si>
    <t>345.99 TOTAL COMPOSITE</t>
  </si>
  <si>
    <t>346.99 TOTAL COMPOSITE</t>
  </si>
  <si>
    <t>348.99 TOTAL COMPOSITE</t>
  </si>
  <si>
    <t>341.86 TOTAL COMPOSITE</t>
  </si>
  <si>
    <t>342.86 TOTAL COMPOSITE</t>
  </si>
  <si>
    <t>343.86 TOTAL COMPOSITE</t>
  </si>
  <si>
    <t>345.86 TOTAL COMPOSITE</t>
  </si>
  <si>
    <t>346.86 TOTAL COMPOSITE</t>
  </si>
  <si>
    <t>346.85 TOTAL COMPOSITE</t>
  </si>
  <si>
    <t>346.84 TOTAL COMPOSITE</t>
  </si>
  <si>
    <t>346.35 TOTAL COMPOSITE</t>
  </si>
  <si>
    <t>314.54 TOTAL COMPOSITE</t>
  </si>
  <si>
    <t>314.53 TOTAL COMPOSITE</t>
  </si>
  <si>
    <t>314.52 TOTAL COMPOSITE</t>
  </si>
  <si>
    <t>314.51 TOTAL COMPOSITE</t>
  </si>
  <si>
    <t>314.46 TOTAL COMPOSITE</t>
  </si>
  <si>
    <t>314.45 TOTAL COMPOSITE</t>
  </si>
  <si>
    <t>Avg Remaining Life</t>
  </si>
  <si>
    <t>Sceanrio</t>
  </si>
  <si>
    <t>Avg Age</t>
  </si>
  <si>
    <t>Avg Age Dollars</t>
  </si>
  <si>
    <t>Avg Remaining Life Dollars</t>
  </si>
  <si>
    <t>Theoretical Reserve Ratio</t>
  </si>
  <si>
    <t>Theoretical Reserve Dollars</t>
  </si>
  <si>
    <t>Future Net Salvage Dollars</t>
  </si>
  <si>
    <t>Study</t>
  </si>
  <si>
    <t>(A)</t>
  </si>
  <si>
    <t>(B)</t>
  </si>
  <si>
    <t>(C)</t>
  </si>
  <si>
    <t>(D)</t>
  </si>
  <si>
    <t>(E)</t>
  </si>
  <si>
    <t>(F)</t>
  </si>
  <si>
    <t>Reserve Dollars</t>
  </si>
  <si>
    <t>(B)/(A)</t>
  </si>
  <si>
    <t>(C)/(A)</t>
  </si>
  <si>
    <t>(D)/(A)</t>
  </si>
  <si>
    <t>(E)/(A)</t>
  </si>
  <si>
    <t>(F)/(A)</t>
  </si>
  <si>
    <t>BB CT No. 5</t>
  </si>
  <si>
    <t>BB CT No. 6</t>
  </si>
  <si>
    <t>BB CCST for CT 5&amp;6</t>
  </si>
  <si>
    <t>PK CCST for CT 2-5</t>
  </si>
  <si>
    <t>Polk CCST for CT 2-5</t>
  </si>
  <si>
    <t>Proposed</t>
  </si>
  <si>
    <t>ARO Related Plant</t>
  </si>
  <si>
    <t>Various Sites</t>
  </si>
  <si>
    <t>TOTAL ARO Related Plant</t>
  </si>
  <si>
    <t>Total Plant Cost (Less Land)</t>
  </si>
  <si>
    <t>PV Calculations</t>
  </si>
  <si>
    <t>341.33 C Str &amp; Improve-BP3</t>
  </si>
  <si>
    <t>342.33 C Fuel Holders,Prod Acc-BP3</t>
  </si>
  <si>
    <t>345.33 C Accessory Electric Eq-BP3</t>
  </si>
  <si>
    <t>346.33 C Misc Power Plant Eq-BP3</t>
  </si>
  <si>
    <t>341.34 C Str &amp; Improve-BP4</t>
  </si>
  <si>
    <t>342.34 C Fuel Holders,Prod Acc-BP4</t>
  </si>
  <si>
    <t>345.34 C Accessory Electric Eq-BP4</t>
  </si>
  <si>
    <t>346.34 C Misc Power Plant Eq-BP4</t>
  </si>
  <si>
    <t>341.35 C Str &amp; Improve-BP5</t>
  </si>
  <si>
    <t>342.35 C Fuel Holders,Prod Acc-BP5</t>
  </si>
  <si>
    <t>345.35 C Accessory Electric Eq-BP5</t>
  </si>
  <si>
    <t>346.35 C Misc Power Plant Eq-BP5</t>
  </si>
  <si>
    <t>341.36 C Str &amp; Improve-BP6</t>
  </si>
  <si>
    <t>342.36 C Fuel Holders,Prod Acc-BP6</t>
  </si>
  <si>
    <t>345.36 C Accessory Electric Eq-BP6</t>
  </si>
  <si>
    <t>346.36 C Misc Power Plant Eq-BP6</t>
  </si>
  <si>
    <t>2019 Annual Depreciation Analysis -  Rate Review</t>
  </si>
  <si>
    <t>PHILLIPS STATION</t>
  </si>
  <si>
    <t>Phillips Station</t>
  </si>
  <si>
    <t>City of Tampa (Partnership)</t>
  </si>
  <si>
    <t>12/31/2011 DS</t>
  </si>
  <si>
    <t>2011 Depr Study Data</t>
  </si>
  <si>
    <t>2021 Annual Depreciation Analysis -  Rate Review</t>
  </si>
  <si>
    <t>Current Rates - Effective 2011</t>
  </si>
  <si>
    <t>PP Avg</t>
  </si>
  <si>
    <t>PP</t>
  </si>
  <si>
    <t>ARO</t>
  </si>
  <si>
    <t>Similar to PK CCST for CT 2-5</t>
  </si>
  <si>
    <t>New rate[s] requested for Big Bend Modernization project.</t>
  </si>
  <si>
    <t>-</t>
  </si>
  <si>
    <t>Unit #</t>
  </si>
  <si>
    <t>Generation Summary</t>
  </si>
  <si>
    <t>Comparison of Reserve - Actual vs Theoretical</t>
  </si>
  <si>
    <t>Change in Plant and Reserve Balances</t>
  </si>
  <si>
    <t>Change in Annual Accruals</t>
  </si>
  <si>
    <t>Comparison of Rates and Components</t>
  </si>
  <si>
    <t>TEC 2019 A - Strat 20201110</t>
  </si>
  <si>
    <t>BB CCST for CT 5-6</t>
  </si>
  <si>
    <t xml:space="preserve">See Order No. PSC-2017-0391-PAA-EI </t>
  </si>
  <si>
    <t>NS Dollars</t>
  </si>
  <si>
    <t>311.40 - Structures &amp; Improvements</t>
  </si>
  <si>
    <t>312.40 - Boiler Plant Equipment</t>
  </si>
  <si>
    <t>314.40 - Turbogenerator Units</t>
  </si>
  <si>
    <t>315.40 - Accessory Electric Equipment</t>
  </si>
  <si>
    <t>316.40 - Misc. Power Plant Equipment</t>
  </si>
  <si>
    <t>311.41 - Structures &amp; Improvements</t>
  </si>
  <si>
    <t>312.41 - Boiler Plant Equipment</t>
  </si>
  <si>
    <t>314.41 - Turbogenerator Units</t>
  </si>
  <si>
    <t>315.41 - Accessory Electric Equipment</t>
  </si>
  <si>
    <t>316.41 - Misc. Power Plant Equipment</t>
  </si>
  <si>
    <t>311.42 - Structures &amp; Improvements</t>
  </si>
  <si>
    <t>312.42 - Boiler Plant Equipment</t>
  </si>
  <si>
    <t>314.42- Turbogenerator Units</t>
  </si>
  <si>
    <t>315.42 - Accessory Electric Equipment</t>
  </si>
  <si>
    <t>316.42 - Misc. Power Plant Equipment</t>
  </si>
  <si>
    <t>311.43 - Structures &amp; Improvements</t>
  </si>
  <si>
    <t>312.43 - Boiler Plant Equipment</t>
  </si>
  <si>
    <t>314.43 - Turbogenerator Units.</t>
  </si>
  <si>
    <t>315.43 - Accessory Electric Equipment</t>
  </si>
  <si>
    <t>316.43 - Misc. Power Plant Equipment</t>
  </si>
  <si>
    <t>311.44 - Structures &amp; Improvements</t>
  </si>
  <si>
    <t>312.44 - Boiler Plant Equipment</t>
  </si>
  <si>
    <t>314.44 - Turbogenerator Units</t>
  </si>
  <si>
    <t>315.44 - Accessory Electric Equipment</t>
  </si>
  <si>
    <t>316.44 - Misc. Power Plant Equipment</t>
  </si>
  <si>
    <t>341.44 - Structures &amp; Improvements</t>
  </si>
  <si>
    <t>342.44 - Fuel Holders, Producers and Accessories</t>
  </si>
  <si>
    <t>343.44 - Prime Movers</t>
  </si>
  <si>
    <t>345.44 - Accessory Electric Equipment</t>
  </si>
  <si>
    <t>346.44 - Misc. Power Plant Equipment</t>
  </si>
  <si>
    <t>311.45 - Structures &amp; Improvements</t>
  </si>
  <si>
    <t>312.45 - Boiler Plant Equipment</t>
  </si>
  <si>
    <t>314.45 - Turbogenerator Units</t>
  </si>
  <si>
    <t>315.45 - Accessory Electric Equipment</t>
  </si>
  <si>
    <t>316.45 - Misc. Power Plant Equipment</t>
  </si>
  <si>
    <t>311.46 - Structures &amp; Improvements</t>
  </si>
  <si>
    <t>312.46 - Boiler Plant Equipment</t>
  </si>
  <si>
    <t>314.46 - Turbogenerator Units</t>
  </si>
  <si>
    <t>315.46 - Accessory Electric Equipment</t>
  </si>
  <si>
    <t>316.46 - Misc. Power Plant Equipment</t>
  </si>
  <si>
    <t>311.51 - Structures &amp; Improvements</t>
  </si>
  <si>
    <t>312.51 - Boiler Plant Equipment</t>
  </si>
  <si>
    <t>314.51 - Turbogenerator Units</t>
  </si>
  <si>
    <t>315.51 - Accessory Electric Equipment</t>
  </si>
  <si>
    <t>316.51 - Misc. Power Plant Equipment</t>
  </si>
  <si>
    <t>311.52 - Structures &amp; Improvements</t>
  </si>
  <si>
    <t>312.52 - Boiler Plant Equipment</t>
  </si>
  <si>
    <t>314.52 - Turbogenerator Units</t>
  </si>
  <si>
    <t>315.52 - Accessory Electric Equipment</t>
  </si>
  <si>
    <t>316.52 - Misc. Power Plant Equipment</t>
  </si>
  <si>
    <t>311.53 - Structures &amp; Improvements</t>
  </si>
  <si>
    <t>312.53 - Boiler Plant Equipment</t>
  </si>
  <si>
    <t>314.53 - Turbogenerator Units</t>
  </si>
  <si>
    <t>315.53 - Accessory Electric Equipment</t>
  </si>
  <si>
    <t>316.53 - Misc. Power Plant Equipment</t>
  </si>
  <si>
    <t>311.54 - Structures &amp; Improvements</t>
  </si>
  <si>
    <t>312.54 - Boiler Plant Equipment</t>
  </si>
  <si>
    <t>314.54 - Turbogenerator Units</t>
  </si>
  <si>
    <t>315.54 - Accessory Electric Equipment</t>
  </si>
  <si>
    <t>316.54 - Misc. Power Plant Equipment</t>
  </si>
  <si>
    <t>341.30 - Structures &amp; Improvements</t>
  </si>
  <si>
    <t>342.30 - Fuel Holders, Producers and Accessories</t>
  </si>
  <si>
    <t>343.30 - Prime Movers</t>
  </si>
  <si>
    <t>345.30 - Accessory Electric Equipment</t>
  </si>
  <si>
    <t>346.30 - Misc. Power Plant Equipment</t>
  </si>
  <si>
    <t>341.31 - Structures &amp; Improvements</t>
  </si>
  <si>
    <t>342.31 - Fuel Holders, Producers and Accessories</t>
  </si>
  <si>
    <t>343.31 - Prime Movers</t>
  </si>
  <si>
    <t>345.31 - Accessory Electric Equipment</t>
  </si>
  <si>
    <t>346.31 - Misc. Power Plant Equipment</t>
  </si>
  <si>
    <t>341.32 - Structures &amp; Improvements</t>
  </si>
  <si>
    <t>342.32 - Fuel Holders, Producers and Accessories</t>
  </si>
  <si>
    <t>343.32 - Prime Movers</t>
  </si>
  <si>
    <t>345.32 - Accessory Electric Equipment</t>
  </si>
  <si>
    <t>346.32 - Misc. Power Plant Equipment</t>
  </si>
  <si>
    <t>341.33 - Structures &amp; Improvements</t>
  </si>
  <si>
    <t>342.33 - Fuel Holders, Producers and Accessories</t>
  </si>
  <si>
    <t>343.33 - Prime Movers</t>
  </si>
  <si>
    <t>345.33 - Accessory Electric Equipment</t>
  </si>
  <si>
    <t>346.33 - Misc. Power Plant Equipment</t>
  </si>
  <si>
    <t>341.34 - Structures &amp; Improvements</t>
  </si>
  <si>
    <t>342.34 - Fuel Holders, Producers and Accessories</t>
  </si>
  <si>
    <t>343.34 - Prime Movers</t>
  </si>
  <si>
    <t>345.34 - Accessory Electric Equipment</t>
  </si>
  <si>
    <t>346.34 - Misc. Power Plant Equipment</t>
  </si>
  <si>
    <t>341.35 - Structures &amp; Improvements</t>
  </si>
  <si>
    <t>342.35 - Fuel Holders, Producers and Accessories</t>
  </si>
  <si>
    <t>343.35 - Prime Movers</t>
  </si>
  <si>
    <t>345.35 - Accessory Electric Equipment</t>
  </si>
  <si>
    <t>346.35 - Misc. Power Plant Equipment</t>
  </si>
  <si>
    <t>341.36 - Structures &amp; Improvements</t>
  </si>
  <si>
    <t>342.36 - Fuel Holders, Producers and Accessories</t>
  </si>
  <si>
    <t>343.36 - Prime Movers</t>
  </si>
  <si>
    <t>345.36 - Accessory Electric Equipment</t>
  </si>
  <si>
    <t>346.36 - Misc. Power Plant Equipment</t>
  </si>
  <si>
    <t>341.80 - Structures &amp; Improvements</t>
  </si>
  <si>
    <t>342.80 - Fuel Holders, Producers and Accessories</t>
  </si>
  <si>
    <t>343.80 - Prime Movers</t>
  </si>
  <si>
    <t>345.80 - Accessory Electric Equipment</t>
  </si>
  <si>
    <t>346.80 - Misc. Power Plant Equipment</t>
  </si>
  <si>
    <t>341.81 - Structures &amp; Improvements</t>
  </si>
  <si>
    <t>342.81 - Fuel Holders, Producers and Accessories</t>
  </si>
  <si>
    <t>343.81 - Prime Movers</t>
  </si>
  <si>
    <t>345.81 - Accessory Electric Equipment</t>
  </si>
  <si>
    <t>346.81 - Misc. Power Plant Equipment</t>
  </si>
  <si>
    <t>341.82 - Structures &amp; Improvements</t>
  </si>
  <si>
    <t>342.82 - Fuel Holders, Producers and Accessories</t>
  </si>
  <si>
    <t>343.82 - Prime Movers</t>
  </si>
  <si>
    <t>345.82 - Accessory Electric Equipment</t>
  </si>
  <si>
    <t>346.82 - Misc. Power Plant Equipment</t>
  </si>
  <si>
    <t>341.83 - Structures &amp; Improvements</t>
  </si>
  <si>
    <t>342.83 - Fuel Holders, Producers and Accessories</t>
  </si>
  <si>
    <t>343.83 - Prime Movers</t>
  </si>
  <si>
    <t>345.83 - Accessory Electric Equipment</t>
  </si>
  <si>
    <t>346.83 - Misc. Power Plant Equipment</t>
  </si>
  <si>
    <t>341.84 - Structures &amp; Improvements</t>
  </si>
  <si>
    <t>342.84 - Fuel Holders, Producers and Accessories</t>
  </si>
  <si>
    <t>343.84 - Prime Movers</t>
  </si>
  <si>
    <t>345.84 - Accessory Electric Equipment</t>
  </si>
  <si>
    <t>346.84 - Misc. Power Plant Equipment</t>
  </si>
  <si>
    <t>341.85 - Structures &amp; Improvements</t>
  </si>
  <si>
    <t>342.85 - Fuel Holders, Producers and Accessories</t>
  </si>
  <si>
    <t>343.85 - Prime Movers</t>
  </si>
  <si>
    <t>345.85 - Accessory Electric Equipment</t>
  </si>
  <si>
    <t>346.85 - Misc. Power Plant Equipment</t>
  </si>
  <si>
    <t>341.86 - Structures &amp; Improvements</t>
  </si>
  <si>
    <t>342.86 - Fuel Holders, Producers and Accessories</t>
  </si>
  <si>
    <t>343.86 - Prime Movers</t>
  </si>
  <si>
    <t>345.86 - Accessory Electric Equipment</t>
  </si>
  <si>
    <t>346.86 - Misc. Power Plant Equipment</t>
  </si>
  <si>
    <t>341.99 - Structures &amp; Improvements</t>
  </si>
  <si>
    <t>342.99 - Fuel Holders, Producers and Accessories</t>
  </si>
  <si>
    <t>343.99 - Prime Movers</t>
  </si>
  <si>
    <t>345.99 - Accessory Electric Equipment</t>
  </si>
  <si>
    <t>346.99 - Misc. Power Plant Equipment</t>
  </si>
  <si>
    <t>348.99 - Energy Storage Battery Equipment</t>
  </si>
  <si>
    <t>Not enough historical data for software to process</t>
  </si>
  <si>
    <t>5-year amortizable</t>
  </si>
  <si>
    <t>Total Polk CCST for CT 2-5</t>
  </si>
  <si>
    <t>2019 Annual Depreciation Analysis - Rate Review</t>
  </si>
  <si>
    <t>Effective</t>
  </si>
  <si>
    <t>Gen. Max.</t>
  </si>
  <si>
    <t>10-year</t>
  </si>
  <si>
    <t>Nameplate</t>
  </si>
  <si>
    <t>Summer</t>
  </si>
  <si>
    <t>Winter</t>
  </si>
  <si>
    <t>Fuel</t>
  </si>
  <si>
    <t>KW</t>
  </si>
  <si>
    <t>MW</t>
  </si>
  <si>
    <t>ST</t>
  </si>
  <si>
    <t>NG</t>
  </si>
  <si>
    <t>BIT/NG</t>
  </si>
  <si>
    <t>GT</t>
  </si>
  <si>
    <t>NG/DFO</t>
  </si>
  <si>
    <t>NGCC</t>
  </si>
  <si>
    <t>CC</t>
  </si>
  <si>
    <t>IGCC</t>
  </si>
  <si>
    <t>PC/BIT/NG</t>
  </si>
  <si>
    <t>IC</t>
  </si>
  <si>
    <t>BA</t>
  </si>
  <si>
    <t>N/A</t>
  </si>
  <si>
    <t xml:space="preserve"> MW</t>
  </si>
  <si>
    <t>In-service</t>
  </si>
  <si>
    <t>Retiring BB1 BB2</t>
  </si>
  <si>
    <t>Future Gen</t>
  </si>
  <si>
    <t>*On standby</t>
  </si>
  <si>
    <t>Unit Type:</t>
  </si>
  <si>
    <t>Fuel Type:</t>
  </si>
  <si>
    <t>BA = Battery Storage</t>
  </si>
  <si>
    <t>BIT = Bituminous Coal</t>
  </si>
  <si>
    <t>CC = Combined Cycle</t>
  </si>
  <si>
    <t>DFO = Distillate Fuel Oil</t>
  </si>
  <si>
    <t>GT = GasTurbine</t>
  </si>
  <si>
    <t>NG = Natural Gas</t>
  </si>
  <si>
    <t>IC = Internal Combustion</t>
  </si>
  <si>
    <t>PC = Petroleum Coke</t>
  </si>
  <si>
    <t>PV = Photovoltaic</t>
  </si>
  <si>
    <t>SOLAR = Solar Energy</t>
  </si>
  <si>
    <t>ST = Steam Turbine</t>
  </si>
  <si>
    <t>IGCC = Integrated Gasification CC</t>
  </si>
  <si>
    <t>CCST 5-6</t>
  </si>
  <si>
    <t>Future Solar 5</t>
  </si>
  <si>
    <t>Battery Storage Equipment</t>
  </si>
  <si>
    <t>Boiler 1</t>
  </si>
  <si>
    <t>Boiler 2</t>
  </si>
  <si>
    <t>Boiler 3</t>
  </si>
  <si>
    <t>Boiler 4</t>
  </si>
  <si>
    <t>FGD 1&amp;2</t>
  </si>
  <si>
    <t>FGD 3&amp;4</t>
  </si>
  <si>
    <t>Unit 1 (3xCT + CCST)</t>
  </si>
  <si>
    <t>Unit 2 (4xCT + CCST)</t>
  </si>
  <si>
    <t>Unit 1 (Gasifier + CCST)</t>
  </si>
  <si>
    <t>CT 2</t>
  </si>
  <si>
    <t>KW Capacity</t>
  </si>
  <si>
    <t>Year ending December 31, 2021</t>
  </si>
  <si>
    <t>TOTAL ARO</t>
  </si>
  <si>
    <t>TOTAL LEASE NON-DEPRECIABLE LAND</t>
  </si>
  <si>
    <t>TOTAL ELECTRIC PLANT IN SERVICE (INCLUDING LEASE)</t>
  </si>
  <si>
    <t xml:space="preserve">BIG BEND COMBUSTION TURBINE #5 </t>
  </si>
  <si>
    <t>Prime Movers-BBCT5</t>
  </si>
  <si>
    <t>TOTAL BIG BEND COMBUSTION TURBINE #5</t>
  </si>
  <si>
    <t>BIG BEND COMBUSTION TURBINE #6</t>
  </si>
  <si>
    <t>Prime Movers-BBCT6</t>
  </si>
  <si>
    <t>TOTAL BIG BEND COMBUSTION TURBINE #6</t>
  </si>
  <si>
    <t>BIG BEND NEW STEAM TURBINE #1</t>
  </si>
  <si>
    <t>Prime Movers-BB NEW ST#1</t>
  </si>
  <si>
    <t>TOTAL BIG BEND NEW STEAM TURBINE #1</t>
  </si>
  <si>
    <t>POLK CC ST</t>
  </si>
  <si>
    <t>TOTAL POLK CC ST</t>
  </si>
  <si>
    <t xml:space="preserve">Polk 1 Fuel Clause </t>
  </si>
  <si>
    <t>BAYSIDE POWER TOOLS - AMORT</t>
  </si>
  <si>
    <t>ELECTRIC OTHER PRODUCTION - DISTRIBUTED ENERGY</t>
  </si>
  <si>
    <t>ENERGY STORAGE EQP - PROD</t>
  </si>
  <si>
    <t>ENERGY STORAGE BATTERY EQUIPMENT</t>
  </si>
  <si>
    <t>DISTRIBUTED GENERATION</t>
  </si>
  <si>
    <t>TOTAL DISTRIBUTED ENERGY</t>
  </si>
  <si>
    <t>METERS - AMI</t>
  </si>
  <si>
    <t>ECCR SOLAR CAR PORT - AMORT</t>
  </si>
  <si>
    <t>SOFTWARE - AMORT - 5YR</t>
  </si>
  <si>
    <t>SOFTWARE - AMORT - 10YR</t>
  </si>
  <si>
    <t>ASSET RETIREMENT COST - AMORT</t>
  </si>
  <si>
    <t>INTANGIBLE SOFTWARE SOLAR 30YR</t>
  </si>
  <si>
    <t>ARO COSTS-STEAM</t>
  </si>
  <si>
    <t>ARO COSTS-OTHER</t>
  </si>
  <si>
    <t>ARO COSTS-DISTRIBUTION</t>
  </si>
  <si>
    <t>ARO COSTS-GENERAL</t>
  </si>
  <si>
    <t>RIGHT OF USE ASSET-OPERATING LEASE</t>
  </si>
  <si>
    <t>Lease</t>
  </si>
  <si>
    <t>excl non-util</t>
  </si>
  <si>
    <t>Net Plant Check to SOP w/o Lease</t>
  </si>
  <si>
    <t>Lease not included in SOP</t>
  </si>
  <si>
    <t>Net Plant Check to Annual Status Tab</t>
  </si>
  <si>
    <t>an individual depreciation rate is applied. (Include amortization/Recovery amounts).</t>
  </si>
  <si>
    <t>*</t>
  </si>
  <si>
    <t>ARO Mid-Year Adj.</t>
  </si>
  <si>
    <t>**</t>
  </si>
  <si>
    <t>Annual Status tab</t>
  </si>
  <si>
    <t>PLANT BALANCeq BY ACCOUNT AND SUB-ACCOUNT</t>
  </si>
  <si>
    <t>Provide the depreciation rate and plant balanceq for each account  or sub-account to which</t>
  </si>
  <si>
    <t>a separate depreciation rate is preqcribed. (Include Amortization/Recovery amounts).</t>
  </si>
  <si>
    <t>Year ending December 31, 2020</t>
  </si>
  <si>
    <t xml:space="preserve">  Structureq and Improvements</t>
  </si>
  <si>
    <t xml:space="preserve">  Acceqsory Electric Equipment</t>
  </si>
  <si>
    <t xml:space="preserve">  Fuel Holders, Producers and Acceqsorieq</t>
  </si>
  <si>
    <t>ACCESORY ELECT EQ-SOLAR</t>
  </si>
  <si>
    <t>2020 Annual Depreciation Analysis -  Rate Review</t>
  </si>
  <si>
    <t>Draft</t>
  </si>
  <si>
    <t>2019 Change</t>
  </si>
  <si>
    <t>2020 Variance</t>
  </si>
  <si>
    <t>Revised Budget</t>
  </si>
  <si>
    <t>Other 2021 changes</t>
  </si>
  <si>
    <t>Early Shutdow, assets retired in Dec 2021.</t>
  </si>
  <si>
    <t>2021 BB Unit  No. 1 Change</t>
  </si>
  <si>
    <t>2021 BB Unit  No. 2 Change</t>
  </si>
  <si>
    <t>2021 BB Unit  No. 3 Change</t>
  </si>
  <si>
    <t>2021 No. 1 &amp; 2  FGD Change</t>
  </si>
  <si>
    <t>2021 No. 1 SCR Change</t>
  </si>
  <si>
    <t>2021 No. 2 SCR Change</t>
  </si>
  <si>
    <t>Less 2020 BB Unit  No. 2 Change</t>
  </si>
  <si>
    <t>Less 2020 BB Unit  No. 3 Change</t>
  </si>
  <si>
    <t>Less 2020 No. 1 &amp; 2  FGD Change</t>
  </si>
  <si>
    <t>Less 2020 No. 1 SCR Change</t>
  </si>
  <si>
    <t>Less 2020 No. 2 SCR Change</t>
  </si>
  <si>
    <t>Less 2020 BB Unit  No. 1 Change</t>
  </si>
  <si>
    <t>2021 No. 3 SCR Change</t>
  </si>
  <si>
    <t>Less 2020 No. 3 SCR Change</t>
  </si>
  <si>
    <t>2020 Change</t>
  </si>
  <si>
    <t>2021 Variance</t>
  </si>
  <si>
    <t>2021 BB CT No. 5 Change</t>
  </si>
  <si>
    <t>2021 BB CT No. 6 Change</t>
  </si>
  <si>
    <t>2021 BB CCST for CT 5-6 Change</t>
  </si>
  <si>
    <t>Compared to 2020 Change in Annual Accrual</t>
  </si>
  <si>
    <t>Compared to 2019 Change in Annual Accrual</t>
  </si>
  <si>
    <t>Assumed the exsiting rate equal the requested rate of 2.9%</t>
  </si>
  <si>
    <t>Only the surviving assets</t>
  </si>
  <si>
    <t>Reduction due to early shutdown retirements … which will offset the NBV to 10-year amortization recovery amount request.</t>
  </si>
  <si>
    <t>Analysis of Rates - As of 12/31/2019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</si>
</sst>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000"/>
    <numFmt numFmtId="166" formatCode="0.0%"/>
    <numFmt numFmtId="167" formatCode="0.0_);\(0.0\)"/>
    <numFmt numFmtId="168" formatCode="0.000"/>
    <numFmt numFmtId="169" formatCode="mmmm\ dd\,\ yyyy"/>
    <numFmt numFmtId="170" formatCode="m/d/yy"/>
    <numFmt numFmtId="171" formatCode="_(* #,##0_);_(* \(#,##0\);_(* &quot;-&quot;??_);_(@_)"/>
    <numFmt numFmtId="172" formatCode="0_);\(0\)"/>
    <numFmt numFmtId="173" formatCode="0.00_);\(0.00\)"/>
    <numFmt numFmtId="174" formatCode="#,##0.0_);\(#,##0.0\)"/>
    <numFmt numFmtId="175" formatCode="0%;\(0%\)"/>
    <numFmt numFmtId="176" formatCode=";;;"/>
    <numFmt numFmtId="177" formatCode="yyyy"/>
    <numFmt numFmtId="178" formatCode="_(&quot;$&quot;* #,##0_);_(&quot;$&quot;* \(#,##0\);_(&quot;$&quot;* &quot;-&quot;??_);_(@_)"/>
    <numFmt numFmtId="179" formatCode="_(* #,##0.0_);_(* \(#,##0.0\);_(* &quot;-&quot;??_);_(@_)"/>
    <numFmt numFmtId="180" formatCode="#,##0.0_);[Red]\(#,##0.0\)"/>
    <numFmt numFmtId="181" formatCode="#,##0.000_);\(#,##0.000\)"/>
    <numFmt numFmtId="182" formatCode="_(* #,##0.0_);_(* \(#,##0.0\);_(* &quot;-&quot;?_);_(@_)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color indexed="12"/>
      <name val="Arial"/>
      <family val="2"/>
    </font>
    <font>
      <b/>
      <sz val="11"/>
      <name val="Arial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u val="singleAccounting"/>
      <sz val="10"/>
      <name val="Arial"/>
      <family val="2"/>
    </font>
    <font>
      <u val="singleAccounting"/>
      <sz val="10"/>
      <color indexed="12"/>
      <name val="Arial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10"/>
      <color rgb="FF0000FF"/>
      <name val="Arial"/>
      <family val="2"/>
    </font>
    <font>
      <u/>
      <sz val="10"/>
      <color rgb="FF0000FF"/>
      <name val="Arial"/>
      <family val="2"/>
    </font>
    <font>
      <b/>
      <sz val="10"/>
      <color rgb="FF0000FF"/>
      <name val="Arial"/>
      <family val="2"/>
    </font>
    <font>
      <sz val="10"/>
      <color indexed="39"/>
      <name val="Arial"/>
      <family val="2"/>
    </font>
    <font>
      <u val="singleAccounting"/>
      <sz val="10"/>
      <color rgb="FF0000FF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3"/>
      <name val="Arial"/>
      <family val="2"/>
    </font>
    <font>
      <u/>
      <sz val="12"/>
      <name val="Arial"/>
      <family val="2"/>
    </font>
    <font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Times New Roman"/>
      <family val="1"/>
    </font>
    <font>
      <sz val="12"/>
      <name val="Helv"/>
    </font>
    <font>
      <sz val="9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5">
    <xf numFmtId="0" fontId="0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39" fontId="19" fillId="2" borderId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165" fontId="9" fillId="0" borderId="0">
      <alignment horizontal="left" wrapText="1"/>
    </xf>
    <xf numFmtId="0" fontId="9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45" fillId="0" borderId="0"/>
    <xf numFmtId="0" fontId="9" fillId="0" borderId="0"/>
  </cellStyleXfs>
  <cellXfs count="883">
    <xf numFmtId="0" fontId="0" fillId="0" borderId="0" xfId="0"/>
    <xf numFmtId="40" fontId="10" fillId="0" borderId="1" xfId="0" applyNumberFormat="1" applyFont="1" applyFill="1" applyBorder="1" applyAlignment="1">
      <alignment horizontal="center"/>
    </xf>
    <xf numFmtId="40" fontId="10" fillId="0" borderId="0" xfId="0" applyNumberFormat="1" applyFont="1" applyFill="1" applyAlignment="1">
      <alignment horizontal="centerContinuous"/>
    </xf>
    <xf numFmtId="40" fontId="10" fillId="0" borderId="0" xfId="0" quotePrefix="1" applyNumberFormat="1" applyFont="1" applyFill="1" applyAlignment="1">
      <alignment horizontal="centerContinuous"/>
    </xf>
    <xf numFmtId="0" fontId="10" fillId="0" borderId="0" xfId="0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center"/>
    </xf>
    <xf numFmtId="164" fontId="10" fillId="0" borderId="0" xfId="0" applyNumberFormat="1" applyFont="1" applyFill="1" applyAlignment="1">
      <alignment horizontal="center"/>
    </xf>
    <xf numFmtId="40" fontId="10" fillId="0" borderId="0" xfId="0" applyNumberFormat="1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2" fontId="10" fillId="0" borderId="0" xfId="0" applyNumberFormat="1" applyFont="1" applyFill="1" applyAlignment="1">
      <alignment horizontal="center"/>
    </xf>
    <xf numFmtId="40" fontId="10" fillId="0" borderId="0" xfId="0" applyNumberFormat="1" applyFont="1" applyFill="1"/>
    <xf numFmtId="164" fontId="10" fillId="0" borderId="1" xfId="0" applyNumberFormat="1" applyFont="1" applyFill="1" applyBorder="1" applyAlignment="1">
      <alignment horizontal="center"/>
    </xf>
    <xf numFmtId="40" fontId="11" fillId="0" borderId="0" xfId="0" applyNumberFormat="1" applyFont="1" applyFill="1" applyAlignment="1">
      <alignment horizontal="centerContinuous"/>
    </xf>
    <xf numFmtId="169" fontId="14" fillId="0" borderId="0" xfId="0" quotePrefix="1" applyNumberFormat="1" applyFont="1" applyFill="1" applyAlignment="1">
      <alignment horizontal="centerContinuous"/>
    </xf>
    <xf numFmtId="0" fontId="10" fillId="0" borderId="0" xfId="0" applyNumberFormat="1" applyFont="1" applyFill="1" applyBorder="1"/>
    <xf numFmtId="0" fontId="10" fillId="0" borderId="0" xfId="0" applyNumberFormat="1" applyFont="1" applyFill="1" applyBorder="1" applyAlignment="1">
      <alignment horizontal="center"/>
    </xf>
    <xf numFmtId="40" fontId="12" fillId="0" borderId="0" xfId="0" applyNumberFormat="1" applyFont="1" applyFill="1"/>
    <xf numFmtId="1" fontId="12" fillId="0" borderId="0" xfId="0" applyNumberFormat="1" applyFont="1" applyFill="1"/>
    <xf numFmtId="164" fontId="12" fillId="0" borderId="0" xfId="0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165" fontId="12" fillId="0" borderId="1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165" fontId="12" fillId="0" borderId="0" xfId="0" applyNumberFormat="1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left"/>
    </xf>
    <xf numFmtId="38" fontId="10" fillId="0" borderId="0" xfId="0" applyNumberFormat="1" applyFont="1" applyFill="1" applyAlignment="1">
      <alignment horizontal="centerContinuous"/>
    </xf>
    <xf numFmtId="38" fontId="10" fillId="0" borderId="0" xfId="0" quotePrefix="1" applyNumberFormat="1" applyFont="1" applyFill="1" applyAlignment="1">
      <alignment horizontal="centerContinuous"/>
    </xf>
    <xf numFmtId="38" fontId="10" fillId="0" borderId="0" xfId="0" applyNumberFormat="1" applyFont="1" applyFill="1" applyAlignment="1">
      <alignment horizontal="center"/>
    </xf>
    <xf numFmtId="38" fontId="10" fillId="0" borderId="1" xfId="0" applyNumberFormat="1" applyFont="1" applyFill="1" applyBorder="1" applyAlignment="1">
      <alignment horizontal="center"/>
    </xf>
    <xf numFmtId="38" fontId="12" fillId="0" borderId="0" xfId="0" applyNumberFormat="1" applyFont="1" applyFill="1"/>
    <xf numFmtId="38" fontId="10" fillId="0" borderId="0" xfId="0" applyNumberFormat="1" applyFont="1" applyFill="1"/>
    <xf numFmtId="0" fontId="10" fillId="0" borderId="1" xfId="0" quotePrefix="1" applyNumberFormat="1" applyFont="1" applyFill="1" applyBorder="1" applyAlignment="1">
      <alignment horizontal="centerContinuous"/>
    </xf>
    <xf numFmtId="0" fontId="10" fillId="0" borderId="1" xfId="0" applyNumberFormat="1" applyFont="1" applyFill="1" applyBorder="1" applyAlignment="1">
      <alignment horizontal="centerContinuous"/>
    </xf>
    <xf numFmtId="1" fontId="10" fillId="0" borderId="0" xfId="0" applyNumberFormat="1" applyFont="1" applyFill="1" applyBorder="1" applyAlignment="1">
      <alignment horizontal="right"/>
    </xf>
    <xf numFmtId="1" fontId="12" fillId="0" borderId="0" xfId="0" quotePrefix="1" applyNumberFormat="1" applyFont="1" applyFill="1" applyAlignment="1">
      <alignment horizontal="left"/>
    </xf>
    <xf numFmtId="2" fontId="12" fillId="0" borderId="0" xfId="0" applyNumberFormat="1" applyFont="1" applyFill="1" applyAlignment="1">
      <alignment horizontal="center"/>
    </xf>
    <xf numFmtId="0" fontId="15" fillId="0" borderId="0" xfId="0" applyNumberFormat="1" applyFont="1" applyFill="1" applyBorder="1" applyAlignment="1">
      <alignment horizontal="left"/>
    </xf>
    <xf numFmtId="0" fontId="12" fillId="0" borderId="0" xfId="0" applyFont="1"/>
    <xf numFmtId="0" fontId="12" fillId="0" borderId="0" xfId="0" applyNumberFormat="1" applyFont="1" applyFill="1" applyBorder="1"/>
    <xf numFmtId="164" fontId="12" fillId="0" borderId="0" xfId="0" applyNumberFormat="1" applyFont="1" applyFill="1"/>
    <xf numFmtId="0" fontId="12" fillId="0" borderId="0" xfId="0" applyFont="1" applyBorder="1"/>
    <xf numFmtId="0" fontId="12" fillId="0" borderId="0" xfId="0" applyFont="1" applyFill="1"/>
    <xf numFmtId="0" fontId="12" fillId="4" borderId="0" xfId="0" applyNumberFormat="1" applyFont="1" applyFill="1"/>
    <xf numFmtId="1" fontId="12" fillId="4" borderId="0" xfId="0" applyNumberFormat="1" applyFont="1" applyFill="1"/>
    <xf numFmtId="164" fontId="12" fillId="4" borderId="0" xfId="0" applyNumberFormat="1" applyFont="1" applyFill="1"/>
    <xf numFmtId="38" fontId="12" fillId="4" borderId="0" xfId="0" applyNumberFormat="1" applyFont="1" applyFill="1"/>
    <xf numFmtId="164" fontId="12" fillId="4" borderId="0" xfId="0" applyNumberFormat="1" applyFont="1" applyFill="1" applyAlignment="1">
      <alignment horizontal="center"/>
    </xf>
    <xf numFmtId="165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0" fontId="12" fillId="4" borderId="0" xfId="0" applyFont="1" applyFill="1"/>
    <xf numFmtId="0" fontId="12" fillId="0" borderId="0" xfId="0" applyNumberFormat="1" applyFont="1" applyFill="1"/>
    <xf numFmtId="1" fontId="15" fillId="0" borderId="0" xfId="0" applyNumberFormat="1" applyFont="1" applyFill="1" applyBorder="1" applyAlignment="1">
      <alignment horizontal="left"/>
    </xf>
    <xf numFmtId="1" fontId="12" fillId="0" borderId="0" xfId="0" quotePrefix="1" applyNumberFormat="1" applyFont="1" applyFill="1" applyBorder="1" applyAlignment="1">
      <alignment horizontal="left"/>
    </xf>
    <xf numFmtId="39" fontId="9" fillId="0" borderId="0" xfId="9" applyNumberFormat="1" applyFont="1" applyFill="1" applyAlignment="1"/>
    <xf numFmtId="39" fontId="22" fillId="0" borderId="0" xfId="9" applyNumberFormat="1" applyFont="1" applyFill="1" applyAlignment="1"/>
    <xf numFmtId="171" fontId="9" fillId="0" borderId="3" xfId="1" applyNumberFormat="1" applyFont="1" applyFill="1" applyBorder="1" applyAlignment="1"/>
    <xf numFmtId="175" fontId="12" fillId="0" borderId="0" xfId="10" applyNumberFormat="1" applyFont="1" applyFill="1" applyAlignment="1">
      <alignment horizontal="center"/>
    </xf>
    <xf numFmtId="175" fontId="12" fillId="0" borderId="1" xfId="10" applyNumberFormat="1" applyFont="1" applyFill="1" applyBorder="1" applyAlignment="1">
      <alignment horizontal="center"/>
    </xf>
    <xf numFmtId="175" fontId="10" fillId="0" borderId="0" xfId="10" applyNumberFormat="1" applyFont="1" applyFill="1" applyAlignment="1">
      <alignment horizontal="center"/>
    </xf>
    <xf numFmtId="175" fontId="12" fillId="0" borderId="0" xfId="0" applyNumberFormat="1" applyFont="1" applyFill="1"/>
    <xf numFmtId="0" fontId="12" fillId="4" borderId="0" xfId="0" applyFont="1" applyFill="1" applyBorder="1"/>
    <xf numFmtId="0" fontId="12" fillId="0" borderId="1" xfId="0" applyNumberFormat="1" applyFont="1" applyFill="1" applyBorder="1" applyAlignment="1">
      <alignment horizontal="center"/>
    </xf>
    <xf numFmtId="1" fontId="9" fillId="0" borderId="0" xfId="9" applyNumberFormat="1" applyFont="1" applyFill="1" applyBorder="1" applyAlignment="1"/>
    <xf numFmtId="39" fontId="9" fillId="0" borderId="0" xfId="9" applyNumberFormat="1" applyFont="1" applyFill="1" applyBorder="1" applyAlignment="1"/>
    <xf numFmtId="39" fontId="9" fillId="0" borderId="0" xfId="9" applyNumberFormat="1" applyFont="1" applyFill="1" applyBorder="1" applyAlignment="1">
      <alignment horizontal="center"/>
    </xf>
    <xf numFmtId="171" fontId="9" fillId="0" borderId="0" xfId="9" applyNumberFormat="1" applyFont="1" applyFill="1" applyBorder="1" applyAlignment="1"/>
    <xf numFmtId="38" fontId="9" fillId="0" borderId="0" xfId="9" applyNumberFormat="1" applyFont="1" applyFill="1" applyBorder="1" applyAlignment="1"/>
    <xf numFmtId="0" fontId="9" fillId="0" borderId="0" xfId="9" applyNumberFormat="1" applyFont="1" applyFill="1" applyBorder="1" applyAlignment="1"/>
    <xf numFmtId="171" fontId="9" fillId="0" borderId="0" xfId="1" applyNumberFormat="1" applyFont="1" applyFill="1" applyAlignment="1">
      <alignment horizontal="center"/>
    </xf>
    <xf numFmtId="164" fontId="10" fillId="0" borderId="0" xfId="0" applyNumberFormat="1" applyFont="1" applyFill="1" applyBorder="1" applyAlignment="1">
      <alignment horizontal="center"/>
    </xf>
    <xf numFmtId="0" fontId="14" fillId="5" borderId="0" xfId="0" applyNumberFormat="1" applyFont="1" applyFill="1" applyAlignment="1">
      <alignment horizontal="left"/>
    </xf>
    <xf numFmtId="1" fontId="12" fillId="5" borderId="0" xfId="0" applyNumberFormat="1" applyFont="1" applyFill="1"/>
    <xf numFmtId="164" fontId="12" fillId="5" borderId="0" xfId="0" applyNumberFormat="1" applyFont="1" applyFill="1"/>
    <xf numFmtId="0" fontId="14" fillId="5" borderId="0" xfId="0" quotePrefix="1" applyNumberFormat="1" applyFont="1" applyFill="1" applyAlignment="1">
      <alignment horizontal="left"/>
    </xf>
    <xf numFmtId="38" fontId="12" fillId="4" borderId="0" xfId="0" applyNumberFormat="1" applyFont="1" applyFill="1" applyAlignment="1">
      <alignment horizontal="center"/>
    </xf>
    <xf numFmtId="171" fontId="9" fillId="0" borderId="0" xfId="1" applyNumberFormat="1" applyFont="1" applyFill="1" applyBorder="1" applyAlignment="1"/>
    <xf numFmtId="0" fontId="9" fillId="0" borderId="0" xfId="0" applyFont="1"/>
    <xf numFmtId="0" fontId="8" fillId="0" borderId="0" xfId="0" applyFont="1" applyAlignment="1">
      <alignment horizontal="center" vertical="center"/>
    </xf>
    <xf numFmtId="43" fontId="9" fillId="0" borderId="0" xfId="1" applyFont="1" applyFill="1" applyBorder="1" applyAlignment="1"/>
    <xf numFmtId="0" fontId="8" fillId="0" borderId="1" xfId="13" applyFont="1" applyBorder="1"/>
    <xf numFmtId="0" fontId="16" fillId="0" borderId="0" xfId="13" applyFont="1" applyAlignment="1">
      <alignment horizontal="right"/>
    </xf>
    <xf numFmtId="0" fontId="16" fillId="0" borderId="1" xfId="13" applyFont="1" applyBorder="1"/>
    <xf numFmtId="0" fontId="8" fillId="0" borderId="1" xfId="13" quotePrefix="1" applyFont="1" applyBorder="1" applyAlignment="1">
      <alignment horizontal="left"/>
    </xf>
    <xf numFmtId="0" fontId="8" fillId="0" borderId="0" xfId="13" applyFont="1"/>
    <xf numFmtId="0" fontId="9" fillId="0" borderId="0" xfId="13" applyFont="1" applyFill="1"/>
    <xf numFmtId="178" fontId="9" fillId="0" borderId="0" xfId="5" applyNumberFormat="1" applyFont="1" applyFill="1" applyBorder="1" applyAlignment="1" applyProtection="1">
      <protection locked="0"/>
    </xf>
    <xf numFmtId="4" fontId="9" fillId="0" borderId="0" xfId="1" applyNumberFormat="1" applyFont="1" applyFill="1" applyBorder="1" applyAlignment="1"/>
    <xf numFmtId="164" fontId="9" fillId="0" borderId="0" xfId="13" applyNumberFormat="1" applyFont="1" applyFill="1" applyAlignment="1">
      <alignment horizontal="center"/>
    </xf>
    <xf numFmtId="0" fontId="9" fillId="0" borderId="0" xfId="13" applyFont="1" applyFill="1" applyAlignment="1">
      <alignment horizontal="right"/>
    </xf>
    <xf numFmtId="43" fontId="9" fillId="0" borderId="0" xfId="1" applyFont="1" applyFill="1" applyBorder="1" applyAlignment="1">
      <alignment horizontal="right"/>
    </xf>
    <xf numFmtId="171" fontId="9" fillId="0" borderId="10" xfId="1" applyNumberFormat="1" applyFont="1" applyFill="1" applyBorder="1" applyAlignment="1">
      <alignment horizontal="right"/>
    </xf>
    <xf numFmtId="171" fontId="9" fillId="0" borderId="0" xfId="1" applyNumberFormat="1" applyFont="1" applyFill="1" applyBorder="1" applyAlignment="1">
      <alignment horizontal="right"/>
    </xf>
    <xf numFmtId="41" fontId="9" fillId="0" borderId="0" xfId="1" applyNumberFormat="1" applyFont="1" applyFill="1" applyBorder="1" applyAlignment="1" applyProtection="1">
      <alignment horizontal="right"/>
      <protection locked="0"/>
    </xf>
    <xf numFmtId="41" fontId="9" fillId="0" borderId="0" xfId="1" applyNumberFormat="1" applyFont="1" applyFill="1" applyBorder="1" applyAlignment="1">
      <alignment horizontal="right"/>
    </xf>
    <xf numFmtId="41" fontId="9" fillId="0" borderId="0" xfId="5" applyNumberFormat="1" applyFont="1" applyFill="1" applyBorder="1" applyAlignment="1" applyProtection="1">
      <alignment horizontal="right"/>
      <protection locked="0"/>
    </xf>
    <xf numFmtId="0" fontId="9" fillId="0" borderId="0" xfId="1" quotePrefix="1" applyNumberFormat="1" applyFont="1" applyFill="1" applyBorder="1" applyAlignment="1" applyProtection="1">
      <alignment horizontal="left"/>
      <protection locked="0"/>
    </xf>
    <xf numFmtId="41" fontId="9" fillId="0" borderId="0" xfId="5" applyNumberFormat="1" applyFont="1" applyFill="1" applyBorder="1" applyAlignment="1">
      <alignment horizontal="right"/>
    </xf>
    <xf numFmtId="41" fontId="9" fillId="0" borderId="10" xfId="1" applyNumberFormat="1" applyFont="1" applyFill="1" applyBorder="1" applyAlignment="1">
      <alignment horizontal="right"/>
    </xf>
    <xf numFmtId="43" fontId="9" fillId="0" borderId="0" xfId="5" applyNumberFormat="1" applyFont="1" applyFill="1" applyBorder="1" applyAlignment="1" applyProtection="1">
      <protection locked="0"/>
    </xf>
    <xf numFmtId="171" fontId="9" fillId="0" borderId="8" xfId="1" applyNumberFormat="1" applyFont="1" applyFill="1" applyBorder="1" applyAlignment="1">
      <alignment horizontal="center"/>
    </xf>
    <xf numFmtId="0" fontId="9" fillId="0" borderId="0" xfId="5" quotePrefix="1" applyNumberFormat="1" applyFont="1" applyFill="1" applyBorder="1" applyAlignment="1" applyProtection="1">
      <alignment horizontal="left"/>
      <protection locked="0"/>
    </xf>
    <xf numFmtId="171" fontId="16" fillId="0" borderId="0" xfId="1" applyNumberFormat="1" applyFont="1" applyFill="1" applyAlignment="1">
      <alignment horizontal="center"/>
    </xf>
    <xf numFmtId="0" fontId="9" fillId="0" borderId="0" xfId="1" applyNumberFormat="1" applyFont="1" applyFill="1" applyBorder="1" applyAlignment="1" applyProtection="1">
      <protection locked="0"/>
    </xf>
    <xf numFmtId="178" fontId="9" fillId="0" borderId="0" xfId="1" applyNumberFormat="1" applyFont="1" applyFill="1" applyBorder="1" applyAlignment="1" applyProtection="1">
      <protection locked="0"/>
    </xf>
    <xf numFmtId="0" fontId="9" fillId="0" borderId="0" xfId="1" applyNumberFormat="1" applyFont="1" applyFill="1" applyBorder="1" applyAlignment="1"/>
    <xf numFmtId="178" fontId="9" fillId="0" borderId="0" xfId="1" applyNumberFormat="1" applyFont="1" applyFill="1" applyBorder="1" applyAlignment="1"/>
    <xf numFmtId="171" fontId="9" fillId="0" borderId="0" xfId="1" applyNumberFormat="1" applyFont="1" applyFill="1" applyBorder="1" applyAlignment="1" applyProtection="1">
      <protection locked="0"/>
    </xf>
    <xf numFmtId="0" fontId="9" fillId="0" borderId="0" xfId="1" applyNumberFormat="1" applyFont="1" applyFill="1" applyBorder="1" applyAlignment="1" applyProtection="1">
      <alignment horizontal="left"/>
      <protection locked="0"/>
    </xf>
    <xf numFmtId="171" fontId="16" fillId="0" borderId="0" xfId="1" applyNumberFormat="1" applyFont="1" applyFill="1" applyBorder="1" applyAlignment="1">
      <alignment horizontal="right"/>
    </xf>
    <xf numFmtId="0" fontId="8" fillId="4" borderId="0" xfId="13" applyFont="1" applyFill="1"/>
    <xf numFmtId="171" fontId="9" fillId="0" borderId="0" xfId="1" applyNumberFormat="1" applyFont="1" applyFill="1" applyBorder="1" applyAlignment="1">
      <alignment horizontal="center"/>
    </xf>
    <xf numFmtId="171" fontId="9" fillId="0" borderId="10" xfId="1" applyNumberFormat="1" applyFont="1" applyFill="1" applyBorder="1" applyAlignment="1"/>
    <xf numFmtId="178" fontId="9" fillId="0" borderId="0" xfId="5" applyNumberFormat="1" applyFont="1" applyFill="1" applyBorder="1" applyAlignment="1"/>
    <xf numFmtId="37" fontId="9" fillId="0" borderId="0" xfId="1" applyNumberFormat="1" applyFont="1" applyFill="1" applyBorder="1" applyAlignment="1"/>
    <xf numFmtId="0" fontId="9" fillId="0" borderId="1" xfId="13" applyFont="1" applyFill="1" applyBorder="1"/>
    <xf numFmtId="37" fontId="9" fillId="0" borderId="1" xfId="1" applyNumberFormat="1" applyFont="1" applyFill="1" applyBorder="1" applyAlignment="1">
      <alignment horizontal="center"/>
    </xf>
    <xf numFmtId="37" fontId="9" fillId="0" borderId="1" xfId="1" applyNumberFormat="1" applyFont="1" applyFill="1" applyBorder="1" applyAlignment="1" applyProtection="1">
      <alignment horizontal="center"/>
      <protection locked="0"/>
    </xf>
    <xf numFmtId="39" fontId="22" fillId="4" borderId="0" xfId="9" applyNumberFormat="1" applyFont="1" applyFill="1" applyAlignment="1">
      <alignment vertical="center"/>
    </xf>
    <xf numFmtId="1" fontId="8" fillId="0" borderId="0" xfId="9" applyNumberFormat="1" applyFont="1" applyFill="1" applyAlignment="1">
      <alignment horizontal="center" vertical="center"/>
    </xf>
    <xf numFmtId="1" fontId="10" fillId="0" borderId="0" xfId="9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1" fontId="10" fillId="0" borderId="0" xfId="9" applyNumberFormat="1" applyFont="1" applyFill="1" applyAlignment="1">
      <alignment vertical="center"/>
    </xf>
    <xf numFmtId="39" fontId="10" fillId="0" borderId="0" xfId="9" applyNumberFormat="1" applyFont="1" applyFill="1" applyAlignment="1">
      <alignment vertical="center"/>
    </xf>
    <xf numFmtId="164" fontId="10" fillId="0" borderId="0" xfId="9" applyNumberFormat="1" applyFont="1" applyFill="1" applyAlignment="1">
      <alignment vertical="center"/>
    </xf>
    <xf numFmtId="39" fontId="10" fillId="4" borderId="0" xfId="9" applyNumberFormat="1" applyFont="1" applyFill="1" applyAlignment="1">
      <alignment vertical="center"/>
    </xf>
    <xf numFmtId="39" fontId="10" fillId="0" borderId="0" xfId="9" applyNumberFormat="1" applyFont="1" applyFill="1" applyAlignment="1">
      <alignment horizontal="center" vertical="center"/>
    </xf>
    <xf numFmtId="39" fontId="10" fillId="0" borderId="0" xfId="9" applyNumberFormat="1" applyFont="1" applyFill="1" applyAlignment="1">
      <alignment horizontal="left" vertical="center"/>
    </xf>
    <xf numFmtId="39" fontId="9" fillId="4" borderId="0" xfId="9" applyNumberFormat="1" applyFont="1" applyFill="1" applyAlignment="1">
      <alignment vertical="center"/>
    </xf>
    <xf numFmtId="39" fontId="8" fillId="0" borderId="0" xfId="9" applyNumberFormat="1" applyFont="1" applyFill="1" applyAlignment="1">
      <alignment horizontal="center" vertical="center"/>
    </xf>
    <xf numFmtId="39" fontId="12" fillId="0" borderId="0" xfId="9" applyNumberFormat="1" applyFont="1" applyFill="1" applyAlignment="1">
      <alignment horizontal="center" vertical="center"/>
    </xf>
    <xf numFmtId="39" fontId="9" fillId="0" borderId="0" xfId="9" applyNumberFormat="1" applyFont="1" applyFill="1" applyAlignment="1">
      <alignment horizontal="center" vertical="center"/>
    </xf>
    <xf numFmtId="171" fontId="10" fillId="0" borderId="0" xfId="9" applyNumberFormat="1" applyFont="1" applyFill="1" applyAlignment="1">
      <alignment horizontal="center" vertical="center"/>
    </xf>
    <xf numFmtId="164" fontId="8" fillId="0" borderId="0" xfId="9" applyNumberFormat="1" applyFont="1" applyFill="1" applyAlignment="1">
      <alignment horizontal="center" vertical="center"/>
    </xf>
    <xf numFmtId="39" fontId="8" fillId="0" borderId="2" xfId="9" applyNumberFormat="1" applyFont="1" applyFill="1" applyBorder="1" applyAlignment="1">
      <alignment horizontal="center" vertical="center"/>
    </xf>
    <xf numFmtId="1" fontId="9" fillId="0" borderId="0" xfId="9" applyNumberFormat="1" applyFont="1" applyFill="1" applyAlignment="1">
      <alignment horizontal="center" vertical="center"/>
    </xf>
    <xf numFmtId="39" fontId="9" fillId="0" borderId="0" xfId="9" quotePrefix="1" applyNumberFormat="1" applyFont="1" applyFill="1" applyAlignment="1">
      <alignment horizontal="right" vertical="center"/>
    </xf>
    <xf numFmtId="174" fontId="12" fillId="0" borderId="0" xfId="9" applyNumberFormat="1" applyFont="1" applyFill="1" applyAlignment="1">
      <alignment horizontal="center" vertical="center"/>
    </xf>
    <xf numFmtId="39" fontId="9" fillId="0" borderId="6" xfId="9" applyNumberFormat="1" applyFont="1" applyFill="1" applyBorder="1" applyAlignment="1">
      <alignment horizontal="center" vertical="center"/>
    </xf>
    <xf numFmtId="174" fontId="9" fillId="0" borderId="0" xfId="9" applyNumberFormat="1" applyFont="1" applyFill="1" applyAlignment="1">
      <alignment horizontal="center" vertical="center"/>
    </xf>
    <xf numFmtId="37" fontId="9" fillId="0" borderId="0" xfId="9" applyNumberFormat="1" applyFont="1" applyFill="1" applyAlignment="1">
      <alignment horizontal="center" vertical="center"/>
    </xf>
    <xf numFmtId="0" fontId="9" fillId="0" borderId="0" xfId="9" applyNumberFormat="1" applyFont="1" applyFill="1" applyAlignment="1">
      <alignment horizontal="center" vertical="center"/>
    </xf>
    <xf numFmtId="171" fontId="9" fillId="0" borderId="0" xfId="9" applyNumberFormat="1" applyFont="1" applyFill="1" applyAlignment="1">
      <alignment horizontal="center" vertical="center"/>
    </xf>
    <xf numFmtId="38" fontId="9" fillId="0" borderId="0" xfId="9" applyNumberFormat="1" applyFont="1" applyFill="1" applyAlignment="1">
      <alignment horizontal="center" vertical="center"/>
    </xf>
    <xf numFmtId="39" fontId="9" fillId="0" borderId="0" xfId="9" applyNumberFormat="1" applyFont="1" applyFill="1" applyAlignment="1">
      <alignment vertical="center"/>
    </xf>
    <xf numFmtId="39" fontId="24" fillId="3" borderId="0" xfId="9" applyNumberFormat="1" applyFont="1" applyFill="1" applyAlignment="1">
      <alignment horizontal="center" vertical="center"/>
    </xf>
    <xf numFmtId="171" fontId="9" fillId="0" borderId="0" xfId="1" applyNumberFormat="1" applyFont="1" applyFill="1" applyAlignment="1">
      <alignment vertical="center"/>
    </xf>
    <xf numFmtId="39" fontId="9" fillId="4" borderId="0" xfId="9" applyNumberFormat="1" applyFont="1" applyFill="1" applyAlignment="1">
      <alignment horizontal="center" vertical="center"/>
    </xf>
    <xf numFmtId="171" fontId="12" fillId="0" borderId="0" xfId="1" applyNumberFormat="1" applyFont="1" applyFill="1" applyAlignment="1">
      <alignment vertical="center"/>
    </xf>
    <xf numFmtId="173" fontId="9" fillId="0" borderId="0" xfId="9" applyNumberFormat="1" applyFont="1" applyFill="1" applyAlignment="1">
      <alignment horizontal="center" vertical="center"/>
    </xf>
    <xf numFmtId="39" fontId="24" fillId="0" borderId="0" xfId="9" quotePrefix="1" applyNumberFormat="1" applyFont="1" applyFill="1" applyAlignment="1">
      <alignment horizontal="left" vertical="center"/>
    </xf>
    <xf numFmtId="39" fontId="24" fillId="0" borderId="0" xfId="9" applyNumberFormat="1" applyFont="1" applyFill="1" applyAlignment="1">
      <alignment horizontal="center" vertical="center"/>
    </xf>
    <xf numFmtId="171" fontId="0" fillId="0" borderId="0" xfId="1" applyNumberFormat="1" applyFont="1" applyAlignment="1">
      <alignment vertical="center"/>
    </xf>
    <xf numFmtId="1" fontId="23" fillId="0" borderId="0" xfId="9" applyNumberFormat="1" applyFont="1" applyFill="1" applyAlignment="1">
      <alignment horizontal="center" vertical="center"/>
    </xf>
    <xf numFmtId="39" fontId="23" fillId="0" borderId="0" xfId="9" applyNumberFormat="1" applyFont="1" applyFill="1" applyAlignment="1">
      <alignment horizontal="center" vertical="center"/>
    </xf>
    <xf numFmtId="9" fontId="9" fillId="0" borderId="0" xfId="10" applyFont="1" applyFill="1" applyAlignment="1">
      <alignment vertical="center"/>
    </xf>
    <xf numFmtId="166" fontId="9" fillId="0" borderId="0" xfId="10" applyNumberFormat="1" applyFont="1" applyFill="1" applyAlignment="1">
      <alignment vertical="center"/>
    </xf>
    <xf numFmtId="0" fontId="23" fillId="0" borderId="0" xfId="9" applyNumberFormat="1" applyFont="1" applyFill="1" applyAlignment="1">
      <alignment horizontal="center" vertical="center"/>
    </xf>
    <xf numFmtId="39" fontId="16" fillId="0" borderId="0" xfId="9" quotePrefix="1" applyNumberFormat="1" applyFont="1" applyFill="1" applyAlignment="1">
      <alignment horizontal="center" vertical="center"/>
    </xf>
    <xf numFmtId="171" fontId="23" fillId="0" borderId="0" xfId="1" applyNumberFormat="1" applyFont="1" applyFill="1" applyAlignment="1">
      <alignment vertical="center"/>
    </xf>
    <xf numFmtId="39" fontId="16" fillId="0" borderId="0" xfId="9" applyNumberFormat="1" applyFont="1" applyFill="1" applyAlignment="1">
      <alignment horizontal="center" vertical="center"/>
    </xf>
    <xf numFmtId="37" fontId="9" fillId="0" borderId="0" xfId="10" applyNumberFormat="1" applyFont="1" applyFill="1" applyAlignment="1">
      <alignment horizontal="center" vertical="center"/>
    </xf>
    <xf numFmtId="39" fontId="9" fillId="4" borderId="0" xfId="1" applyNumberFormat="1" applyFont="1" applyFill="1" applyAlignment="1">
      <alignment horizontal="center" vertical="center"/>
    </xf>
    <xf numFmtId="172" fontId="9" fillId="0" borderId="0" xfId="9" applyNumberFormat="1" applyFont="1" applyFill="1" applyAlignment="1">
      <alignment horizontal="center" vertical="center"/>
    </xf>
    <xf numFmtId="171" fontId="16" fillId="0" borderId="0" xfId="1" applyNumberFormat="1" applyFont="1" applyFill="1" applyAlignment="1">
      <alignment vertical="center"/>
    </xf>
    <xf numFmtId="39" fontId="26" fillId="0" borderId="0" xfId="9" applyNumberFormat="1" applyFont="1" applyFill="1" applyAlignment="1">
      <alignment horizontal="center" vertical="center"/>
    </xf>
    <xf numFmtId="171" fontId="28" fillId="0" borderId="0" xfId="1" applyNumberFormat="1" applyFont="1" applyFill="1" applyAlignment="1">
      <alignment vertical="center"/>
    </xf>
    <xf numFmtId="171" fontId="25" fillId="0" borderId="0" xfId="1" applyNumberFormat="1" applyFont="1" applyFill="1" applyAlignment="1">
      <alignment vertical="center"/>
    </xf>
    <xf numFmtId="39" fontId="18" fillId="0" borderId="0" xfId="9" applyNumberFormat="1" applyFont="1" applyFill="1" applyAlignment="1">
      <alignment horizontal="center" vertical="center"/>
    </xf>
    <xf numFmtId="39" fontId="17" fillId="0" borderId="0" xfId="9" applyNumberFormat="1" applyFont="1" applyFill="1" applyAlignment="1">
      <alignment horizontal="center" vertical="center"/>
    </xf>
    <xf numFmtId="37" fontId="17" fillId="0" borderId="0" xfId="10" applyNumberFormat="1" applyFont="1" applyFill="1" applyAlignment="1">
      <alignment horizontal="center" vertical="center"/>
    </xf>
    <xf numFmtId="174" fontId="17" fillId="0" borderId="0" xfId="9" applyNumberFormat="1" applyFont="1" applyFill="1" applyAlignment="1">
      <alignment horizontal="center" vertical="center"/>
    </xf>
    <xf numFmtId="171" fontId="17" fillId="0" borderId="0" xfId="1" applyNumberFormat="1" applyFont="1" applyFill="1" applyAlignment="1">
      <alignment vertical="center"/>
    </xf>
    <xf numFmtId="171" fontId="27" fillId="0" borderId="0" xfId="1" applyNumberFormat="1" applyFont="1" applyFill="1" applyAlignment="1">
      <alignment vertical="center"/>
    </xf>
    <xf numFmtId="171" fontId="8" fillId="0" borderId="0" xfId="1" applyNumberFormat="1" applyFont="1" applyFill="1" applyAlignment="1">
      <alignment vertical="center"/>
    </xf>
    <xf numFmtId="171" fontId="10" fillId="0" borderId="0" xfId="1" applyNumberFormat="1" applyFont="1" applyFill="1" applyAlignment="1">
      <alignment vertical="center"/>
    </xf>
    <xf numFmtId="37" fontId="8" fillId="0" borderId="0" xfId="10" applyNumberFormat="1" applyFont="1" applyFill="1" applyAlignment="1">
      <alignment horizontal="center" vertical="center"/>
    </xf>
    <xf numFmtId="2" fontId="8" fillId="0" borderId="0" xfId="9" applyNumberFormat="1" applyFont="1" applyFill="1" applyAlignment="1">
      <alignment horizontal="center" vertical="center"/>
    </xf>
    <xf numFmtId="174" fontId="8" fillId="0" borderId="0" xfId="9" applyNumberFormat="1" applyFont="1" applyFill="1" applyAlignment="1">
      <alignment horizontal="center" vertical="center"/>
    </xf>
    <xf numFmtId="0" fontId="30" fillId="0" borderId="0" xfId="9" applyNumberFormat="1" applyFont="1" applyFill="1" applyAlignment="1">
      <alignment horizontal="center" vertical="center"/>
    </xf>
    <xf numFmtId="164" fontId="9" fillId="0" borderId="0" xfId="9" applyNumberFormat="1" applyFont="1" applyFill="1" applyAlignment="1">
      <alignment horizontal="center" vertical="center"/>
    </xf>
    <xf numFmtId="39" fontId="12" fillId="0" borderId="3" xfId="9" applyNumberFormat="1" applyFont="1" applyFill="1" applyBorder="1" applyAlignment="1">
      <alignment horizontal="center" vertical="center"/>
    </xf>
    <xf numFmtId="171" fontId="23" fillId="0" borderId="3" xfId="1" applyNumberFormat="1" applyFont="1" applyFill="1" applyBorder="1" applyAlignment="1">
      <alignment vertical="center"/>
    </xf>
    <xf numFmtId="171" fontId="9" fillId="0" borderId="3" xfId="1" applyNumberFormat="1" applyFont="1" applyFill="1" applyBorder="1" applyAlignment="1">
      <alignment vertical="center"/>
    </xf>
    <xf numFmtId="173" fontId="9" fillId="0" borderId="3" xfId="9" applyNumberFormat="1" applyFont="1" applyFill="1" applyBorder="1" applyAlignment="1">
      <alignment horizontal="center" vertical="center"/>
    </xf>
    <xf numFmtId="172" fontId="9" fillId="0" borderId="3" xfId="9" applyNumberFormat="1" applyFont="1" applyFill="1" applyBorder="1" applyAlignment="1">
      <alignment horizontal="center" vertical="center"/>
    </xf>
    <xf numFmtId="39" fontId="10" fillId="0" borderId="3" xfId="9" quotePrefix="1" applyNumberFormat="1" applyFont="1" applyFill="1" applyBorder="1" applyAlignment="1">
      <alignment horizontal="center" vertical="center"/>
    </xf>
    <xf numFmtId="171" fontId="8" fillId="0" borderId="3" xfId="1" applyNumberFormat="1" applyFont="1" applyFill="1" applyBorder="1" applyAlignment="1">
      <alignment vertical="center"/>
    </xf>
    <xf numFmtId="174" fontId="9" fillId="0" borderId="2" xfId="9" applyNumberFormat="1" applyFont="1" applyFill="1" applyBorder="1" applyAlignment="1">
      <alignment horizontal="center" vertical="center"/>
    </xf>
    <xf numFmtId="171" fontId="9" fillId="0" borderId="2" xfId="1" applyNumberFormat="1" applyFont="1" applyFill="1" applyBorder="1" applyAlignment="1">
      <alignment horizontal="center" vertical="center"/>
    </xf>
    <xf numFmtId="173" fontId="9" fillId="0" borderId="2" xfId="9" applyNumberFormat="1" applyFont="1" applyFill="1" applyBorder="1" applyAlignment="1">
      <alignment horizontal="center" vertical="center"/>
    </xf>
    <xf numFmtId="172" fontId="9" fillId="0" borderId="2" xfId="9" applyNumberFormat="1" applyFont="1" applyFill="1" applyBorder="1" applyAlignment="1">
      <alignment horizontal="center" vertical="center"/>
    </xf>
    <xf numFmtId="0" fontId="20" fillId="0" borderId="2" xfId="9" applyNumberFormat="1" applyFont="1" applyFill="1" applyBorder="1" applyAlignment="1">
      <alignment horizontal="right" vertical="center"/>
    </xf>
    <xf numFmtId="171" fontId="8" fillId="0" borderId="2" xfId="1" applyNumberFormat="1" applyFont="1" applyFill="1" applyBorder="1" applyAlignment="1">
      <alignment vertical="center"/>
    </xf>
    <xf numFmtId="39" fontId="23" fillId="0" borderId="0" xfId="9" quotePrefix="1" applyNumberFormat="1" applyFont="1" applyFill="1" applyAlignment="1">
      <alignment horizontal="center" vertical="center"/>
    </xf>
    <xf numFmtId="39" fontId="26" fillId="0" borderId="0" xfId="9" quotePrefix="1" applyNumberFormat="1" applyFont="1" applyFill="1" applyAlignment="1">
      <alignment horizontal="center" vertical="center"/>
    </xf>
    <xf numFmtId="171" fontId="16" fillId="0" borderId="3" xfId="1" applyNumberFormat="1" applyFont="1" applyFill="1" applyBorder="1" applyAlignment="1">
      <alignment vertical="center"/>
    </xf>
    <xf numFmtId="171" fontId="8" fillId="0" borderId="4" xfId="1" applyNumberFormat="1" applyFont="1" applyFill="1" applyBorder="1" applyAlignment="1">
      <alignment vertical="center"/>
    </xf>
    <xf numFmtId="39" fontId="10" fillId="0" borderId="0" xfId="9" quotePrefix="1" applyNumberFormat="1" applyFont="1" applyFill="1" applyBorder="1" applyAlignment="1">
      <alignment horizontal="center" vertical="center"/>
    </xf>
    <xf numFmtId="171" fontId="9" fillId="0" borderId="0" xfId="1" applyNumberFormat="1" applyFont="1" applyFill="1" applyAlignment="1">
      <alignment horizontal="right" vertical="center"/>
    </xf>
    <xf numFmtId="39" fontId="18" fillId="0" borderId="0" xfId="9" quotePrefix="1" applyNumberFormat="1" applyFont="1" applyFill="1" applyAlignment="1">
      <alignment horizontal="center" vertical="center"/>
    </xf>
    <xf numFmtId="0" fontId="9" fillId="0" borderId="0" xfId="9" quotePrefix="1" applyNumberFormat="1" applyFont="1" applyFill="1" applyAlignment="1">
      <alignment horizontal="center" vertical="center"/>
    </xf>
    <xf numFmtId="9" fontId="23" fillId="0" borderId="0" xfId="10" applyFont="1" applyFill="1" applyAlignment="1">
      <alignment vertical="center"/>
    </xf>
    <xf numFmtId="39" fontId="24" fillId="3" borderId="0" xfId="9" quotePrefix="1" applyNumberFormat="1" applyFont="1" applyFill="1" applyAlignment="1">
      <alignment horizontal="center" vertical="center"/>
    </xf>
    <xf numFmtId="0" fontId="9" fillId="0" borderId="2" xfId="9" applyNumberFormat="1" applyFont="1" applyFill="1" applyBorder="1" applyAlignment="1">
      <alignment horizontal="center" vertical="center"/>
    </xf>
    <xf numFmtId="171" fontId="9" fillId="0" borderId="2" xfId="1" applyNumberFormat="1" applyFont="1" applyFill="1" applyBorder="1" applyAlignment="1">
      <alignment vertical="center"/>
    </xf>
    <xf numFmtId="39" fontId="9" fillId="0" borderId="2" xfId="9" applyNumberFormat="1" applyFont="1" applyFill="1" applyBorder="1" applyAlignment="1">
      <alignment horizontal="center" vertical="center"/>
    </xf>
    <xf numFmtId="164" fontId="9" fillId="0" borderId="2" xfId="9" applyNumberFormat="1" applyFont="1" applyFill="1" applyBorder="1" applyAlignment="1">
      <alignment horizontal="center" vertical="center"/>
    </xf>
    <xf numFmtId="0" fontId="20" fillId="0" borderId="2" xfId="9" applyNumberFormat="1" applyFont="1" applyFill="1" applyBorder="1" applyAlignment="1">
      <alignment horizontal="left" vertical="center"/>
    </xf>
    <xf numFmtId="0" fontId="9" fillId="0" borderId="0" xfId="9" applyNumberFormat="1" applyFont="1" applyFill="1" applyAlignment="1">
      <alignment horizontal="left" vertical="center"/>
    </xf>
    <xf numFmtId="39" fontId="9" fillId="0" borderId="0" xfId="9" applyNumberFormat="1" applyFont="1" applyFill="1" applyAlignment="1">
      <alignment horizontal="left" vertical="center"/>
    </xf>
    <xf numFmtId="39" fontId="10" fillId="0" borderId="0" xfId="9" applyNumberFormat="1" applyFont="1" applyFill="1" applyAlignment="1">
      <alignment horizontal="right" vertical="center"/>
    </xf>
    <xf numFmtId="171" fontId="9" fillId="0" borderId="0" xfId="1" applyNumberFormat="1" applyFont="1" applyFill="1" applyAlignment="1">
      <alignment horizontal="center" vertical="center"/>
    </xf>
    <xf numFmtId="1" fontId="9" fillId="0" borderId="0" xfId="9" applyNumberFormat="1" applyFont="1" applyFill="1" applyAlignment="1">
      <alignment vertical="center"/>
    </xf>
    <xf numFmtId="0" fontId="9" fillId="0" borderId="0" xfId="9" applyNumberFormat="1" applyFont="1" applyFill="1" applyAlignment="1">
      <alignment vertical="center"/>
    </xf>
    <xf numFmtId="171" fontId="9" fillId="0" borderId="0" xfId="9" applyNumberFormat="1" applyFont="1" applyFill="1" applyAlignment="1">
      <alignment vertical="center"/>
    </xf>
    <xf numFmtId="2" fontId="11" fillId="0" borderId="0" xfId="9" applyNumberFormat="1" applyFont="1" applyFill="1" applyAlignment="1">
      <alignment horizontal="centerContinuous" vertical="center"/>
    </xf>
    <xf numFmtId="2" fontId="22" fillId="0" borderId="0" xfId="9" applyNumberFormat="1" applyFont="1" applyFill="1" applyAlignment="1">
      <alignment horizontal="centerContinuous" vertical="center"/>
    </xf>
    <xf numFmtId="39" fontId="11" fillId="0" borderId="0" xfId="9" applyNumberFormat="1" applyFont="1" applyFill="1" applyAlignment="1">
      <alignment horizontal="centerContinuous" vertical="center"/>
    </xf>
    <xf numFmtId="39" fontId="22" fillId="0" borderId="0" xfId="9" quotePrefix="1" applyNumberFormat="1" applyFont="1" applyFill="1" applyAlignment="1">
      <alignment horizontal="centerContinuous" vertical="center"/>
    </xf>
    <xf numFmtId="0" fontId="11" fillId="0" borderId="0" xfId="9" applyNumberFormat="1" applyFont="1" applyFill="1" applyAlignment="1">
      <alignment horizontal="centerContinuous" vertical="center"/>
    </xf>
    <xf numFmtId="2" fontId="19" fillId="0" borderId="0" xfId="9" applyNumberFormat="1" applyFont="1" applyFill="1" applyAlignment="1">
      <alignment horizontal="centerContinuous" vertical="center"/>
    </xf>
    <xf numFmtId="39" fontId="19" fillId="0" borderId="0" xfId="9" quotePrefix="1" applyNumberFormat="1" applyFont="1" applyFill="1" applyAlignment="1">
      <alignment horizontal="centerContinuous" vertical="center"/>
    </xf>
    <xf numFmtId="1" fontId="9" fillId="0" borderId="0" xfId="9" applyNumberFormat="1" applyFont="1" applyFill="1" applyBorder="1" applyAlignment="1">
      <alignment vertical="center"/>
    </xf>
    <xf numFmtId="39" fontId="9" fillId="0" borderId="0" xfId="9" applyNumberFormat="1" applyFont="1" applyFill="1" applyBorder="1" applyAlignment="1">
      <alignment vertical="center"/>
    </xf>
    <xf numFmtId="39" fontId="9" fillId="0" borderId="0" xfId="9" applyNumberFormat="1" applyFont="1" applyFill="1" applyBorder="1" applyAlignment="1">
      <alignment horizontal="center" vertical="center"/>
    </xf>
    <xf numFmtId="0" fontId="9" fillId="0" borderId="0" xfId="9" applyNumberFormat="1" applyFont="1" applyFill="1" applyBorder="1" applyAlignment="1">
      <alignment vertical="center"/>
    </xf>
    <xf numFmtId="171" fontId="9" fillId="0" borderId="0" xfId="9" applyNumberFormat="1" applyFont="1" applyFill="1" applyBorder="1" applyAlignment="1">
      <alignment vertical="center"/>
    </xf>
    <xf numFmtId="38" fontId="9" fillId="0" borderId="0" xfId="9" applyNumberFormat="1" applyFont="1" applyFill="1" applyBorder="1" applyAlignment="1">
      <alignment vertical="center"/>
    </xf>
    <xf numFmtId="43" fontId="9" fillId="0" borderId="0" xfId="1" applyFont="1"/>
    <xf numFmtId="43" fontId="0" fillId="0" borderId="0" xfId="1" applyFont="1"/>
    <xf numFmtId="0" fontId="0" fillId="0" borderId="0" xfId="0" applyFill="1"/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left"/>
    </xf>
    <xf numFmtId="0" fontId="8" fillId="0" borderId="3" xfId="0" applyFont="1" applyBorder="1" applyAlignment="1">
      <alignment horizontal="centerContinuous"/>
    </xf>
    <xf numFmtId="0" fontId="24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8" fillId="0" borderId="0" xfId="0" applyFont="1" applyBorder="1" applyAlignment="1">
      <alignment horizontal="center"/>
    </xf>
    <xf numFmtId="0" fontId="9" fillId="0" borderId="0" xfId="13" applyFont="1" applyFill="1" applyAlignment="1">
      <alignment horizontal="center"/>
    </xf>
    <xf numFmtId="171" fontId="9" fillId="0" borderId="0" xfId="1" applyNumberFormat="1" applyFont="1" applyFill="1"/>
    <xf numFmtId="171" fontId="9" fillId="0" borderId="8" xfId="1" applyNumberFormat="1" applyFont="1" applyFill="1" applyBorder="1"/>
    <xf numFmtId="171" fontId="9" fillId="0" borderId="0" xfId="13" applyNumberFormat="1" applyFont="1" applyFill="1"/>
    <xf numFmtId="171" fontId="9" fillId="0" borderId="0" xfId="1" quotePrefix="1" applyNumberFormat="1" applyFont="1" applyFill="1" applyBorder="1" applyAlignment="1">
      <alignment horizontal="center"/>
    </xf>
    <xf numFmtId="171" fontId="9" fillId="0" borderId="7" xfId="1" applyNumberFormat="1" applyFont="1" applyFill="1" applyBorder="1"/>
    <xf numFmtId="0" fontId="9" fillId="0" borderId="7" xfId="13" applyFont="1" applyFill="1" applyBorder="1"/>
    <xf numFmtId="0" fontId="8" fillId="0" borderId="0" xfId="0" quotePrefix="1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" fontId="9" fillId="0" borderId="0" xfId="0" quotePrefix="1" applyNumberFormat="1" applyFont="1" applyAlignment="1">
      <alignment horizontal="center"/>
    </xf>
    <xf numFmtId="0" fontId="9" fillId="0" borderId="0" xfId="13" quotePrefix="1" applyFont="1" applyFill="1" applyAlignment="1">
      <alignment horizontal="right"/>
    </xf>
    <xf numFmtId="171" fontId="12" fillId="0" borderId="1" xfId="1" applyNumberFormat="1" applyFont="1" applyFill="1" applyBorder="1" applyAlignment="1">
      <alignment horizontal="center"/>
    </xf>
    <xf numFmtId="43" fontId="9" fillId="0" borderId="0" xfId="1"/>
    <xf numFmtId="0" fontId="9" fillId="0" borderId="0" xfId="13"/>
    <xf numFmtId="41" fontId="9" fillId="0" borderId="0" xfId="13" applyNumberFormat="1" applyAlignment="1">
      <alignment horizontal="right"/>
    </xf>
    <xf numFmtId="171" fontId="8" fillId="0" borderId="3" xfId="1" applyNumberFormat="1" applyFont="1" applyBorder="1" applyAlignment="1">
      <alignment horizontal="right"/>
    </xf>
    <xf numFmtId="171" fontId="13" fillId="0" borderId="0" xfId="1" applyNumberFormat="1" applyFont="1" applyAlignment="1">
      <alignment horizontal="right"/>
    </xf>
    <xf numFmtId="176" fontId="8" fillId="0" borderId="1" xfId="13" applyNumberFormat="1" applyFont="1" applyBorder="1" applyAlignment="1">
      <alignment horizontal="center"/>
    </xf>
    <xf numFmtId="0" fontId="8" fillId="0" borderId="0" xfId="13" applyFont="1" applyAlignment="1">
      <alignment horizontal="right"/>
    </xf>
    <xf numFmtId="0" fontId="8" fillId="0" borderId="0" xfId="13" quotePrefix="1" applyFont="1" applyAlignment="1">
      <alignment horizontal="left"/>
    </xf>
    <xf numFmtId="0" fontId="13" fillId="0" borderId="0" xfId="13" applyFont="1" applyAlignment="1">
      <alignment horizontal="left"/>
    </xf>
    <xf numFmtId="0" fontId="9" fillId="0" borderId="0" xfId="13" applyAlignment="1">
      <alignment horizontal="right"/>
    </xf>
    <xf numFmtId="0" fontId="9" fillId="0" borderId="0" xfId="13" applyAlignment="1">
      <alignment horizontal="left"/>
    </xf>
    <xf numFmtId="0" fontId="9" fillId="4" borderId="0" xfId="13" applyFill="1"/>
    <xf numFmtId="0" fontId="13" fillId="0" borderId="1" xfId="13" quotePrefix="1" applyFont="1" applyBorder="1" applyAlignment="1">
      <alignment horizontal="left"/>
    </xf>
    <xf numFmtId="0" fontId="9" fillId="0" borderId="1" xfId="13" applyBorder="1"/>
    <xf numFmtId="0" fontId="9" fillId="0" borderId="1" xfId="13" quotePrefix="1" applyBorder="1" applyAlignment="1">
      <alignment horizontal="left"/>
    </xf>
    <xf numFmtId="0" fontId="9" fillId="0" borderId="1" xfId="13" applyBorder="1" applyAlignment="1">
      <alignment horizontal="center"/>
    </xf>
    <xf numFmtId="0" fontId="9" fillId="0" borderId="0" xfId="13" quotePrefix="1" applyAlignment="1">
      <alignment horizontal="center"/>
    </xf>
    <xf numFmtId="0" fontId="8" fillId="0" borderId="0" xfId="13" quotePrefix="1" applyFont="1" applyAlignment="1">
      <alignment horizontal="center"/>
    </xf>
    <xf numFmtId="0" fontId="9" fillId="0" borderId="0" xfId="13" applyAlignment="1">
      <alignment horizontal="center"/>
    </xf>
    <xf numFmtId="14" fontId="9" fillId="0" borderId="1" xfId="13" applyNumberFormat="1" applyBorder="1" applyAlignment="1">
      <alignment horizontal="center"/>
    </xf>
    <xf numFmtId="14" fontId="9" fillId="0" borderId="1" xfId="13" quotePrefix="1" applyNumberFormat="1" applyBorder="1" applyAlignment="1">
      <alignment horizontal="center"/>
    </xf>
    <xf numFmtId="0" fontId="9" fillId="0" borderId="1" xfId="13" quotePrefix="1" applyBorder="1" applyAlignment="1">
      <alignment horizontal="center"/>
    </xf>
    <xf numFmtId="0" fontId="7" fillId="0" borderId="0" xfId="14" applyAlignment="1">
      <alignment wrapText="1"/>
    </xf>
    <xf numFmtId="176" fontId="9" fillId="0" borderId="0" xfId="13" applyNumberFormat="1" applyAlignment="1">
      <alignment horizontal="center"/>
    </xf>
    <xf numFmtId="176" fontId="9" fillId="0" borderId="0" xfId="13" applyNumberFormat="1"/>
    <xf numFmtId="0" fontId="16" fillId="0" borderId="0" xfId="13" applyFont="1"/>
    <xf numFmtId="171" fontId="9" fillId="0" borderId="0" xfId="1" applyNumberFormat="1"/>
    <xf numFmtId="5" fontId="9" fillId="0" borderId="0" xfId="13" quotePrefix="1" applyNumberFormat="1" applyAlignment="1">
      <alignment horizontal="left"/>
    </xf>
    <xf numFmtId="0" fontId="9" fillId="0" borderId="0" xfId="13" quotePrefix="1" applyAlignment="1">
      <alignment horizontal="left"/>
    </xf>
    <xf numFmtId="0" fontId="9" fillId="0" borderId="0" xfId="13" applyProtection="1">
      <protection locked="0"/>
    </xf>
    <xf numFmtId="41" fontId="9" fillId="0" borderId="0" xfId="13" applyNumberFormat="1"/>
    <xf numFmtId="5" fontId="9" fillId="0" borderId="0" xfId="13" applyNumberFormat="1"/>
    <xf numFmtId="171" fontId="9" fillId="0" borderId="0" xfId="13" applyNumberFormat="1"/>
    <xf numFmtId="2" fontId="9" fillId="0" borderId="0" xfId="13" applyNumberFormat="1" applyAlignment="1">
      <alignment horizontal="center"/>
    </xf>
    <xf numFmtId="1" fontId="9" fillId="0" borderId="0" xfId="13" applyNumberFormat="1"/>
    <xf numFmtId="0" fontId="9" fillId="0" borderId="9" xfId="13" applyBorder="1" applyAlignment="1">
      <alignment horizontal="left"/>
    </xf>
    <xf numFmtId="1" fontId="9" fillId="0" borderId="1" xfId="13" applyNumberFormat="1" applyBorder="1"/>
    <xf numFmtId="0" fontId="9" fillId="0" borderId="1" xfId="13" applyBorder="1" applyAlignment="1">
      <alignment horizontal="left"/>
    </xf>
    <xf numFmtId="0" fontId="9" fillId="0" borderId="0" xfId="13" quotePrefix="1" applyAlignment="1">
      <alignment horizontal="right"/>
    </xf>
    <xf numFmtId="37" fontId="16" fillId="0" borderId="0" xfId="13" applyNumberFormat="1" applyFont="1"/>
    <xf numFmtId="37" fontId="9" fillId="0" borderId="0" xfId="13" applyNumberFormat="1"/>
    <xf numFmtId="0" fontId="7" fillId="0" borderId="0" xfId="14" applyAlignment="1">
      <alignment horizontal="right" wrapText="1"/>
    </xf>
    <xf numFmtId="43" fontId="16" fillId="0" borderId="0" xfId="13" applyNumberFormat="1" applyFont="1"/>
    <xf numFmtId="40" fontId="13" fillId="0" borderId="0" xfId="13" applyNumberFormat="1" applyFont="1"/>
    <xf numFmtId="0" fontId="7" fillId="0" borderId="0" xfId="14" quotePrefix="1" applyAlignment="1">
      <alignment horizontal="right" wrapText="1"/>
    </xf>
    <xf numFmtId="2" fontId="9" fillId="0" borderId="1" xfId="13" applyNumberFormat="1" applyBorder="1" applyAlignment="1">
      <alignment horizontal="center"/>
    </xf>
    <xf numFmtId="171" fontId="8" fillId="0" borderId="0" xfId="13" applyNumberFormat="1" applyFont="1"/>
    <xf numFmtId="0" fontId="8" fillId="0" borderId="0" xfId="13" applyFont="1" applyProtection="1">
      <protection locked="0"/>
    </xf>
    <xf numFmtId="0" fontId="8" fillId="0" borderId="0" xfId="13" applyFont="1" applyAlignment="1">
      <alignment horizontal="center"/>
    </xf>
    <xf numFmtId="5" fontId="8" fillId="0" borderId="0" xfId="13" applyNumberFormat="1" applyFont="1"/>
    <xf numFmtId="0" fontId="7" fillId="0" borderId="0" xfId="14" applyAlignment="1">
      <alignment horizontal="center" wrapText="1"/>
    </xf>
    <xf numFmtId="5" fontId="8" fillId="0" borderId="0" xfId="13" quotePrefix="1" applyNumberFormat="1" applyFont="1" applyAlignment="1">
      <alignment horizontal="left"/>
    </xf>
    <xf numFmtId="2" fontId="9" fillId="0" borderId="0" xfId="13" quotePrefix="1" applyNumberFormat="1" applyAlignment="1">
      <alignment horizontal="right"/>
    </xf>
    <xf numFmtId="2" fontId="9" fillId="0" borderId="0" xfId="13" quotePrefix="1" applyNumberFormat="1" applyAlignment="1">
      <alignment horizontal="center"/>
    </xf>
    <xf numFmtId="0" fontId="8" fillId="0" borderId="0" xfId="13" quotePrefix="1" applyFont="1" applyAlignment="1">
      <alignment horizontal="right"/>
    </xf>
    <xf numFmtId="2" fontId="9" fillId="0" borderId="0" xfId="13" applyNumberFormat="1"/>
    <xf numFmtId="43" fontId="9" fillId="0" borderId="0" xfId="13" applyNumberFormat="1"/>
    <xf numFmtId="0" fontId="8" fillId="4" borderId="0" xfId="0" applyFont="1" applyFill="1" applyAlignment="1">
      <alignment horizontal="center"/>
    </xf>
    <xf numFmtId="43" fontId="0" fillId="0" borderId="0" xfId="0" applyNumberFormat="1"/>
    <xf numFmtId="171" fontId="9" fillId="0" borderId="1" xfId="1" applyNumberFormat="1" applyFont="1" applyFill="1" applyBorder="1"/>
    <xf numFmtId="0" fontId="9" fillId="4" borderId="0" xfId="13" applyFill="1" applyAlignment="1">
      <alignment horizontal="left"/>
    </xf>
    <xf numFmtId="0" fontId="9" fillId="0" borderId="0" xfId="14" applyFont="1" applyAlignment="1">
      <alignment wrapText="1"/>
    </xf>
    <xf numFmtId="164" fontId="9" fillId="0" borderId="0" xfId="13" applyNumberFormat="1" applyAlignment="1">
      <alignment horizontal="center"/>
    </xf>
    <xf numFmtId="0" fontId="9" fillId="0" borderId="0" xfId="14" quotePrefix="1" applyFont="1" applyAlignment="1">
      <alignment horizontal="right" wrapText="1"/>
    </xf>
    <xf numFmtId="164" fontId="8" fillId="0" borderId="0" xfId="13" applyNumberFormat="1" applyFont="1" applyAlignment="1">
      <alignment horizontal="center"/>
    </xf>
    <xf numFmtId="171" fontId="8" fillId="0" borderId="3" xfId="1" applyNumberFormat="1" applyFont="1" applyFill="1" applyBorder="1" applyAlignment="1"/>
    <xf numFmtId="5" fontId="9" fillId="0" borderId="0" xfId="13" applyNumberFormat="1" applyAlignment="1">
      <alignment horizontal="right"/>
    </xf>
    <xf numFmtId="14" fontId="9" fillId="0" borderId="0" xfId="13" applyNumberFormat="1" applyAlignment="1">
      <alignment horizontal="center"/>
    </xf>
    <xf numFmtId="168" fontId="9" fillId="0" borderId="0" xfId="13" applyNumberFormat="1" applyAlignment="1">
      <alignment horizontal="right"/>
    </xf>
    <xf numFmtId="43" fontId="9" fillId="0" borderId="0" xfId="1" applyFont="1" applyFill="1" applyBorder="1" applyAlignment="1" applyProtection="1">
      <protection locked="0"/>
    </xf>
    <xf numFmtId="14" fontId="9" fillId="0" borderId="0" xfId="13" quotePrefix="1" applyNumberFormat="1" applyAlignment="1">
      <alignment horizontal="center"/>
    </xf>
    <xf numFmtId="2" fontId="8" fillId="0" borderId="0" xfId="13" applyNumberFormat="1" applyFont="1" applyAlignment="1">
      <alignment horizontal="center"/>
    </xf>
    <xf numFmtId="37" fontId="8" fillId="0" borderId="0" xfId="13" applyNumberFormat="1" applyFont="1" applyAlignment="1">
      <alignment horizontal="center"/>
    </xf>
    <xf numFmtId="41" fontId="8" fillId="0" borderId="0" xfId="13" applyNumberFormat="1" applyFont="1" applyAlignment="1">
      <alignment horizontal="right"/>
    </xf>
    <xf numFmtId="5" fontId="8" fillId="0" borderId="0" xfId="13" applyNumberFormat="1" applyFont="1" applyAlignment="1">
      <alignment horizontal="right"/>
    </xf>
    <xf numFmtId="171" fontId="8" fillId="0" borderId="3" xfId="1" applyNumberFormat="1" applyFont="1" applyFill="1" applyBorder="1" applyAlignment="1">
      <alignment horizontal="right"/>
    </xf>
    <xf numFmtId="37" fontId="9" fillId="0" borderId="0" xfId="13" applyNumberFormat="1" applyAlignment="1">
      <alignment horizontal="center"/>
    </xf>
    <xf numFmtId="0" fontId="8" fillId="0" borderId="0" xfId="14" applyFont="1" applyAlignment="1">
      <alignment wrapText="1"/>
    </xf>
    <xf numFmtId="171" fontId="16" fillId="0" borderId="0" xfId="1" applyNumberFormat="1" applyFont="1" applyFill="1"/>
    <xf numFmtId="171" fontId="16" fillId="0" borderId="8" xfId="1" applyNumberFormat="1" applyFont="1" applyFill="1" applyBorder="1"/>
    <xf numFmtId="0" fontId="9" fillId="0" borderId="7" xfId="13" applyBorder="1"/>
    <xf numFmtId="43" fontId="8" fillId="0" borderId="1" xfId="1" applyFont="1" applyFill="1" applyBorder="1"/>
    <xf numFmtId="43" fontId="8" fillId="0" borderId="0" xfId="1" applyFont="1" applyFill="1"/>
    <xf numFmtId="43" fontId="9" fillId="0" borderId="0" xfId="1" applyFont="1" applyFill="1"/>
    <xf numFmtId="43" fontId="9" fillId="0" borderId="1" xfId="1" applyFont="1" applyFill="1" applyBorder="1"/>
    <xf numFmtId="43" fontId="9" fillId="0" borderId="0" xfId="1" quotePrefix="1" applyFont="1" applyFill="1" applyAlignment="1">
      <alignment horizontal="center"/>
    </xf>
    <xf numFmtId="43" fontId="9" fillId="0" borderId="0" xfId="1" applyFont="1" applyFill="1" applyAlignment="1">
      <alignment horizontal="center"/>
    </xf>
    <xf numFmtId="43" fontId="9" fillId="0" borderId="1" xfId="1" applyFont="1" applyFill="1" applyBorder="1" applyAlignment="1">
      <alignment horizontal="center"/>
    </xf>
    <xf numFmtId="43" fontId="9" fillId="0" borderId="0" xfId="1" applyFont="1" applyFill="1" applyBorder="1"/>
    <xf numFmtId="178" fontId="9" fillId="0" borderId="0" xfId="5" applyNumberFormat="1" applyFont="1" applyFill="1" applyBorder="1"/>
    <xf numFmtId="178" fontId="9" fillId="0" borderId="0" xfId="5" applyNumberFormat="1" applyFont="1" applyFill="1"/>
    <xf numFmtId="43" fontId="9" fillId="0" borderId="0" xfId="1" applyFont="1" applyFill="1" applyBorder="1" applyAlignment="1">
      <alignment horizontal="center"/>
    </xf>
    <xf numFmtId="43" fontId="9" fillId="0" borderId="1" xfId="1" quotePrefix="1" applyFont="1" applyFill="1" applyBorder="1" applyAlignment="1">
      <alignment horizontal="left"/>
    </xf>
    <xf numFmtId="178" fontId="9" fillId="0" borderId="0" xfId="5" applyNumberFormat="1" applyFont="1" applyFill="1" applyAlignment="1"/>
    <xf numFmtId="37" fontId="9" fillId="0" borderId="0" xfId="5" applyNumberFormat="1" applyFont="1" applyFill="1" applyBorder="1" applyAlignment="1"/>
    <xf numFmtId="37" fontId="9" fillId="0" borderId="0" xfId="5" applyNumberFormat="1" applyFont="1" applyFill="1" applyAlignment="1"/>
    <xf numFmtId="171" fontId="9" fillId="0" borderId="0" xfId="1" applyNumberFormat="1" applyFont="1" applyFill="1" applyBorder="1"/>
    <xf numFmtId="38" fontId="9" fillId="0" borderId="0" xfId="0" applyNumberFormat="1" applyFont="1" applyFill="1"/>
    <xf numFmtId="38" fontId="9" fillId="0" borderId="0" xfId="0" applyNumberFormat="1" applyFont="1" applyFill="1" applyAlignment="1">
      <alignment horizontal="right"/>
    </xf>
    <xf numFmtId="38" fontId="8" fillId="0" borderId="0" xfId="0" applyNumberFormat="1" applyFont="1" applyFill="1" applyAlignment="1">
      <alignment horizontal="right"/>
    </xf>
    <xf numFmtId="38" fontId="8" fillId="0" borderId="0" xfId="0" applyNumberFormat="1" applyFont="1" applyFill="1" applyAlignment="1">
      <alignment horizontal="center"/>
    </xf>
    <xf numFmtId="171" fontId="12" fillId="0" borderId="0" xfId="1" applyNumberFormat="1" applyFont="1" applyFill="1"/>
    <xf numFmtId="171" fontId="12" fillId="0" borderId="0" xfId="1" applyNumberFormat="1" applyFont="1" applyFill="1" applyAlignment="1">
      <alignment horizontal="center"/>
    </xf>
    <xf numFmtId="171" fontId="12" fillId="0" borderId="7" xfId="1" applyNumberFormat="1" applyFont="1" applyFill="1" applyBorder="1"/>
    <xf numFmtId="170" fontId="10" fillId="0" borderId="1" xfId="0" quotePrefix="1" applyNumberFormat="1" applyFont="1" applyFill="1" applyBorder="1" applyAlignment="1">
      <alignment horizontal="center"/>
    </xf>
    <xf numFmtId="164" fontId="8" fillId="0" borderId="0" xfId="0" applyNumberFormat="1" applyFont="1" applyFill="1" applyAlignment="1">
      <alignment horizontal="center"/>
    </xf>
    <xf numFmtId="164" fontId="10" fillId="0" borderId="0" xfId="0" quotePrefix="1" applyNumberFormat="1" applyFont="1" applyFill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" fontId="34" fillId="5" borderId="0" xfId="0" applyNumberFormat="1" applyFont="1" applyFill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39" fontId="8" fillId="0" borderId="0" xfId="9" quotePrefix="1" applyNumberFormat="1" applyFont="1" applyFill="1" applyAlignment="1">
      <alignment horizontal="right" vertical="center"/>
    </xf>
    <xf numFmtId="171" fontId="0" fillId="0" borderId="0" xfId="1" applyNumberFormat="1" applyFont="1"/>
    <xf numFmtId="0" fontId="8" fillId="0" borderId="0" xfId="0" quotePrefix="1" applyNumberFormat="1" applyFont="1" applyFill="1" applyBorder="1" applyAlignment="1">
      <alignment horizontal="left"/>
    </xf>
    <xf numFmtId="40" fontId="11" fillId="0" borderId="0" xfId="0" applyNumberFormat="1" applyFont="1" applyFill="1" applyAlignment="1">
      <alignment horizontal="centerContinuous" vertical="center"/>
    </xf>
    <xf numFmtId="40" fontId="10" fillId="0" borderId="0" xfId="0" applyNumberFormat="1" applyFont="1" applyFill="1" applyAlignment="1">
      <alignment horizontal="centerContinuous" vertical="center"/>
    </xf>
    <xf numFmtId="38" fontId="10" fillId="0" borderId="0" xfId="0" applyNumberFormat="1" applyFont="1" applyFill="1" applyAlignment="1">
      <alignment horizontal="centerContinuous" vertical="center"/>
    </xf>
    <xf numFmtId="40" fontId="10" fillId="0" borderId="0" xfId="0" quotePrefix="1" applyNumberFormat="1" applyFont="1" applyFill="1" applyAlignment="1">
      <alignment horizontal="centerContinuous" vertical="center"/>
    </xf>
    <xf numFmtId="38" fontId="10" fillId="0" borderId="0" xfId="0" quotePrefix="1" applyNumberFormat="1" applyFont="1" applyFill="1" applyAlignment="1">
      <alignment horizontal="centerContinuous" vertical="center"/>
    </xf>
    <xf numFmtId="169" fontId="14" fillId="0" borderId="0" xfId="0" quotePrefix="1" applyNumberFormat="1" applyFont="1" applyFill="1" applyAlignment="1">
      <alignment horizontal="centerContinuous" vertical="center"/>
    </xf>
    <xf numFmtId="0" fontId="14" fillId="5" borderId="0" xfId="0" quotePrefix="1" applyNumberFormat="1" applyFont="1" applyFill="1" applyAlignment="1">
      <alignment horizontal="left" vertical="center"/>
    </xf>
    <xf numFmtId="0" fontId="8" fillId="0" borderId="0" xfId="0" quotePrefix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>
      <alignment horizontal="left" vertical="center"/>
    </xf>
    <xf numFmtId="0" fontId="8" fillId="0" borderId="0" xfId="0" quotePrefix="1" applyNumberFormat="1" applyFont="1" applyFill="1" applyBorder="1" applyAlignment="1">
      <alignment horizontal="center" vertical="center"/>
    </xf>
    <xf numFmtId="171" fontId="8" fillId="0" borderId="7" xfId="1" applyNumberFormat="1" applyFont="1" applyBorder="1" applyAlignment="1">
      <alignment vertical="center"/>
    </xf>
    <xf numFmtId="166" fontId="0" fillId="0" borderId="0" xfId="10" applyNumberFormat="1" applyFont="1" applyAlignment="1">
      <alignment horizontal="center" vertical="center"/>
    </xf>
    <xf numFmtId="166" fontId="8" fillId="0" borderId="7" xfId="10" applyNumberFormat="1" applyFont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right" vertical="center"/>
    </xf>
    <xf numFmtId="39" fontId="10" fillId="0" borderId="3" xfId="9" quotePrefix="1" applyNumberFormat="1" applyFont="1" applyFill="1" applyBorder="1" applyAlignment="1">
      <alignment horizontal="right" vertical="center"/>
    </xf>
    <xf numFmtId="39" fontId="8" fillId="0" borderId="3" xfId="9" quotePrefix="1" applyNumberFormat="1" applyFont="1" applyFill="1" applyBorder="1" applyAlignment="1">
      <alignment horizontal="right" vertical="center"/>
    </xf>
    <xf numFmtId="39" fontId="12" fillId="0" borderId="0" xfId="9" applyNumberFormat="1" applyFont="1" applyFill="1" applyAlignment="1">
      <alignment horizontal="right" vertical="center"/>
    </xf>
    <xf numFmtId="0" fontId="12" fillId="0" borderId="2" xfId="9" applyNumberFormat="1" applyFont="1" applyFill="1" applyBorder="1" applyAlignment="1">
      <alignment horizontal="right" vertical="center"/>
    </xf>
    <xf numFmtId="0" fontId="9" fillId="0" borderId="0" xfId="9" applyNumberFormat="1" applyFont="1" applyFill="1" applyAlignment="1">
      <alignment horizontal="right" vertical="center"/>
    </xf>
    <xf numFmtId="174" fontId="12" fillId="0" borderId="2" xfId="9" applyNumberFormat="1" applyFont="1" applyFill="1" applyBorder="1" applyAlignment="1">
      <alignment horizontal="right" vertical="center"/>
    </xf>
    <xf numFmtId="0" fontId="32" fillId="0" borderId="0" xfId="0" quotePrefix="1" applyNumberFormat="1" applyFont="1" applyAlignment="1">
      <alignment horizontal="center" vertical="center"/>
    </xf>
    <xf numFmtId="171" fontId="32" fillId="0" borderId="0" xfId="1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171" fontId="8" fillId="0" borderId="0" xfId="1" applyNumberFormat="1" applyFont="1"/>
    <xf numFmtId="0" fontId="9" fillId="0" borderId="0" xfId="0" applyFont="1" applyAlignment="1">
      <alignment horizontal="center"/>
    </xf>
    <xf numFmtId="38" fontId="9" fillId="0" borderId="0" xfId="0" quotePrefix="1" applyNumberFormat="1" applyFont="1" applyFill="1" applyAlignment="1">
      <alignment horizontal="left"/>
    </xf>
    <xf numFmtId="0" fontId="9" fillId="4" borderId="0" xfId="0" quotePrefix="1" applyFont="1" applyFill="1" applyAlignment="1">
      <alignment horizontal="left"/>
    </xf>
    <xf numFmtId="0" fontId="9" fillId="4" borderId="0" xfId="0" applyFont="1" applyFill="1"/>
    <xf numFmtId="0" fontId="9" fillId="4" borderId="0" xfId="0" quotePrefix="1" applyFont="1" applyFill="1" applyBorder="1" applyAlignment="1">
      <alignment horizontal="left"/>
    </xf>
    <xf numFmtId="1" fontId="12" fillId="6" borderId="0" xfId="0" applyNumberFormat="1" applyFont="1" applyFill="1"/>
    <xf numFmtId="0" fontId="8" fillId="0" borderId="0" xfId="0" quotePrefix="1" applyNumberFormat="1" applyFont="1" applyFill="1" applyBorder="1" applyAlignment="1">
      <alignment horizontal="left" vertical="center"/>
    </xf>
    <xf numFmtId="0" fontId="1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9" fontId="19" fillId="0" borderId="0" xfId="0" applyNumberFormat="1" applyFont="1" applyAlignment="1">
      <alignment vertical="center"/>
    </xf>
    <xf numFmtId="38" fontId="38" fillId="0" borderId="0" xfId="0" quotePrefix="1" applyNumberFormat="1" applyFont="1" applyFill="1" applyAlignment="1">
      <alignment horizontal="center"/>
    </xf>
    <xf numFmtId="38" fontId="8" fillId="0" borderId="0" xfId="0" quotePrefix="1" applyNumberFormat="1" applyFont="1" applyFill="1" applyAlignment="1">
      <alignment horizontal="center"/>
    </xf>
    <xf numFmtId="164" fontId="8" fillId="0" borderId="0" xfId="0" quotePrefix="1" applyNumberFormat="1" applyFont="1" applyFill="1" applyAlignment="1">
      <alignment horizontal="center"/>
    </xf>
    <xf numFmtId="2" fontId="8" fillId="0" borderId="0" xfId="0" applyNumberFormat="1" applyFont="1" applyFill="1" applyAlignment="1">
      <alignment horizontal="center"/>
    </xf>
    <xf numFmtId="2" fontId="8" fillId="0" borderId="0" xfId="0" quotePrefix="1" applyNumberFormat="1" applyFont="1" applyFill="1" applyAlignment="1">
      <alignment horizontal="center"/>
    </xf>
    <xf numFmtId="40" fontId="8" fillId="0" borderId="0" xfId="0" quotePrefix="1" applyNumberFormat="1" applyFont="1" applyFill="1" applyAlignment="1">
      <alignment horizontal="center"/>
    </xf>
    <xf numFmtId="0" fontId="12" fillId="4" borderId="0" xfId="0" quotePrefix="1" applyFont="1" applyFill="1" applyAlignment="1">
      <alignment horizontal="left"/>
    </xf>
    <xf numFmtId="0" fontId="8" fillId="0" borderId="0" xfId="0" applyFont="1" applyAlignment="1">
      <alignment horizontal="centerContinuous" vertical="center"/>
    </xf>
    <xf numFmtId="0" fontId="9" fillId="0" borderId="0" xfId="0" applyFont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6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quotePrefix="1" applyFont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quotePrefix="1" applyFont="1" applyBorder="1" applyAlignment="1">
      <alignment horizontal="center" vertical="center"/>
    </xf>
    <xf numFmtId="3" fontId="9" fillId="0" borderId="6" xfId="0" quotePrefix="1" applyNumberFormat="1" applyFont="1" applyBorder="1" applyAlignment="1">
      <alignment horizontal="center" vertical="center"/>
    </xf>
    <xf numFmtId="3" fontId="9" fillId="0" borderId="0" xfId="0" quotePrefix="1" applyNumberFormat="1" applyFont="1" applyAlignment="1">
      <alignment horizontal="center" vertical="center"/>
    </xf>
    <xf numFmtId="0" fontId="8" fillId="3" borderId="0" xfId="0" applyFont="1" applyFill="1" applyAlignment="1">
      <alignment horizontal="right" vertical="center"/>
    </xf>
    <xf numFmtId="0" fontId="8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9" fillId="3" borderId="6" xfId="0" applyFont="1" applyFill="1" applyBorder="1" applyAlignment="1">
      <alignment vertical="center"/>
    </xf>
    <xf numFmtId="1" fontId="9" fillId="0" borderId="0" xfId="0" applyNumberFormat="1" applyFont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172" fontId="9" fillId="0" borderId="6" xfId="0" applyNumberFormat="1" applyFont="1" applyBorder="1" applyAlignment="1">
      <alignment horizontal="center" vertical="center"/>
    </xf>
    <xf numFmtId="1" fontId="9" fillId="0" borderId="0" xfId="0" quotePrefix="1" applyNumberFormat="1" applyFont="1" applyAlignment="1">
      <alignment horizontal="center" vertical="center"/>
    </xf>
    <xf numFmtId="172" fontId="9" fillId="0" borderId="0" xfId="0" quotePrefix="1" applyNumberFormat="1" applyFont="1" applyAlignment="1">
      <alignment horizontal="center" vertical="center"/>
    </xf>
    <xf numFmtId="0" fontId="9" fillId="0" borderId="6" xfId="0" quotePrefix="1" applyFont="1" applyBorder="1" applyAlignment="1">
      <alignment horizontal="center" vertical="center"/>
    </xf>
    <xf numFmtId="172" fontId="9" fillId="3" borderId="0" xfId="0" applyNumberFormat="1" applyFont="1" applyFill="1" applyAlignment="1">
      <alignment vertical="center"/>
    </xf>
    <xf numFmtId="172" fontId="9" fillId="3" borderId="6" xfId="0" applyNumberFormat="1" applyFont="1" applyFill="1" applyBorder="1" applyAlignment="1">
      <alignment vertical="center"/>
    </xf>
    <xf numFmtId="0" fontId="9" fillId="0" borderId="0" xfId="0" applyFont="1" applyAlignment="1">
      <alignment horizontal="center" vertical="center"/>
    </xf>
    <xf numFmtId="172" fontId="9" fillId="0" borderId="6" xfId="0" quotePrefix="1" applyNumberFormat="1" applyFont="1" applyBorder="1" applyAlignment="1">
      <alignment horizontal="center" vertical="center"/>
    </xf>
    <xf numFmtId="0" fontId="8" fillId="0" borderId="0" xfId="0" quotePrefix="1" applyFont="1" applyAlignment="1">
      <alignment horizontal="right" vertical="center"/>
    </xf>
    <xf numFmtId="1" fontId="9" fillId="0" borderId="0" xfId="0" quotePrefix="1" applyNumberFormat="1" applyFont="1" applyAlignment="1">
      <alignment horizontal="left" vertical="center"/>
    </xf>
    <xf numFmtId="0" fontId="9" fillId="0" borderId="0" xfId="0" quotePrefix="1" applyFont="1" applyAlignment="1">
      <alignment horizontal="left" vertical="center"/>
    </xf>
    <xf numFmtId="0" fontId="9" fillId="0" borderId="1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171" fontId="8" fillId="0" borderId="0" xfId="1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Alignment="1">
      <alignment horizontal="center"/>
    </xf>
    <xf numFmtId="175" fontId="8" fillId="0" borderId="0" xfId="10" applyNumberFormat="1" applyFont="1" applyFill="1" applyAlignment="1">
      <alignment horizontal="center"/>
    </xf>
    <xf numFmtId="8" fontId="5" fillId="0" borderId="0" xfId="18" applyNumberFormat="1"/>
    <xf numFmtId="49" fontId="42" fillId="6" borderId="8" xfId="18" applyNumberFormat="1" applyFont="1" applyFill="1" applyBorder="1"/>
    <xf numFmtId="0" fontId="42" fillId="6" borderId="8" xfId="18" applyFont="1" applyFill="1" applyBorder="1"/>
    <xf numFmtId="180" fontId="12" fillId="0" borderId="0" xfId="0" applyNumberFormat="1" applyFont="1" applyFill="1"/>
    <xf numFmtId="180" fontId="12" fillId="0" borderId="0" xfId="0" applyNumberFormat="1" applyFont="1" applyFill="1" applyAlignment="1">
      <alignment horizontal="center"/>
    </xf>
    <xf numFmtId="38" fontId="8" fillId="0" borderId="1" xfId="0" applyNumberFormat="1" applyFont="1" applyFill="1" applyBorder="1" applyAlignment="1">
      <alignment horizontal="center"/>
    </xf>
    <xf numFmtId="2" fontId="8" fillId="0" borderId="1" xfId="0" applyNumberFormat="1" applyFont="1" applyFill="1" applyBorder="1" applyAlignment="1">
      <alignment horizontal="center"/>
    </xf>
    <xf numFmtId="38" fontId="9" fillId="0" borderId="0" xfId="0" quotePrefix="1" applyNumberFormat="1" applyFont="1" applyFill="1" applyAlignment="1">
      <alignment horizontal="center"/>
    </xf>
    <xf numFmtId="164" fontId="9" fillId="0" borderId="0" xfId="0" quotePrefix="1" applyNumberFormat="1" applyFont="1" applyFill="1" applyAlignment="1">
      <alignment horizontal="center"/>
    </xf>
    <xf numFmtId="40" fontId="9" fillId="0" borderId="0" xfId="0" quotePrefix="1" applyNumberFormat="1" applyFont="1" applyFill="1" applyAlignment="1">
      <alignment horizontal="center"/>
    </xf>
    <xf numFmtId="164" fontId="38" fillId="0" borderId="0" xfId="0" quotePrefix="1" applyNumberFormat="1" applyFont="1" applyFill="1" applyAlignment="1">
      <alignment horizontal="center"/>
    </xf>
    <xf numFmtId="164" fontId="8" fillId="0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>
      <alignment horizontal="center"/>
    </xf>
    <xf numFmtId="38" fontId="9" fillId="0" borderId="0" xfId="0" applyNumberFormat="1" applyFont="1" applyFill="1" applyAlignment="1">
      <alignment horizontal="center"/>
    </xf>
    <xf numFmtId="164" fontId="9" fillId="0" borderId="0" xfId="0" applyNumberFormat="1" applyFont="1" applyFill="1" applyAlignment="1">
      <alignment horizontal="center"/>
    </xf>
    <xf numFmtId="40" fontId="8" fillId="0" borderId="0" xfId="0" applyNumberFormat="1" applyFont="1" applyFill="1" applyAlignment="1">
      <alignment horizontal="center"/>
    </xf>
    <xf numFmtId="0" fontId="11" fillId="0" borderId="0" xfId="0" applyFont="1" applyAlignment="1">
      <alignment horizontal="centerContinuous" vertical="center"/>
    </xf>
    <xf numFmtId="0" fontId="9" fillId="0" borderId="0" xfId="0" applyFont="1" applyAlignment="1">
      <alignment horizontal="left" vertical="center"/>
    </xf>
    <xf numFmtId="171" fontId="9" fillId="3" borderId="0" xfId="1" applyNumberFormat="1" applyFont="1" applyFill="1" applyAlignment="1">
      <alignment horizontal="center" vertical="center"/>
    </xf>
    <xf numFmtId="171" fontId="27" fillId="3" borderId="0" xfId="1" applyNumberFormat="1" applyFont="1" applyFill="1" applyAlignment="1">
      <alignment horizontal="center" vertical="center"/>
    </xf>
    <xf numFmtId="0" fontId="14" fillId="6" borderId="0" xfId="0" quotePrefix="1" applyNumberFormat="1" applyFont="1" applyFill="1" applyAlignment="1">
      <alignment horizontal="left"/>
    </xf>
    <xf numFmtId="38" fontId="12" fillId="6" borderId="0" xfId="0" applyNumberFormat="1" applyFont="1" applyFill="1"/>
    <xf numFmtId="0" fontId="24" fillId="3" borderId="0" xfId="0" applyFont="1" applyFill="1" applyAlignment="1">
      <alignment horizontal="center"/>
    </xf>
    <xf numFmtId="0" fontId="32" fillId="0" borderId="0" xfId="9" applyNumberFormat="1" applyFont="1" applyFill="1" applyAlignment="1">
      <alignment horizontal="center" vertical="center"/>
    </xf>
    <xf numFmtId="0" fontId="33" fillId="0" borderId="0" xfId="9" applyNumberFormat="1" applyFont="1" applyFill="1" applyAlignment="1">
      <alignment horizontal="center" vertical="center"/>
    </xf>
    <xf numFmtId="0" fontId="41" fillId="8" borderId="0" xfId="15" applyFill="1" applyAlignment="1">
      <alignment horizontal="center"/>
    </xf>
    <xf numFmtId="171" fontId="0" fillId="0" borderId="0" xfId="0" applyNumberFormat="1"/>
    <xf numFmtId="171" fontId="41" fillId="8" borderId="0" xfId="1" applyNumberFormat="1" applyFont="1" applyFill="1" applyAlignment="1">
      <alignment horizontal="center"/>
    </xf>
    <xf numFmtId="171" fontId="41" fillId="8" borderId="1" xfId="1" applyNumberFormat="1" applyFont="1" applyFill="1" applyBorder="1" applyAlignment="1">
      <alignment horizontal="center"/>
    </xf>
    <xf numFmtId="171" fontId="0" fillId="0" borderId="1" xfId="0" applyNumberFormat="1" applyBorder="1"/>
    <xf numFmtId="0" fontId="9" fillId="0" borderId="0" xfId="9" applyNumberFormat="1" applyFont="1" applyFill="1" applyAlignment="1">
      <alignment horizontal="center"/>
    </xf>
    <xf numFmtId="39" fontId="24" fillId="3" borderId="0" xfId="9" applyFont="1" applyFill="1" applyAlignment="1">
      <alignment horizontal="center"/>
    </xf>
    <xf numFmtId="39" fontId="9" fillId="0" borderId="0" xfId="9" applyFont="1" applyFill="1" applyAlignment="1">
      <alignment horizontal="center"/>
    </xf>
    <xf numFmtId="1" fontId="16" fillId="0" borderId="0" xfId="9" applyNumberFormat="1" applyFont="1" applyFill="1" applyAlignment="1">
      <alignment horizontal="center"/>
    </xf>
    <xf numFmtId="39" fontId="16" fillId="0" borderId="0" xfId="9" quotePrefix="1" applyFont="1" applyFill="1" applyAlignment="1">
      <alignment horizontal="center"/>
    </xf>
    <xf numFmtId="39" fontId="18" fillId="0" borderId="0" xfId="9" quotePrefix="1" applyFont="1" applyFill="1" applyAlignment="1">
      <alignment horizontal="center"/>
    </xf>
    <xf numFmtId="171" fontId="32" fillId="0" borderId="0" xfId="1" applyNumberFormat="1" applyFont="1" applyFill="1" applyAlignment="1">
      <alignment vertical="center"/>
    </xf>
    <xf numFmtId="171" fontId="36" fillId="0" borderId="0" xfId="1" applyNumberFormat="1" applyFont="1" applyFill="1" applyAlignment="1">
      <alignment vertical="center"/>
    </xf>
    <xf numFmtId="39" fontId="34" fillId="0" borderId="0" xfId="9" quotePrefix="1" applyNumberFormat="1" applyFont="1" applyFill="1" applyAlignment="1">
      <alignment horizontal="left" vertical="center"/>
    </xf>
    <xf numFmtId="39" fontId="38" fillId="0" borderId="0" xfId="9" quotePrefix="1" applyNumberFormat="1" applyFont="1" applyFill="1" applyAlignment="1">
      <alignment horizontal="left" vertical="center"/>
    </xf>
    <xf numFmtId="171" fontId="9" fillId="0" borderId="0" xfId="0" applyNumberFormat="1" applyFont="1"/>
    <xf numFmtId="0" fontId="9" fillId="0" borderId="0" xfId="1" applyNumberFormat="1"/>
    <xf numFmtId="1" fontId="8" fillId="0" borderId="0" xfId="9" applyNumberFormat="1" applyFont="1" applyFill="1" applyAlignment="1">
      <alignment vertical="center"/>
    </xf>
    <xf numFmtId="39" fontId="8" fillId="0" borderId="0" xfId="9" applyNumberFormat="1" applyFont="1" applyFill="1" applyAlignment="1">
      <alignment vertical="center"/>
    </xf>
    <xf numFmtId="1" fontId="16" fillId="0" borderId="0" xfId="9" applyNumberFormat="1" applyFont="1" applyFill="1" applyAlignment="1">
      <alignment horizontal="center" vertical="center"/>
    </xf>
    <xf numFmtId="0" fontId="16" fillId="0" borderId="0" xfId="9" applyNumberFormat="1" applyFont="1" applyFill="1" applyAlignment="1">
      <alignment horizontal="center" vertical="center"/>
    </xf>
    <xf numFmtId="39" fontId="9" fillId="0" borderId="3" xfId="9" applyNumberFormat="1" applyFont="1" applyFill="1" applyBorder="1" applyAlignment="1">
      <alignment horizontal="center" vertical="center"/>
    </xf>
    <xf numFmtId="39" fontId="8" fillId="0" borderId="3" xfId="9" quotePrefix="1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Continuous" vertical="center"/>
    </xf>
    <xf numFmtId="0" fontId="8" fillId="0" borderId="1" xfId="9" quotePrefix="1" applyNumberFormat="1" applyFont="1" applyFill="1" applyBorder="1" applyAlignment="1">
      <alignment horizontal="centerContinuous" vertical="center"/>
    </xf>
    <xf numFmtId="43" fontId="12" fillId="0" borderId="0" xfId="1" applyFont="1"/>
    <xf numFmtId="37" fontId="32" fillId="0" borderId="0" xfId="0" quotePrefix="1" applyNumberFormat="1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49" fontId="3" fillId="0" borderId="0" xfId="20" applyNumberFormat="1"/>
    <xf numFmtId="0" fontId="3" fillId="0" borderId="0" xfId="20"/>
    <xf numFmtId="8" fontId="3" fillId="0" borderId="0" xfId="20" applyNumberFormat="1"/>
    <xf numFmtId="0" fontId="43" fillId="8" borderId="0" xfId="18" applyFont="1" applyFill="1" applyBorder="1" applyAlignment="1">
      <alignment horizontal="center"/>
    </xf>
    <xf numFmtId="8" fontId="4" fillId="8" borderId="0" xfId="19" applyNumberFormat="1" applyFill="1" applyAlignment="1">
      <alignment horizontal="center"/>
    </xf>
    <xf numFmtId="1" fontId="9" fillId="9" borderId="0" xfId="0" applyNumberFormat="1" applyFont="1" applyFill="1" applyAlignment="1">
      <alignment horizontal="center" vertical="center"/>
    </xf>
    <xf numFmtId="1" fontId="9" fillId="9" borderId="6" xfId="0" applyNumberFormat="1" applyFont="1" applyFill="1" applyBorder="1" applyAlignment="1">
      <alignment horizontal="center" vertical="center"/>
    </xf>
    <xf numFmtId="172" fontId="9" fillId="0" borderId="0" xfId="4" applyNumberFormat="1" applyFont="1" applyBorder="1" applyAlignment="1">
      <alignment horizontal="center" vertical="center"/>
    </xf>
    <xf numFmtId="172" fontId="9" fillId="0" borderId="6" xfId="4" applyNumberFormat="1" applyFont="1" applyBorder="1" applyAlignment="1">
      <alignment horizontal="center" vertical="center"/>
    </xf>
    <xf numFmtId="0" fontId="8" fillId="0" borderId="13" xfId="0" quotePrefix="1" applyFont="1" applyBorder="1" applyAlignment="1">
      <alignment horizontal="center" vertical="center"/>
    </xf>
    <xf numFmtId="1" fontId="9" fillId="9" borderId="0" xfId="4" applyNumberFormat="1" applyFont="1" applyFill="1" applyBorder="1" applyAlignment="1" applyProtection="1">
      <alignment horizontal="center" vertical="center"/>
    </xf>
    <xf numFmtId="1" fontId="9" fillId="0" borderId="0" xfId="4" applyNumberFormat="1" applyFont="1" applyBorder="1" applyAlignment="1" applyProtection="1">
      <alignment horizontal="center" vertical="center"/>
    </xf>
    <xf numFmtId="0" fontId="9" fillId="0" borderId="0" xfId="6" applyFont="1"/>
    <xf numFmtId="49" fontId="2" fillId="0" borderId="0" xfId="21" applyNumberFormat="1"/>
    <xf numFmtId="0" fontId="2" fillId="0" borderId="0" xfId="21"/>
    <xf numFmtId="8" fontId="2" fillId="0" borderId="0" xfId="21" applyNumberFormat="1"/>
    <xf numFmtId="49" fontId="1" fillId="0" borderId="0" xfId="22" applyNumberFormat="1"/>
    <xf numFmtId="0" fontId="1" fillId="0" borderId="0" xfId="22"/>
    <xf numFmtId="8" fontId="1" fillId="0" borderId="0" xfId="22" applyNumberFormat="1"/>
    <xf numFmtId="3" fontId="44" fillId="0" borderId="0" xfId="0" applyNumberFormat="1" applyFont="1"/>
    <xf numFmtId="43" fontId="44" fillId="0" borderId="0" xfId="1" applyFont="1"/>
    <xf numFmtId="1" fontId="32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2" fontId="9" fillId="0" borderId="0" xfId="0" applyNumberFormat="1" applyFont="1" applyFill="1" applyAlignment="1">
      <alignment horizontal="center"/>
    </xf>
    <xf numFmtId="37" fontId="8" fillId="0" borderId="0" xfId="0" quotePrefix="1" applyNumberFormat="1" applyFont="1" applyAlignment="1">
      <alignment horizontal="center" vertical="center"/>
    </xf>
    <xf numFmtId="39" fontId="8" fillId="0" borderId="3" xfId="9" applyNumberFormat="1" applyFont="1" applyFill="1" applyBorder="1" applyAlignment="1">
      <alignment horizontal="center" vertical="center"/>
    </xf>
    <xf numFmtId="1" fontId="10" fillId="0" borderId="3" xfId="9" applyNumberFormat="1" applyFont="1" applyFill="1" applyBorder="1" applyAlignment="1">
      <alignment horizontal="center" vertical="center"/>
    </xf>
    <xf numFmtId="1" fontId="8" fillId="0" borderId="3" xfId="9" applyNumberFormat="1" applyFont="1" applyFill="1" applyBorder="1" applyAlignment="1">
      <alignment horizontal="center" vertical="center"/>
    </xf>
    <xf numFmtId="39" fontId="10" fillId="0" borderId="3" xfId="9" applyNumberFormat="1" applyFont="1" applyFill="1" applyBorder="1" applyAlignment="1">
      <alignment horizontal="center" vertical="center"/>
    </xf>
    <xf numFmtId="14" fontId="10" fillId="0" borderId="3" xfId="9" quotePrefix="1" applyNumberFormat="1" applyFont="1" applyFill="1" applyBorder="1" applyAlignment="1">
      <alignment horizontal="center" vertical="center"/>
    </xf>
    <xf numFmtId="14" fontId="8" fillId="0" borderId="3" xfId="9" quotePrefix="1" applyNumberFormat="1" applyFont="1" applyFill="1" applyBorder="1" applyAlignment="1">
      <alignment horizontal="center" vertical="center"/>
    </xf>
    <xf numFmtId="14" fontId="34" fillId="0" borderId="3" xfId="9" quotePrefix="1" applyNumberFormat="1" applyFont="1" applyFill="1" applyBorder="1" applyAlignment="1">
      <alignment horizontal="center" vertical="center"/>
    </xf>
    <xf numFmtId="14" fontId="13" fillId="0" borderId="3" xfId="9" quotePrefix="1" applyNumberFormat="1" applyFont="1" applyFill="1" applyBorder="1" applyAlignment="1">
      <alignment horizontal="center" vertical="center"/>
    </xf>
    <xf numFmtId="43" fontId="24" fillId="3" borderId="0" xfId="1" applyFont="1" applyFill="1"/>
    <xf numFmtId="0" fontId="24" fillId="3" borderId="0" xfId="0" applyFont="1" applyFill="1"/>
    <xf numFmtId="43" fontId="8" fillId="0" borderId="0" xfId="1" applyFont="1" applyFill="1" applyBorder="1"/>
    <xf numFmtId="43" fontId="8" fillId="0" borderId="0" xfId="1" applyFont="1" applyFill="1" applyBorder="1" applyAlignment="1">
      <alignment horizontal="left"/>
    </xf>
    <xf numFmtId="43" fontId="8" fillId="0" borderId="3" xfId="1" applyFont="1" applyBorder="1" applyAlignment="1">
      <alignment horizontal="left"/>
    </xf>
    <xf numFmtId="0" fontId="13" fillId="0" borderId="1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179" fontId="9" fillId="3" borderId="0" xfId="0" applyNumberFormat="1" applyFont="1" applyFill="1" applyAlignment="1">
      <alignment vertical="center"/>
    </xf>
    <xf numFmtId="171" fontId="9" fillId="0" borderId="0" xfId="4" applyNumberFormat="1" applyFont="1" applyFill="1" applyAlignment="1">
      <alignment horizontal="center" vertical="center"/>
    </xf>
    <xf numFmtId="179" fontId="9" fillId="0" borderId="0" xfId="4" applyNumberFormat="1" applyFont="1" applyFill="1" applyAlignment="1">
      <alignment horizontal="center" vertical="center"/>
    </xf>
    <xf numFmtId="171" fontId="9" fillId="0" borderId="0" xfId="4" applyNumberFormat="1" applyFont="1" applyFill="1" applyAlignment="1">
      <alignment vertical="center"/>
    </xf>
    <xf numFmtId="179" fontId="9" fillId="0" borderId="0" xfId="4" applyNumberFormat="1" applyFont="1" applyFill="1" applyAlignment="1">
      <alignment vertical="center"/>
    </xf>
    <xf numFmtId="3" fontId="9" fillId="0" borderId="0" xfId="0" applyNumberFormat="1" applyFont="1" applyAlignment="1">
      <alignment horizontal="center" vertical="center"/>
    </xf>
    <xf numFmtId="1" fontId="9" fillId="0" borderId="6" xfId="4" applyNumberFormat="1" applyFont="1" applyFill="1" applyBorder="1" applyAlignment="1" applyProtection="1">
      <alignment horizontal="center" vertical="center"/>
    </xf>
    <xf numFmtId="1" fontId="32" fillId="0" borderId="0" xfId="4" applyNumberFormat="1" applyFont="1" applyBorder="1" applyAlignment="1" applyProtection="1">
      <alignment horizontal="center" vertical="center"/>
    </xf>
    <xf numFmtId="1" fontId="32" fillId="9" borderId="0" xfId="4" applyNumberFormat="1" applyFont="1" applyFill="1" applyBorder="1" applyAlignment="1" applyProtection="1">
      <alignment horizontal="center" vertical="center"/>
    </xf>
    <xf numFmtId="171" fontId="9" fillId="0" borderId="0" xfId="4" applyNumberFormat="1" applyFont="1" applyFill="1" applyBorder="1" applyAlignment="1">
      <alignment vertical="center"/>
    </xf>
    <xf numFmtId="179" fontId="9" fillId="0" borderId="0" xfId="4" applyNumberFormat="1" applyFont="1" applyFill="1" applyBorder="1" applyAlignment="1">
      <alignment vertical="center"/>
    </xf>
    <xf numFmtId="171" fontId="8" fillId="0" borderId="11" xfId="4" applyNumberFormat="1" applyFont="1" applyBorder="1" applyAlignment="1">
      <alignment vertical="center"/>
    </xf>
    <xf numFmtId="179" fontId="8" fillId="0" borderId="11" xfId="4" applyNumberFormat="1" applyFont="1" applyBorder="1" applyAlignment="1">
      <alignment vertical="center"/>
    </xf>
    <xf numFmtId="3" fontId="9" fillId="0" borderId="0" xfId="0" applyNumberFormat="1" applyFont="1" applyAlignment="1">
      <alignment vertical="center"/>
    </xf>
    <xf numFmtId="171" fontId="9" fillId="0" borderId="0" xfId="4" applyNumberFormat="1" applyFont="1" applyAlignment="1">
      <alignment vertical="center"/>
    </xf>
    <xf numFmtId="179" fontId="9" fillId="0" borderId="0" xfId="4" applyNumberFormat="1" applyFont="1" applyAlignment="1">
      <alignment vertical="center"/>
    </xf>
    <xf numFmtId="171" fontId="9" fillId="3" borderId="0" xfId="4" applyNumberFormat="1" applyFont="1" applyFill="1" applyAlignment="1">
      <alignment vertical="center"/>
    </xf>
    <xf numFmtId="179" fontId="9" fillId="3" borderId="0" xfId="4" applyNumberFormat="1" applyFont="1" applyFill="1" applyAlignment="1">
      <alignment vertical="center"/>
    </xf>
    <xf numFmtId="0" fontId="16" fillId="3" borderId="6" xfId="0" applyFont="1" applyFill="1" applyBorder="1" applyAlignment="1">
      <alignment vertical="center"/>
    </xf>
    <xf numFmtId="0" fontId="16" fillId="3" borderId="0" xfId="0" applyFont="1" applyFill="1" applyAlignment="1">
      <alignment vertical="center"/>
    </xf>
    <xf numFmtId="1" fontId="32" fillId="9" borderId="0" xfId="0" applyNumberFormat="1" applyFont="1" applyFill="1" applyAlignment="1">
      <alignment horizontal="center" vertical="center"/>
    </xf>
    <xf numFmtId="171" fontId="9" fillId="0" borderId="0" xfId="4" applyNumberFormat="1" applyFont="1" applyFill="1" applyAlignment="1">
      <alignment horizontal="right" vertical="center"/>
    </xf>
    <xf numFmtId="179" fontId="9" fillId="0" borderId="0" xfId="4" applyNumberFormat="1" applyFont="1" applyFill="1" applyAlignment="1">
      <alignment horizontal="right" vertical="center"/>
    </xf>
    <xf numFmtId="0" fontId="9" fillId="0" borderId="5" xfId="0" quotePrefix="1" applyFont="1" applyBorder="1" applyAlignment="1">
      <alignment horizontal="center" vertical="center"/>
    </xf>
    <xf numFmtId="171" fontId="8" fillId="0" borderId="0" xfId="4" applyNumberFormat="1" applyFont="1" applyBorder="1" applyAlignment="1">
      <alignment vertical="center"/>
    </xf>
    <xf numFmtId="179" fontId="8" fillId="0" borderId="0" xfId="4" applyNumberFormat="1" applyFont="1" applyBorder="1" applyAlignment="1">
      <alignment vertical="center"/>
    </xf>
    <xf numFmtId="43" fontId="8" fillId="0" borderId="0" xfId="4" applyFont="1" applyBorder="1" applyAlignment="1">
      <alignment vertical="center"/>
    </xf>
    <xf numFmtId="0" fontId="9" fillId="0" borderId="6" xfId="0" applyFont="1" applyBorder="1"/>
    <xf numFmtId="0" fontId="8" fillId="0" borderId="0" xfId="0" applyFont="1" applyAlignment="1">
      <alignment horizontal="left" vertical="center"/>
    </xf>
    <xf numFmtId="171" fontId="24" fillId="0" borderId="0" xfId="4" applyNumberFormat="1" applyFont="1" applyAlignment="1" applyProtection="1">
      <alignment horizontal="right" vertical="center"/>
    </xf>
    <xf numFmtId="43" fontId="8" fillId="0" borderId="0" xfId="4" quotePrefix="1" applyFont="1" applyAlignment="1" applyProtection="1">
      <alignment horizontal="right" vertical="center"/>
    </xf>
    <xf numFmtId="171" fontId="8" fillId="0" borderId="0" xfId="4" applyNumberFormat="1" applyFont="1" applyAlignment="1" applyProtection="1">
      <alignment vertical="center"/>
    </xf>
    <xf numFmtId="179" fontId="8" fillId="0" borderId="0" xfId="4" applyNumberFormat="1" applyFont="1" applyAlignment="1" applyProtection="1">
      <alignment vertical="center"/>
    </xf>
    <xf numFmtId="166" fontId="9" fillId="0" borderId="0" xfId="0" quotePrefix="1" applyNumberFormat="1" applyFont="1" applyAlignment="1">
      <alignment horizontal="left" vertical="center"/>
    </xf>
    <xf numFmtId="171" fontId="9" fillId="0" borderId="0" xfId="4" applyNumberFormat="1" applyFont="1" applyAlignment="1" applyProtection="1">
      <alignment vertical="center"/>
    </xf>
    <xf numFmtId="171" fontId="8" fillId="0" borderId="7" xfId="4" applyNumberFormat="1" applyFont="1" applyBorder="1" applyAlignment="1" applyProtection="1">
      <alignment vertical="center"/>
    </xf>
    <xf numFmtId="179" fontId="8" fillId="0" borderId="7" xfId="4" applyNumberFormat="1" applyFont="1" applyBorder="1" applyAlignment="1" applyProtection="1">
      <alignment vertical="center"/>
    </xf>
    <xf numFmtId="0" fontId="24" fillId="0" borderId="0" xfId="0" quotePrefix="1" applyFont="1" applyAlignment="1">
      <alignment horizontal="left" vertical="center"/>
    </xf>
    <xf numFmtId="0" fontId="9" fillId="0" borderId="0" xfId="4" quotePrefix="1" applyNumberFormat="1" applyFont="1" applyAlignment="1">
      <alignment horizontal="left" vertical="center"/>
    </xf>
    <xf numFmtId="0" fontId="9" fillId="0" borderId="0" xfId="4" applyNumberFormat="1" applyFont="1" applyAlignment="1">
      <alignment vertical="center"/>
    </xf>
    <xf numFmtId="1" fontId="46" fillId="0" borderId="0" xfId="0" applyNumberFormat="1" applyFont="1" applyAlignment="1">
      <alignment horizontal="center" vertical="center"/>
    </xf>
    <xf numFmtId="1" fontId="46" fillId="0" borderId="0" xfId="0" quotePrefix="1" applyNumberFormat="1" applyFont="1" applyAlignment="1">
      <alignment horizontal="left" vertical="center"/>
    </xf>
    <xf numFmtId="0" fontId="46" fillId="0" borderId="0" xfId="0" quotePrefix="1" applyFont="1" applyAlignment="1">
      <alignment horizontal="left" vertical="center"/>
    </xf>
    <xf numFmtId="0" fontId="8" fillId="3" borderId="0" xfId="0" quotePrefix="1" applyFont="1" applyFill="1" applyAlignment="1">
      <alignment horizontal="right" vertical="center"/>
    </xf>
    <xf numFmtId="171" fontId="8" fillId="0" borderId="0" xfId="4" applyNumberFormat="1" applyFont="1" applyBorder="1" applyAlignment="1">
      <alignment horizontal="center" vertical="center"/>
    </xf>
    <xf numFmtId="0" fontId="9" fillId="0" borderId="0" xfId="1" applyNumberFormat="1" applyFill="1"/>
    <xf numFmtId="0" fontId="9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16" fillId="0" borderId="0" xfId="13" applyFont="1" applyFill="1" applyAlignment="1">
      <alignment horizontal="right"/>
    </xf>
    <xf numFmtId="0" fontId="16" fillId="0" borderId="1" xfId="13" applyFont="1" applyFill="1" applyBorder="1"/>
    <xf numFmtId="0" fontId="9" fillId="0" borderId="0" xfId="14" applyFont="1" applyFill="1" applyAlignment="1">
      <alignment wrapText="1"/>
    </xf>
    <xf numFmtId="171" fontId="9" fillId="0" borderId="3" xfId="1" applyNumberFormat="1" applyFont="1" applyFill="1" applyBorder="1"/>
    <xf numFmtId="0" fontId="9" fillId="0" borderId="0" xfId="14" quotePrefix="1" applyFont="1" applyFill="1" applyAlignment="1">
      <alignment horizontal="right" wrapText="1"/>
    </xf>
    <xf numFmtId="0" fontId="9" fillId="0" borderId="0" xfId="13" applyFont="1" applyFill="1" applyBorder="1"/>
    <xf numFmtId="0" fontId="16" fillId="0" borderId="0" xfId="13" applyFont="1" applyFill="1" applyAlignment="1">
      <alignment horizontal="left"/>
    </xf>
    <xf numFmtId="171" fontId="9" fillId="0" borderId="10" xfId="1" applyNumberFormat="1" applyFont="1" applyFill="1" applyBorder="1"/>
    <xf numFmtId="171" fontId="9" fillId="0" borderId="0" xfId="1" applyNumberFormat="1" applyFill="1"/>
    <xf numFmtId="43" fontId="9" fillId="0" borderId="0" xfId="1" applyFill="1"/>
    <xf numFmtId="0" fontId="9" fillId="0" borderId="0" xfId="13" applyFont="1" applyFill="1" applyAlignment="1">
      <alignment horizontal="left"/>
    </xf>
    <xf numFmtId="0" fontId="9" fillId="0" borderId="1" xfId="13" quotePrefix="1" applyFont="1" applyFill="1" applyBorder="1" applyAlignment="1">
      <alignment horizontal="left"/>
    </xf>
    <xf numFmtId="0" fontId="9" fillId="0" borderId="1" xfId="13" applyFont="1" applyFill="1" applyBorder="1" applyAlignment="1">
      <alignment horizontal="center"/>
    </xf>
    <xf numFmtId="0" fontId="9" fillId="0" borderId="0" xfId="13" quotePrefix="1" applyFont="1" applyFill="1" applyAlignment="1">
      <alignment horizontal="center"/>
    </xf>
    <xf numFmtId="14" fontId="9" fillId="0" borderId="1" xfId="13" applyNumberFormat="1" applyFont="1" applyFill="1" applyBorder="1" applyAlignment="1">
      <alignment horizontal="center"/>
    </xf>
    <xf numFmtId="14" fontId="9" fillId="0" borderId="1" xfId="13" quotePrefix="1" applyNumberFormat="1" applyFont="1" applyFill="1" applyBorder="1" applyAlignment="1">
      <alignment horizontal="center"/>
    </xf>
    <xf numFmtId="0" fontId="9" fillId="0" borderId="1" xfId="13" quotePrefix="1" applyFont="1" applyFill="1" applyBorder="1" applyAlignment="1">
      <alignment horizontal="center"/>
    </xf>
    <xf numFmtId="43" fontId="9" fillId="0" borderId="0" xfId="1" applyFont="1" applyFill="1" applyBorder="1" applyAlignment="1">
      <alignment wrapText="1"/>
    </xf>
    <xf numFmtId="176" fontId="9" fillId="0" borderId="0" xfId="13" applyNumberFormat="1" applyFont="1" applyFill="1" applyAlignment="1">
      <alignment horizontal="center"/>
    </xf>
    <xf numFmtId="176" fontId="9" fillId="0" borderId="0" xfId="13" applyNumberFormat="1" applyFont="1" applyFill="1"/>
    <xf numFmtId="178" fontId="9" fillId="0" borderId="0" xfId="5" quotePrefix="1" applyNumberFormat="1" applyFont="1" applyFill="1" applyBorder="1" applyAlignment="1">
      <alignment horizontal="center"/>
    </xf>
    <xf numFmtId="5" fontId="9" fillId="0" borderId="0" xfId="13" quotePrefix="1" applyNumberFormat="1" applyFont="1" applyFill="1" applyAlignment="1">
      <alignment horizontal="left"/>
    </xf>
    <xf numFmtId="0" fontId="9" fillId="0" borderId="0" xfId="13" quotePrefix="1" applyFont="1" applyFill="1" applyAlignment="1">
      <alignment horizontal="left"/>
    </xf>
    <xf numFmtId="0" fontId="9" fillId="0" borderId="0" xfId="13" applyFont="1" applyFill="1" applyProtection="1">
      <protection locked="0"/>
    </xf>
    <xf numFmtId="41" fontId="9" fillId="0" borderId="0" xfId="13" applyNumberFormat="1" applyFont="1" applyFill="1"/>
    <xf numFmtId="5" fontId="9" fillId="0" borderId="0" xfId="13" applyNumberFormat="1" applyFont="1" applyFill="1"/>
    <xf numFmtId="2" fontId="9" fillId="0" borderId="0" xfId="13" applyNumberFormat="1" applyFont="1" applyFill="1" applyAlignment="1">
      <alignment horizontal="center"/>
    </xf>
    <xf numFmtId="43" fontId="9" fillId="0" borderId="0" xfId="1" quotePrefix="1" applyFont="1" applyFill="1" applyBorder="1" applyAlignment="1">
      <alignment horizontal="left"/>
    </xf>
    <xf numFmtId="1" fontId="9" fillId="0" borderId="0" xfId="13" applyNumberFormat="1" applyFont="1" applyFill="1"/>
    <xf numFmtId="0" fontId="9" fillId="0" borderId="9" xfId="13" applyFont="1" applyFill="1" applyBorder="1" applyAlignment="1">
      <alignment horizontal="left"/>
    </xf>
    <xf numFmtId="1" fontId="9" fillId="0" borderId="1" xfId="13" applyNumberFormat="1" applyFont="1" applyFill="1" applyBorder="1"/>
    <xf numFmtId="0" fontId="9" fillId="0" borderId="1" xfId="13" applyFont="1" applyFill="1" applyBorder="1" applyAlignment="1">
      <alignment horizontal="left"/>
    </xf>
    <xf numFmtId="171" fontId="9" fillId="0" borderId="10" xfId="1" applyNumberFormat="1" applyFont="1" applyFill="1" applyBorder="1" applyAlignment="1" applyProtection="1">
      <protection locked="0"/>
    </xf>
    <xf numFmtId="37" fontId="9" fillId="0" borderId="0" xfId="13" applyNumberFormat="1" applyFont="1" applyFill="1"/>
    <xf numFmtId="171" fontId="9" fillId="0" borderId="0" xfId="1" applyNumberFormat="1" applyFont="1" applyFill="1" applyAlignment="1"/>
    <xf numFmtId="0" fontId="9" fillId="0" borderId="0" xfId="14" applyFont="1" applyFill="1" applyAlignment="1">
      <alignment horizontal="right" wrapText="1"/>
    </xf>
    <xf numFmtId="43" fontId="9" fillId="0" borderId="0" xfId="13" applyNumberFormat="1" applyFont="1" applyFill="1"/>
    <xf numFmtId="2" fontId="9" fillId="0" borderId="1" xfId="13" applyNumberFormat="1" applyFont="1" applyFill="1" applyBorder="1" applyAlignment="1">
      <alignment horizontal="center"/>
    </xf>
    <xf numFmtId="0" fontId="9" fillId="0" borderId="0" xfId="14" applyFont="1" applyFill="1" applyAlignment="1">
      <alignment horizontal="center" wrapText="1"/>
    </xf>
    <xf numFmtId="0" fontId="9" fillId="0" borderId="8" xfId="13" applyFont="1" applyFill="1" applyBorder="1"/>
    <xf numFmtId="2" fontId="9" fillId="0" borderId="0" xfId="13" quotePrefix="1" applyNumberFormat="1" applyFont="1" applyFill="1" applyAlignment="1">
      <alignment horizontal="right"/>
    </xf>
    <xf numFmtId="2" fontId="9" fillId="0" borderId="0" xfId="13" quotePrefix="1" applyNumberFormat="1" applyFont="1" applyFill="1" applyAlignment="1">
      <alignment horizontal="center"/>
    </xf>
    <xf numFmtId="171" fontId="9" fillId="0" borderId="8" xfId="1" applyNumberFormat="1" applyFont="1" applyFill="1" applyBorder="1" applyAlignment="1"/>
    <xf numFmtId="37" fontId="9" fillId="0" borderId="1" xfId="1" applyNumberFormat="1" applyFont="1" applyFill="1" applyBorder="1" applyAlignment="1"/>
    <xf numFmtId="176" fontId="9" fillId="0" borderId="1" xfId="13" applyNumberFormat="1" applyFont="1" applyFill="1" applyBorder="1" applyAlignment="1">
      <alignment horizontal="center"/>
    </xf>
    <xf numFmtId="0" fontId="16" fillId="0" borderId="1" xfId="13" quotePrefix="1" applyFont="1" applyFill="1" applyBorder="1" applyAlignment="1">
      <alignment horizontal="left"/>
    </xf>
    <xf numFmtId="171" fontId="9" fillId="0" borderId="8" xfId="13" applyNumberFormat="1" applyFont="1" applyFill="1" applyBorder="1"/>
    <xf numFmtId="41" fontId="9" fillId="0" borderId="0" xfId="13" applyNumberFormat="1" applyFont="1" applyFill="1" applyAlignment="1">
      <alignment horizontal="right"/>
    </xf>
    <xf numFmtId="5" fontId="9" fillId="0" borderId="0" xfId="13" applyNumberFormat="1" applyFont="1" applyFill="1" applyAlignment="1">
      <alignment horizontal="right"/>
    </xf>
    <xf numFmtId="14" fontId="9" fillId="0" borderId="0" xfId="13" applyNumberFormat="1" applyFont="1" applyFill="1" applyAlignment="1">
      <alignment horizontal="center"/>
    </xf>
    <xf numFmtId="168" fontId="9" fillId="0" borderId="0" xfId="13" applyNumberFormat="1" applyFont="1" applyFill="1" applyAlignment="1">
      <alignment horizontal="right"/>
    </xf>
    <xf numFmtId="14" fontId="9" fillId="0" borderId="0" xfId="13" quotePrefix="1" applyNumberFormat="1" applyFont="1" applyFill="1" applyAlignment="1">
      <alignment horizontal="center"/>
    </xf>
    <xf numFmtId="37" fontId="9" fillId="0" borderId="0" xfId="13" applyNumberFormat="1" applyFont="1" applyFill="1" applyAlignment="1">
      <alignment horizontal="center"/>
    </xf>
    <xf numFmtId="37" fontId="9" fillId="0" borderId="0" xfId="1" applyNumberFormat="1" applyFont="1" applyFill="1" applyBorder="1" applyAlignment="1">
      <alignment horizontal="center"/>
    </xf>
    <xf numFmtId="171" fontId="9" fillId="0" borderId="3" xfId="1" applyNumberFormat="1" applyFont="1" applyFill="1" applyBorder="1" applyAlignment="1">
      <alignment horizontal="right"/>
    </xf>
    <xf numFmtId="41" fontId="16" fillId="0" borderId="0" xfId="1" applyNumberFormat="1" applyFont="1" applyFill="1" applyBorder="1" applyAlignment="1">
      <alignment horizontal="right"/>
    </xf>
    <xf numFmtId="0" fontId="9" fillId="0" borderId="0" xfId="5" applyNumberFormat="1" applyFont="1" applyFill="1" applyBorder="1" applyAlignment="1" applyProtection="1">
      <protection locked="0"/>
    </xf>
    <xf numFmtId="0" fontId="7" fillId="0" borderId="0" xfId="14" applyFont="1" applyFill="1" applyAlignment="1">
      <alignment wrapText="1"/>
    </xf>
    <xf numFmtId="40" fontId="9" fillId="0" borderId="0" xfId="13" applyNumberFormat="1" applyFont="1" applyFill="1"/>
    <xf numFmtId="178" fontId="9" fillId="0" borderId="0" xfId="5" applyNumberFormat="1" applyFill="1" applyProtection="1">
      <protection locked="0"/>
    </xf>
    <xf numFmtId="4" fontId="9" fillId="0" borderId="0" xfId="1" applyNumberFormat="1" applyFill="1"/>
    <xf numFmtId="171" fontId="9" fillId="0" borderId="0" xfId="1" applyNumberFormat="1" applyFill="1" applyAlignment="1">
      <alignment horizontal="center"/>
    </xf>
    <xf numFmtId="43" fontId="9" fillId="0" borderId="0" xfId="1" applyFill="1" applyAlignment="1">
      <alignment horizontal="right"/>
    </xf>
    <xf numFmtId="171" fontId="9" fillId="0" borderId="8" xfId="1" applyNumberFormat="1" applyFill="1" applyBorder="1"/>
    <xf numFmtId="171" fontId="9" fillId="0" borderId="10" xfId="1" applyNumberFormat="1" applyFill="1" applyBorder="1" applyAlignment="1">
      <alignment horizontal="right"/>
    </xf>
    <xf numFmtId="171" fontId="9" fillId="0" borderId="0" xfId="1" applyNumberFormat="1" applyFill="1" applyAlignment="1">
      <alignment horizontal="right"/>
    </xf>
    <xf numFmtId="41" fontId="9" fillId="0" borderId="0" xfId="1" applyNumberFormat="1" applyFill="1" applyAlignment="1" applyProtection="1">
      <alignment horizontal="right"/>
      <protection locked="0"/>
    </xf>
    <xf numFmtId="41" fontId="9" fillId="0" borderId="0" xfId="1" applyNumberFormat="1" applyFill="1" applyAlignment="1">
      <alignment horizontal="right"/>
    </xf>
    <xf numFmtId="41" fontId="9" fillId="0" borderId="0" xfId="5" applyNumberFormat="1" applyFill="1" applyAlignment="1" applyProtection="1">
      <alignment horizontal="right"/>
      <protection locked="0"/>
    </xf>
    <xf numFmtId="0" fontId="9" fillId="0" borderId="0" xfId="1" quotePrefix="1" applyNumberFormat="1" applyFill="1" applyAlignment="1" applyProtection="1">
      <alignment horizontal="left"/>
      <protection locked="0"/>
    </xf>
    <xf numFmtId="171" fontId="9" fillId="0" borderId="10" xfId="1" applyNumberFormat="1" applyFill="1" applyBorder="1"/>
    <xf numFmtId="171" fontId="8" fillId="0" borderId="3" xfId="1" applyNumberFormat="1" applyFont="1" applyFill="1" applyBorder="1"/>
    <xf numFmtId="171" fontId="8" fillId="0" borderId="0" xfId="1" applyNumberFormat="1" applyFont="1" applyFill="1"/>
    <xf numFmtId="43" fontId="9" fillId="0" borderId="1" xfId="1" quotePrefix="1" applyFill="1" applyBorder="1" applyAlignment="1">
      <alignment horizontal="left"/>
    </xf>
    <xf numFmtId="41" fontId="9" fillId="0" borderId="0" xfId="5" applyNumberFormat="1" applyFill="1" applyAlignment="1">
      <alignment horizontal="right"/>
    </xf>
    <xf numFmtId="41" fontId="9" fillId="0" borderId="10" xfId="1" applyNumberFormat="1" applyFill="1" applyBorder="1" applyAlignment="1">
      <alignment horizontal="right"/>
    </xf>
    <xf numFmtId="171" fontId="9" fillId="0" borderId="3" xfId="1" applyNumberFormat="1" applyFill="1" applyBorder="1"/>
    <xf numFmtId="171" fontId="9" fillId="0" borderId="0" xfId="1" quotePrefix="1" applyNumberFormat="1" applyFill="1" applyAlignment="1">
      <alignment horizontal="center"/>
    </xf>
    <xf numFmtId="171" fontId="8" fillId="0" borderId="0" xfId="1" applyNumberFormat="1" applyFont="1" applyFill="1" applyAlignment="1">
      <alignment horizontal="right"/>
    </xf>
    <xf numFmtId="43" fontId="9" fillId="0" borderId="0" xfId="5" applyNumberFormat="1" applyFill="1" applyProtection="1">
      <protection locked="0"/>
    </xf>
    <xf numFmtId="41" fontId="8" fillId="0" borderId="0" xfId="1" applyNumberFormat="1" applyFont="1" applyFill="1" applyAlignment="1">
      <alignment horizontal="right"/>
    </xf>
    <xf numFmtId="43" fontId="9" fillId="0" borderId="0" xfId="1" applyFill="1" applyProtection="1">
      <protection locked="0"/>
    </xf>
    <xf numFmtId="171" fontId="8" fillId="0" borderId="10" xfId="1" applyNumberFormat="1" applyFont="1" applyFill="1" applyBorder="1" applyAlignment="1">
      <alignment horizontal="center"/>
    </xf>
    <xf numFmtId="0" fontId="8" fillId="0" borderId="0" xfId="24" applyFont="1"/>
    <xf numFmtId="41" fontId="9" fillId="0" borderId="0" xfId="13" applyNumberFormat="1" applyAlignment="1">
      <alignment horizontal="center"/>
    </xf>
    <xf numFmtId="41" fontId="8" fillId="0" borderId="0" xfId="13" applyNumberFormat="1" applyFont="1" applyAlignment="1">
      <alignment horizontal="center"/>
    </xf>
    <xf numFmtId="43" fontId="8" fillId="0" borderId="0" xfId="13" applyNumberFormat="1" applyFont="1" applyAlignment="1">
      <alignment horizontal="center"/>
    </xf>
    <xf numFmtId="37" fontId="8" fillId="0" borderId="0" xfId="1" applyNumberFormat="1" applyFont="1" applyFill="1" applyAlignment="1">
      <alignment horizontal="center"/>
    </xf>
    <xf numFmtId="0" fontId="41" fillId="0" borderId="0" xfId="24" applyFont="1"/>
    <xf numFmtId="0" fontId="41" fillId="0" borderId="0" xfId="24" quotePrefix="1" applyFont="1" applyAlignment="1">
      <alignment horizontal="left"/>
    </xf>
    <xf numFmtId="5" fontId="41" fillId="0" borderId="0" xfId="24" quotePrefix="1" applyNumberFormat="1" applyFont="1" applyAlignment="1">
      <alignment horizontal="left"/>
    </xf>
    <xf numFmtId="5" fontId="41" fillId="0" borderId="0" xfId="24" applyNumberFormat="1" applyFont="1"/>
    <xf numFmtId="41" fontId="13" fillId="0" borderId="0" xfId="1" applyNumberFormat="1" applyFont="1" applyFill="1" applyAlignment="1">
      <alignment horizontal="right"/>
    </xf>
    <xf numFmtId="0" fontId="9" fillId="0" borderId="0" xfId="5" quotePrefix="1" applyNumberFormat="1" applyFill="1" applyAlignment="1" applyProtection="1">
      <alignment horizontal="left"/>
      <protection locked="0"/>
    </xf>
    <xf numFmtId="0" fontId="9" fillId="0" borderId="0" xfId="1" applyNumberFormat="1" applyFill="1" applyProtection="1">
      <protection locked="0"/>
    </xf>
    <xf numFmtId="178" fontId="9" fillId="0" borderId="0" xfId="1" applyNumberFormat="1" applyFill="1" applyProtection="1">
      <protection locked="0"/>
    </xf>
    <xf numFmtId="178" fontId="9" fillId="0" borderId="0" xfId="1" applyNumberFormat="1" applyFill="1"/>
    <xf numFmtId="0" fontId="8" fillId="0" borderId="0" xfId="5" applyNumberFormat="1" applyFont="1" applyFill="1" applyProtection="1">
      <protection locked="0"/>
    </xf>
    <xf numFmtId="171" fontId="9" fillId="0" borderId="0" xfId="1" applyNumberFormat="1" applyFill="1" applyProtection="1">
      <protection locked="0"/>
    </xf>
    <xf numFmtId="0" fontId="8" fillId="0" borderId="0" xfId="24" quotePrefix="1" applyFont="1" applyAlignment="1">
      <alignment horizontal="left"/>
    </xf>
    <xf numFmtId="43" fontId="9" fillId="0" borderId="0" xfId="1" applyFont="1" applyFill="1" applyAlignment="1">
      <alignment horizontal="right"/>
    </xf>
    <xf numFmtId="0" fontId="9" fillId="0" borderId="0" xfId="24" quotePrefix="1" applyAlignment="1">
      <alignment horizontal="left"/>
    </xf>
    <xf numFmtId="171" fontId="9" fillId="0" borderId="0" xfId="1" applyNumberFormat="1" applyFont="1" applyFill="1" applyAlignment="1">
      <alignment horizontal="right"/>
    </xf>
    <xf numFmtId="41" fontId="9" fillId="0" borderId="0" xfId="1" applyNumberFormat="1" applyFont="1" applyFill="1" applyAlignment="1">
      <alignment horizontal="right"/>
    </xf>
    <xf numFmtId="0" fontId="20" fillId="0" borderId="0" xfId="14" applyFont="1" applyAlignment="1">
      <alignment wrapText="1"/>
    </xf>
    <xf numFmtId="0" fontId="9" fillId="0" borderId="0" xfId="1" applyNumberFormat="1" applyFill="1" applyAlignment="1" applyProtection="1">
      <alignment horizontal="left"/>
      <protection locked="0"/>
    </xf>
    <xf numFmtId="0" fontId="47" fillId="0" borderId="0" xfId="0" applyFont="1"/>
    <xf numFmtId="37" fontId="38" fillId="0" borderId="0" xfId="0" applyNumberFormat="1" applyFont="1" applyAlignment="1">
      <alignment vertical="center"/>
    </xf>
    <xf numFmtId="43" fontId="9" fillId="0" borderId="1" xfId="1" applyFill="1" applyBorder="1"/>
    <xf numFmtId="43" fontId="9" fillId="0" borderId="0" xfId="1" quotePrefix="1" applyFill="1" applyAlignment="1">
      <alignment horizontal="center"/>
    </xf>
    <xf numFmtId="43" fontId="9" fillId="0" borderId="0" xfId="1" applyFill="1" applyAlignment="1">
      <alignment horizontal="center"/>
    </xf>
    <xf numFmtId="43" fontId="9" fillId="0" borderId="1" xfId="1" applyFill="1" applyBorder="1" applyAlignment="1">
      <alignment horizontal="center"/>
    </xf>
    <xf numFmtId="178" fontId="9" fillId="0" borderId="0" xfId="5" applyNumberFormat="1" applyFill="1"/>
    <xf numFmtId="178" fontId="16" fillId="0" borderId="0" xfId="5" applyNumberFormat="1" applyFont="1" applyFill="1"/>
    <xf numFmtId="171" fontId="35" fillId="0" borderId="0" xfId="1" applyNumberFormat="1" applyFont="1" applyFill="1" applyProtection="1">
      <protection locked="0"/>
    </xf>
    <xf numFmtId="178" fontId="16" fillId="0" borderId="0" xfId="5" quotePrefix="1" applyNumberFormat="1" applyFont="1" applyFill="1" applyAlignment="1">
      <alignment horizontal="center"/>
    </xf>
    <xf numFmtId="171" fontId="37" fillId="0" borderId="0" xfId="1" applyNumberFormat="1" applyFont="1" applyFill="1"/>
    <xf numFmtId="171" fontId="37" fillId="0" borderId="0" xfId="1" applyNumberFormat="1" applyFont="1" applyFill="1" applyProtection="1">
      <protection locked="0"/>
    </xf>
    <xf numFmtId="178" fontId="16" fillId="0" borderId="0" xfId="5" quotePrefix="1" applyNumberFormat="1" applyFont="1" applyFill="1" applyAlignment="1">
      <alignment horizontal="left"/>
    </xf>
    <xf numFmtId="37" fontId="16" fillId="0" borderId="0" xfId="1" applyNumberFormat="1" applyFont="1" applyFill="1"/>
    <xf numFmtId="0" fontId="9" fillId="0" borderId="0" xfId="24" applyAlignment="1">
      <alignment horizontal="center"/>
    </xf>
    <xf numFmtId="0" fontId="9" fillId="0" borderId="0" xfId="24"/>
    <xf numFmtId="171" fontId="35" fillId="0" borderId="10" xfId="1" applyNumberFormat="1" applyFont="1" applyFill="1" applyBorder="1" applyProtection="1">
      <protection locked="0"/>
    </xf>
    <xf numFmtId="37" fontId="9" fillId="0" borderId="0" xfId="1" applyNumberFormat="1" applyFill="1"/>
    <xf numFmtId="43" fontId="35" fillId="0" borderId="0" xfId="1" applyFont="1" applyFill="1" applyProtection="1">
      <protection locked="0"/>
    </xf>
    <xf numFmtId="37" fontId="9" fillId="0" borderId="1" xfId="1" applyNumberFormat="1" applyFill="1" applyBorder="1" applyAlignment="1">
      <alignment horizontal="center"/>
    </xf>
    <xf numFmtId="37" fontId="9" fillId="0" borderId="1" xfId="1" applyNumberFormat="1" applyFill="1" applyBorder="1" applyAlignment="1" applyProtection="1">
      <alignment horizontal="center"/>
      <protection locked="0"/>
    </xf>
    <xf numFmtId="171" fontId="16" fillId="0" borderId="10" xfId="1" applyNumberFormat="1" applyFont="1" applyFill="1" applyBorder="1"/>
    <xf numFmtId="37" fontId="9" fillId="0" borderId="0" xfId="5" applyNumberFormat="1" applyFill="1"/>
    <xf numFmtId="171" fontId="9" fillId="0" borderId="8" xfId="1" applyNumberFormat="1" applyFill="1" applyBorder="1" applyAlignment="1">
      <alignment horizontal="center"/>
    </xf>
    <xf numFmtId="171" fontId="34" fillId="0" borderId="0" xfId="1" applyNumberFormat="1" applyFont="1" applyFill="1" applyAlignment="1">
      <alignment horizontal="center"/>
    </xf>
    <xf numFmtId="171" fontId="9" fillId="0" borderId="1" xfId="1" applyNumberFormat="1" applyFill="1" applyBorder="1"/>
    <xf numFmtId="0" fontId="8" fillId="0" borderId="0" xfId="1" applyNumberFormat="1" applyFont="1" applyFill="1" applyProtection="1">
      <protection locked="0"/>
    </xf>
    <xf numFmtId="0" fontId="9" fillId="0" borderId="0" xfId="5" applyNumberFormat="1" applyFill="1" applyProtection="1">
      <protection locked="0"/>
    </xf>
    <xf numFmtId="171" fontId="8" fillId="0" borderId="0" xfId="1" applyNumberFormat="1" applyFont="1" applyFill="1" applyProtection="1">
      <protection locked="0"/>
    </xf>
    <xf numFmtId="171" fontId="9" fillId="0" borderId="0" xfId="1" applyNumberFormat="1" applyFill="1" applyBorder="1" applyAlignment="1">
      <alignment horizontal="right"/>
    </xf>
    <xf numFmtId="171" fontId="16" fillId="0" borderId="1" xfId="1" applyNumberFormat="1" applyFont="1" applyFill="1" applyBorder="1"/>
    <xf numFmtId="178" fontId="9" fillId="0" borderId="0" xfId="5" applyNumberFormat="1" applyProtection="1">
      <protection locked="0"/>
    </xf>
    <xf numFmtId="4" fontId="9" fillId="0" borderId="0" xfId="1" applyNumberFormat="1"/>
    <xf numFmtId="171" fontId="9" fillId="0" borderId="0" xfId="1" applyNumberFormat="1" applyAlignment="1">
      <alignment horizontal="right"/>
    </xf>
    <xf numFmtId="171" fontId="9" fillId="0" borderId="0" xfId="1" applyNumberFormat="1" applyAlignment="1">
      <alignment horizontal="center"/>
    </xf>
    <xf numFmtId="171" fontId="9" fillId="0" borderId="8" xfId="1" applyNumberFormat="1" applyBorder="1"/>
    <xf numFmtId="171" fontId="9" fillId="0" borderId="10" xfId="1" applyNumberFormat="1" applyBorder="1" applyAlignment="1">
      <alignment horizontal="right"/>
    </xf>
    <xf numFmtId="171" fontId="9" fillId="0" borderId="0" xfId="1" applyNumberFormat="1" applyFill="1" applyAlignment="1" applyProtection="1">
      <alignment horizontal="right"/>
      <protection locked="0"/>
    </xf>
    <xf numFmtId="171" fontId="9" fillId="0" borderId="0" xfId="1" applyNumberFormat="1" applyAlignment="1" applyProtection="1">
      <alignment horizontal="right"/>
      <protection locked="0"/>
    </xf>
    <xf numFmtId="0" fontId="9" fillId="0" borderId="0" xfId="1" quotePrefix="1" applyNumberFormat="1" applyAlignment="1" applyProtection="1">
      <alignment horizontal="left"/>
      <protection locked="0"/>
    </xf>
    <xf numFmtId="171" fontId="9" fillId="0" borderId="10" xfId="1" applyNumberFormat="1" applyBorder="1"/>
    <xf numFmtId="171" fontId="8" fillId="0" borderId="3" xfId="1" applyNumberFormat="1" applyFont="1" applyBorder="1"/>
    <xf numFmtId="43" fontId="9" fillId="0" borderId="1" xfId="1" quotePrefix="1" applyBorder="1" applyAlignment="1">
      <alignment horizontal="left"/>
    </xf>
    <xf numFmtId="179" fontId="9" fillId="0" borderId="0" xfId="1" applyNumberFormat="1" applyFill="1" applyAlignment="1">
      <alignment horizontal="center"/>
    </xf>
    <xf numFmtId="179" fontId="9" fillId="0" borderId="0" xfId="1" applyNumberFormat="1" applyAlignment="1">
      <alignment horizontal="right"/>
    </xf>
    <xf numFmtId="179" fontId="9" fillId="0" borderId="0" xfId="1" applyNumberFormat="1" applyAlignment="1">
      <alignment horizontal="center"/>
    </xf>
    <xf numFmtId="179" fontId="9" fillId="0" borderId="0" xfId="1" applyNumberFormat="1"/>
    <xf numFmtId="179" fontId="9" fillId="0" borderId="10" xfId="1" applyNumberFormat="1" applyFill="1" applyBorder="1" applyAlignment="1">
      <alignment horizontal="right"/>
    </xf>
    <xf numFmtId="179" fontId="9" fillId="0" borderId="10" xfId="1" applyNumberFormat="1" applyBorder="1" applyAlignment="1">
      <alignment horizontal="right"/>
    </xf>
    <xf numFmtId="179" fontId="9" fillId="0" borderId="0" xfId="1" applyNumberFormat="1" applyFill="1"/>
    <xf numFmtId="179" fontId="9" fillId="0" borderId="0" xfId="1" applyNumberFormat="1" applyFill="1" applyAlignment="1">
      <alignment horizontal="right"/>
    </xf>
    <xf numFmtId="179" fontId="9" fillId="0" borderId="0" xfId="1" applyNumberFormat="1" applyAlignment="1" applyProtection="1">
      <alignment horizontal="right"/>
      <protection locked="0"/>
    </xf>
    <xf numFmtId="41" fontId="9" fillId="0" borderId="0" xfId="1" applyNumberFormat="1" applyAlignment="1">
      <alignment horizontal="right"/>
    </xf>
    <xf numFmtId="171" fontId="9" fillId="0" borderId="0" xfId="1" quotePrefix="1" applyNumberFormat="1" applyAlignment="1">
      <alignment horizontal="center"/>
    </xf>
    <xf numFmtId="171" fontId="8" fillId="0" borderId="0" xfId="1" applyNumberFormat="1" applyFont="1" applyAlignment="1">
      <alignment horizontal="right"/>
    </xf>
    <xf numFmtId="43" fontId="9" fillId="0" borderId="0" xfId="1" applyAlignment="1">
      <alignment horizontal="right"/>
    </xf>
    <xf numFmtId="171" fontId="9" fillId="0" borderId="0" xfId="1" applyNumberFormat="1" applyProtection="1">
      <protection locked="0"/>
    </xf>
    <xf numFmtId="171" fontId="8" fillId="0" borderId="10" xfId="1" applyNumberFormat="1" applyFont="1" applyBorder="1" applyAlignment="1">
      <alignment horizontal="center"/>
    </xf>
    <xf numFmtId="171" fontId="16" fillId="0" borderId="0" xfId="1" applyNumberFormat="1" applyFont="1"/>
    <xf numFmtId="171" fontId="8" fillId="0" borderId="0" xfId="1" applyNumberFormat="1" applyFont="1" applyAlignment="1">
      <alignment horizontal="center"/>
    </xf>
    <xf numFmtId="0" fontId="41" fillId="0" borderId="0" xfId="24" applyFont="1" applyProtection="1">
      <protection locked="0"/>
    </xf>
    <xf numFmtId="37" fontId="8" fillId="0" borderId="0" xfId="1" applyNumberFormat="1" applyFont="1" applyAlignment="1">
      <alignment horizontal="center"/>
    </xf>
    <xf numFmtId="0" fontId="9" fillId="0" borderId="0" xfId="5" quotePrefix="1" applyNumberFormat="1" applyAlignment="1" applyProtection="1">
      <alignment horizontal="left"/>
      <protection locked="0"/>
    </xf>
    <xf numFmtId="0" fontId="9" fillId="0" borderId="0" xfId="1" applyNumberFormat="1" applyProtection="1">
      <protection locked="0"/>
    </xf>
    <xf numFmtId="178" fontId="9" fillId="0" borderId="0" xfId="1" applyNumberFormat="1" applyProtection="1">
      <protection locked="0"/>
    </xf>
    <xf numFmtId="178" fontId="9" fillId="0" borderId="0" xfId="1" applyNumberFormat="1"/>
    <xf numFmtId="0" fontId="8" fillId="0" borderId="0" xfId="5" applyNumberFormat="1" applyFont="1" applyProtection="1">
      <protection locked="0"/>
    </xf>
    <xf numFmtId="0" fontId="9" fillId="0" borderId="0" xfId="1" applyNumberFormat="1" applyAlignment="1" applyProtection="1">
      <alignment horizontal="left"/>
      <protection locked="0"/>
    </xf>
    <xf numFmtId="171" fontId="16" fillId="6" borderId="0" xfId="1" applyNumberFormat="1" applyFont="1" applyFill="1"/>
    <xf numFmtId="171" fontId="16" fillId="0" borderId="8" xfId="1" applyNumberFormat="1" applyFont="1" applyBorder="1"/>
    <xf numFmtId="171" fontId="9" fillId="0" borderId="7" xfId="1" applyNumberFormat="1" applyFill="1" applyBorder="1"/>
    <xf numFmtId="171" fontId="9" fillId="0" borderId="7" xfId="1" applyNumberFormat="1" applyBorder="1"/>
    <xf numFmtId="0" fontId="9" fillId="4" borderId="0" xfId="13" applyFill="1" applyAlignment="1">
      <alignment horizontal="center"/>
    </xf>
    <xf numFmtId="171" fontId="32" fillId="0" borderId="0" xfId="1" applyNumberFormat="1" applyFont="1" applyFill="1" applyAlignment="1">
      <alignment horizontal="center"/>
    </xf>
    <xf numFmtId="37" fontId="16" fillId="0" borderId="1" xfId="1" applyNumberFormat="1" applyFont="1" applyFill="1" applyBorder="1"/>
    <xf numFmtId="14" fontId="8" fillId="0" borderId="1" xfId="0" quotePrefix="1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Continuous" vertical="center"/>
    </xf>
    <xf numFmtId="0" fontId="8" fillId="0" borderId="0" xfId="0" applyFont="1" applyFill="1" applyAlignment="1">
      <alignment horizontal="center" vertical="center"/>
    </xf>
    <xf numFmtId="38" fontId="8" fillId="0" borderId="0" xfId="9" applyNumberFormat="1" applyFont="1" applyFill="1" applyAlignment="1">
      <alignment horizontal="center" vertical="center"/>
    </xf>
    <xf numFmtId="167" fontId="17" fillId="0" borderId="0" xfId="0" applyNumberFormat="1" applyFont="1" applyFill="1" applyAlignment="1">
      <alignment horizontal="center" vertical="center"/>
    </xf>
    <xf numFmtId="43" fontId="9" fillId="0" borderId="0" xfId="1" applyFont="1" applyFill="1" applyAlignment="1">
      <alignment vertical="center"/>
    </xf>
    <xf numFmtId="0" fontId="8" fillId="0" borderId="3" xfId="0" quotePrefix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71" fontId="27" fillId="0" borderId="0" xfId="1" applyNumberFormat="1" applyFont="1" applyFill="1" applyAlignment="1">
      <alignment horizontal="center" vertical="center"/>
    </xf>
    <xf numFmtId="39" fontId="19" fillId="0" borderId="0" xfId="9" applyNumberFormat="1" applyFont="1" applyFill="1" applyAlignment="1">
      <alignment horizontal="centerContinuous" vertical="center"/>
    </xf>
    <xf numFmtId="39" fontId="19" fillId="4" borderId="0" xfId="9" applyNumberFormat="1" applyFont="1" applyFill="1" applyAlignment="1">
      <alignment vertical="center"/>
    </xf>
    <xf numFmtId="174" fontId="8" fillId="0" borderId="0" xfId="9" applyNumberFormat="1" applyFont="1" applyFill="1" applyAlignment="1">
      <alignment horizontal="left" vertical="center"/>
    </xf>
    <xf numFmtId="39" fontId="8" fillId="0" borderId="0" xfId="9" applyNumberFormat="1" applyFont="1" applyFill="1" applyAlignment="1">
      <alignment horizontal="left" vertical="center"/>
    </xf>
    <xf numFmtId="174" fontId="8" fillId="0" borderId="0" xfId="9" applyNumberFormat="1" applyFont="1" applyFill="1" applyAlignment="1">
      <alignment vertical="center"/>
    </xf>
    <xf numFmtId="37" fontId="8" fillId="0" borderId="0" xfId="9" applyNumberFormat="1" applyFont="1" applyFill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quotePrefix="1" applyFont="1" applyFill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64" fontId="8" fillId="0" borderId="3" xfId="9" applyNumberFormat="1" applyFont="1" applyFill="1" applyBorder="1" applyAlignment="1">
      <alignment horizontal="center" vertical="center"/>
    </xf>
    <xf numFmtId="173" fontId="17" fillId="0" borderId="0" xfId="9" applyNumberFormat="1" applyFont="1" applyFill="1" applyAlignment="1">
      <alignment horizontal="center" vertical="center"/>
    </xf>
    <xf numFmtId="172" fontId="17" fillId="0" borderId="0" xfId="9" applyNumberFormat="1" applyFont="1" applyFill="1" applyAlignment="1">
      <alignment horizontal="center" vertical="center"/>
    </xf>
    <xf numFmtId="173" fontId="8" fillId="0" borderId="0" xfId="9" applyNumberFormat="1" applyFont="1" applyFill="1" applyAlignment="1">
      <alignment horizontal="center" vertical="center"/>
    </xf>
    <xf numFmtId="172" fontId="8" fillId="0" borderId="0" xfId="9" applyNumberFormat="1" applyFont="1" applyFill="1" applyAlignment="1">
      <alignment horizontal="center" vertical="center"/>
    </xf>
    <xf numFmtId="173" fontId="8" fillId="0" borderId="3" xfId="9" applyNumberFormat="1" applyFont="1" applyFill="1" applyBorder="1" applyAlignment="1">
      <alignment horizontal="center" vertical="center"/>
    </xf>
    <xf numFmtId="172" fontId="8" fillId="0" borderId="3" xfId="9" applyNumberFormat="1" applyFont="1" applyFill="1" applyBorder="1" applyAlignment="1">
      <alignment horizontal="center" vertical="center"/>
    </xf>
    <xf numFmtId="39" fontId="9" fillId="0" borderId="0" xfId="9" applyNumberFormat="1" applyFont="1" applyFill="1" applyAlignment="1">
      <alignment horizontal="right" vertical="center"/>
    </xf>
    <xf numFmtId="174" fontId="9" fillId="0" borderId="2" xfId="9" applyNumberFormat="1" applyFont="1" applyFill="1" applyBorder="1" applyAlignment="1">
      <alignment horizontal="right" vertical="center"/>
    </xf>
    <xf numFmtId="0" fontId="8" fillId="0" borderId="2" xfId="9" applyNumberFormat="1" applyFont="1" applyFill="1" applyBorder="1" applyAlignment="1">
      <alignment horizontal="right" vertical="center"/>
    </xf>
    <xf numFmtId="173" fontId="8" fillId="0" borderId="2" xfId="9" applyNumberFormat="1" applyFont="1" applyFill="1" applyBorder="1" applyAlignment="1">
      <alignment horizontal="center" vertical="center"/>
    </xf>
    <xf numFmtId="172" fontId="8" fillId="0" borderId="2" xfId="9" applyNumberFormat="1" applyFont="1" applyFill="1" applyBorder="1" applyAlignment="1">
      <alignment horizontal="center" vertical="center"/>
    </xf>
    <xf numFmtId="39" fontId="8" fillId="0" borderId="0" xfId="9" quotePrefix="1" applyNumberFormat="1" applyFont="1" applyFill="1" applyBorder="1" applyAlignment="1">
      <alignment horizontal="center" vertical="center"/>
    </xf>
    <xf numFmtId="171" fontId="17" fillId="0" borderId="0" xfId="1" applyNumberFormat="1" applyFont="1" applyFill="1" applyAlignment="1">
      <alignment horizontal="right" vertical="center"/>
    </xf>
    <xf numFmtId="0" fontId="9" fillId="0" borderId="2" xfId="9" applyNumberFormat="1" applyFont="1" applyFill="1" applyBorder="1" applyAlignment="1">
      <alignment horizontal="right" vertical="center"/>
    </xf>
    <xf numFmtId="0" fontId="8" fillId="0" borderId="2" xfId="9" applyNumberFormat="1" applyFont="1" applyFill="1" applyBorder="1" applyAlignment="1">
      <alignment horizontal="left" vertical="center"/>
    </xf>
    <xf numFmtId="171" fontId="27" fillId="0" borderId="0" xfId="1" applyNumberFormat="1" applyFont="1" applyFill="1"/>
    <xf numFmtId="39" fontId="8" fillId="0" borderId="0" xfId="9" applyNumberFormat="1" applyFont="1" applyFill="1" applyAlignment="1">
      <alignment horizontal="right" vertical="center"/>
    </xf>
    <xf numFmtId="171" fontId="19" fillId="0" borderId="0" xfId="9" applyNumberFormat="1" applyFont="1" applyFill="1" applyAlignment="1">
      <alignment horizontal="centerContinuous" vertical="center"/>
    </xf>
    <xf numFmtId="37" fontId="19" fillId="0" borderId="0" xfId="9" applyNumberFormat="1" applyFont="1" applyFill="1" applyAlignment="1">
      <alignment horizontal="centerContinuous" vertical="center"/>
    </xf>
    <xf numFmtId="0" fontId="19" fillId="0" borderId="0" xfId="9" applyNumberFormat="1" applyFont="1" applyFill="1" applyAlignment="1">
      <alignment horizontal="centerContinuous" vertical="center"/>
    </xf>
    <xf numFmtId="0" fontId="8" fillId="0" borderId="0" xfId="9" applyNumberFormat="1" applyFont="1" applyFill="1" applyAlignment="1">
      <alignment vertical="center"/>
    </xf>
    <xf numFmtId="171" fontId="8" fillId="0" borderId="0" xfId="9" applyNumberFormat="1" applyFont="1" applyFill="1" applyAlignment="1">
      <alignment vertical="center"/>
    </xf>
    <xf numFmtId="39" fontId="8" fillId="4" borderId="0" xfId="9" applyNumberFormat="1" applyFont="1" applyFill="1" applyAlignment="1">
      <alignment vertical="center"/>
    </xf>
    <xf numFmtId="0" fontId="8" fillId="0" borderId="0" xfId="9" applyNumberFormat="1" applyFont="1" applyFill="1" applyAlignment="1">
      <alignment horizontal="center" vertical="center"/>
    </xf>
    <xf numFmtId="0" fontId="8" fillId="0" borderId="1" xfId="9" applyNumberFormat="1" applyFont="1" applyFill="1" applyBorder="1" applyAlignment="1">
      <alignment horizontal="centerContinuous" vertical="center"/>
    </xf>
    <xf numFmtId="39" fontId="8" fillId="0" borderId="0" xfId="9" quotePrefix="1" applyNumberFormat="1" applyFont="1" applyFill="1" applyAlignment="1">
      <alignment horizontal="center" vertical="center"/>
    </xf>
    <xf numFmtId="37" fontId="8" fillId="0" borderId="0" xfId="9" applyNumberFormat="1" applyFont="1" applyFill="1" applyAlignment="1">
      <alignment horizontal="center" vertical="center"/>
    </xf>
    <xf numFmtId="171" fontId="8" fillId="0" borderId="0" xfId="9" applyNumberFormat="1" applyFont="1" applyFill="1" applyAlignment="1">
      <alignment horizontal="center" vertical="center"/>
    </xf>
    <xf numFmtId="38" fontId="8" fillId="0" borderId="3" xfId="9" applyNumberFormat="1" applyFont="1" applyFill="1" applyBorder="1" applyAlignment="1">
      <alignment horizontal="center" vertical="center"/>
    </xf>
    <xf numFmtId="37" fontId="8" fillId="0" borderId="3" xfId="9" applyNumberFormat="1" applyFont="1" applyFill="1" applyBorder="1" applyAlignment="1">
      <alignment horizontal="center" vertical="center"/>
    </xf>
    <xf numFmtId="166" fontId="9" fillId="0" borderId="0" xfId="10" applyNumberFormat="1" applyFont="1" applyFill="1" applyAlignment="1">
      <alignment horizontal="center" vertical="center"/>
    </xf>
    <xf numFmtId="179" fontId="9" fillId="0" borderId="0" xfId="1" applyNumberFormat="1" applyFont="1" applyFill="1" applyAlignment="1">
      <alignment vertical="center"/>
    </xf>
    <xf numFmtId="174" fontId="8" fillId="0" borderId="4" xfId="9" applyNumberFormat="1" applyFont="1" applyFill="1" applyBorder="1" applyAlignment="1">
      <alignment horizontal="center" vertical="center"/>
    </xf>
    <xf numFmtId="167" fontId="8" fillId="0" borderId="2" xfId="9" applyNumberFormat="1" applyFont="1" applyFill="1" applyBorder="1" applyAlignment="1">
      <alignment horizontal="center" vertical="center"/>
    </xf>
    <xf numFmtId="39" fontId="9" fillId="0" borderId="0" xfId="9" quotePrefix="1" applyNumberFormat="1" applyFont="1" applyFill="1" applyAlignment="1">
      <alignment horizontal="center" vertical="center"/>
    </xf>
    <xf numFmtId="164" fontId="8" fillId="0" borderId="2" xfId="9" applyNumberFormat="1" applyFont="1" applyFill="1" applyBorder="1" applyAlignment="1">
      <alignment horizontal="center" vertical="center"/>
    </xf>
    <xf numFmtId="167" fontId="9" fillId="0" borderId="0" xfId="0" applyNumberFormat="1" applyFont="1" applyFill="1" applyAlignment="1">
      <alignment horizontal="center" vertical="center"/>
    </xf>
    <xf numFmtId="164" fontId="8" fillId="0" borderId="0" xfId="9" applyNumberFormat="1" applyFont="1" applyFill="1" applyAlignment="1">
      <alignment vertical="center"/>
    </xf>
    <xf numFmtId="0" fontId="8" fillId="0" borderId="0" xfId="9" quotePrefix="1" applyNumberFormat="1" applyFont="1" applyFill="1" applyAlignment="1">
      <alignment horizontal="center" vertical="center"/>
    </xf>
    <xf numFmtId="39" fontId="8" fillId="0" borderId="6" xfId="9" applyNumberFormat="1" applyFont="1" applyFill="1" applyBorder="1" applyAlignment="1">
      <alignment horizontal="center" vertical="center"/>
    </xf>
    <xf numFmtId="177" fontId="8" fillId="0" borderId="3" xfId="9" quotePrefix="1" applyNumberFormat="1" applyFont="1" applyFill="1" applyBorder="1" applyAlignment="1">
      <alignment horizontal="center" vertical="center"/>
    </xf>
    <xf numFmtId="39" fontId="8" fillId="0" borderId="1" xfId="9" applyNumberFormat="1" applyFont="1" applyFill="1" applyBorder="1" applyAlignment="1">
      <alignment horizontal="center" vertical="center"/>
    </xf>
    <xf numFmtId="181" fontId="9" fillId="0" borderId="0" xfId="9" applyNumberFormat="1" applyFont="1" applyFill="1" applyAlignment="1">
      <alignment horizontal="center" vertical="center"/>
    </xf>
    <xf numFmtId="37" fontId="17" fillId="0" borderId="0" xfId="9" applyNumberFormat="1" applyFont="1" applyFill="1" applyAlignment="1">
      <alignment horizontal="center" vertical="center"/>
    </xf>
    <xf numFmtId="181" fontId="17" fillId="0" borderId="0" xfId="9" applyNumberFormat="1" applyFont="1" applyFill="1" applyAlignment="1">
      <alignment horizontal="center" vertical="center"/>
    </xf>
    <xf numFmtId="174" fontId="9" fillId="0" borderId="0" xfId="9" quotePrefix="1" applyNumberFormat="1" applyFont="1" applyFill="1" applyAlignment="1">
      <alignment horizontal="center" vertical="center"/>
    </xf>
    <xf numFmtId="174" fontId="9" fillId="0" borderId="0" xfId="9" applyNumberFormat="1" applyFont="1" applyFill="1" applyAlignment="1">
      <alignment horizontal="left" vertical="center"/>
    </xf>
    <xf numFmtId="174" fontId="9" fillId="0" borderId="0" xfId="9" quotePrefix="1" applyNumberFormat="1" applyFont="1" applyFill="1" applyAlignment="1">
      <alignment horizontal="fill" vertical="center"/>
    </xf>
    <xf numFmtId="0" fontId="9" fillId="0" borderId="0" xfId="0" applyFont="1" applyFill="1"/>
    <xf numFmtId="39" fontId="9" fillId="0" borderId="0" xfId="9" applyFont="1" applyFill="1" applyAlignment="1">
      <alignment horizontal="center" vertical="center"/>
    </xf>
    <xf numFmtId="0" fontId="8" fillId="0" borderId="0" xfId="0" quotePrefix="1" applyFont="1" applyFill="1" applyAlignment="1">
      <alignment horizontal="center" vertical="center" wrapText="1"/>
    </xf>
    <xf numFmtId="167" fontId="8" fillId="0" borderId="0" xfId="0" applyNumberFormat="1" applyFont="1" applyFill="1" applyAlignment="1">
      <alignment horizontal="center" vertical="center"/>
    </xf>
    <xf numFmtId="0" fontId="9" fillId="0" borderId="0" xfId="0" quotePrefix="1" applyFont="1" applyFill="1" applyAlignment="1">
      <alignment horizontal="left" vertical="center"/>
    </xf>
    <xf numFmtId="39" fontId="19" fillId="0" borderId="0" xfId="9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39" fontId="8" fillId="0" borderId="0" xfId="0" applyNumberFormat="1" applyFont="1" applyFill="1" applyAlignment="1">
      <alignment horizontal="center" vertical="center"/>
    </xf>
    <xf numFmtId="171" fontId="9" fillId="0" borderId="10" xfId="0" applyNumberFormat="1" applyFont="1" applyFill="1" applyBorder="1"/>
    <xf numFmtId="39" fontId="9" fillId="0" borderId="0" xfId="1" applyNumberFormat="1" applyFont="1" applyFill="1" applyAlignment="1">
      <alignment horizontal="center" vertical="center"/>
    </xf>
    <xf numFmtId="171" fontId="9" fillId="0" borderId="0" xfId="0" applyNumberFormat="1" applyFont="1" applyFill="1"/>
    <xf numFmtId="171" fontId="9" fillId="0" borderId="10" xfId="1" applyNumberFormat="1" applyFont="1" applyFill="1" applyBorder="1" applyAlignment="1">
      <alignment vertical="center"/>
    </xf>
    <xf numFmtId="0" fontId="9" fillId="0" borderId="0" xfId="0" applyFont="1" applyFill="1" applyAlignment="1">
      <alignment horizontal="right"/>
    </xf>
    <xf numFmtId="0" fontId="9" fillId="0" borderId="0" xfId="0" applyNumberFormat="1" applyFont="1" applyFill="1" applyAlignment="1">
      <alignment horizontal="right"/>
    </xf>
    <xf numFmtId="182" fontId="9" fillId="0" borderId="0" xfId="0" applyNumberFormat="1" applyFont="1" applyFill="1" applyAlignment="1">
      <alignment horizontal="right"/>
    </xf>
    <xf numFmtId="14" fontId="8" fillId="0" borderId="1" xfId="0" quotePrefix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Continuous"/>
    </xf>
    <xf numFmtId="0" fontId="9" fillId="0" borderId="0" xfId="0" applyFont="1" applyFill="1" applyAlignment="1">
      <alignment horizontal="center"/>
    </xf>
    <xf numFmtId="0" fontId="9" fillId="0" borderId="0" xfId="0" quotePrefix="1" applyFont="1" applyFill="1" applyAlignment="1">
      <alignment horizontal="center" vertical="top"/>
    </xf>
    <xf numFmtId="0" fontId="9" fillId="0" borderId="0" xfId="0" quotePrefix="1" applyFont="1" applyAlignment="1">
      <alignment horizontal="center" vertical="top"/>
    </xf>
    <xf numFmtId="0" fontId="9" fillId="0" borderId="5" xfId="0" applyFont="1" applyBorder="1" applyAlignment="1">
      <alignment horizontal="center"/>
    </xf>
    <xf numFmtId="164" fontId="9" fillId="0" borderId="0" xfId="0" quotePrefix="1" applyNumberFormat="1" applyFont="1" applyAlignment="1">
      <alignment horizontal="center"/>
    </xf>
    <xf numFmtId="164" fontId="9" fillId="0" borderId="5" xfId="0" applyNumberFormat="1" applyFont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0" fontId="9" fillId="7" borderId="0" xfId="0" applyFont="1" applyFill="1" applyAlignment="1">
      <alignment horizontal="center"/>
    </xf>
    <xf numFmtId="171" fontId="49" fillId="10" borderId="0" xfId="1" applyNumberFormat="1" applyFont="1" applyFill="1" applyAlignment="1">
      <alignment vertical="center"/>
    </xf>
    <xf numFmtId="0" fontId="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8" fillId="0" borderId="1" xfId="0" quotePrefix="1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8" fillId="0" borderId="3" xfId="0" applyFont="1" applyBorder="1" applyAlignment="1">
      <alignment horizontal="center"/>
    </xf>
    <xf numFmtId="14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3" xfId="0" applyFont="1" applyFill="1" applyBorder="1" applyAlignment="1">
      <alignment horizontal="center"/>
    </xf>
    <xf numFmtId="14" fontId="8" fillId="0" borderId="3" xfId="0" applyNumberFormat="1" applyFont="1" applyFill="1" applyBorder="1" applyAlignment="1">
      <alignment horizontal="center"/>
    </xf>
    <xf numFmtId="0" fontId="48" fillId="0" borderId="0" xfId="0" quotePrefix="1" applyFont="1" applyFill="1" applyAlignment="1">
      <alignment horizontal="center"/>
    </xf>
    <xf numFmtId="0" fontId="8" fillId="0" borderId="0" xfId="0" applyFont="1" applyAlignment="1">
      <alignment horizontal="center"/>
    </xf>
    <xf numFmtId="0" fontId="48" fillId="0" borderId="0" xfId="0" quotePrefix="1" applyFont="1" applyAlignment="1">
      <alignment horizontal="center"/>
    </xf>
    <xf numFmtId="14" fontId="8" fillId="0" borderId="3" xfId="0" applyNumberFormat="1" applyFont="1" applyBorder="1" applyAlignment="1">
      <alignment horizontal="center"/>
    </xf>
  </cellXfs>
  <cellStyles count="25">
    <cellStyle name="Comma" xfId="1" builtinId="3"/>
    <cellStyle name="Comma 2" xfId="2" xr:uid="{00000000-0005-0000-0000-000001000000}"/>
    <cellStyle name="Comma 2 2" xfId="3" xr:uid="{00000000-0005-0000-0000-000002000000}"/>
    <cellStyle name="Comma 3" xfId="4" xr:uid="{00000000-0005-0000-0000-000003000000}"/>
    <cellStyle name="Comma 4" xfId="16" xr:uid="{00000000-0005-0000-0000-000004000000}"/>
    <cellStyle name="Currency" xfId="5" builtinId="4"/>
    <cellStyle name="Normal" xfId="0" builtinId="0"/>
    <cellStyle name="Normal 2" xfId="6" xr:uid="{00000000-0005-0000-0000-000007000000}"/>
    <cellStyle name="Normal 2 2 6" xfId="13" xr:uid="{00000000-0005-0000-0000-000008000000}"/>
    <cellStyle name="Normal 2 2 6 4 5" xfId="24" xr:uid="{F18293A4-63F8-483C-8572-F4E75ED9027B}"/>
    <cellStyle name="Normal 3" xfId="7" xr:uid="{00000000-0005-0000-0000-000009000000}"/>
    <cellStyle name="Normal 3 2" xfId="8" xr:uid="{00000000-0005-0000-0000-00000A000000}"/>
    <cellStyle name="Normal 4" xfId="15" xr:uid="{00000000-0005-0000-0000-00000B000000}"/>
    <cellStyle name="Normal 4 2" xfId="23" xr:uid="{2B62195D-A9AD-43BE-9BA3-D7124242B3A7}"/>
    <cellStyle name="Normal 5" xfId="17" xr:uid="{00000000-0005-0000-0000-00000C000000}"/>
    <cellStyle name="Normal_2003 Depreciation Study Summary - Updated for 2003 Actuals" xfId="9" xr:uid="{00000000-0005-0000-0000-00000D000000}"/>
    <cellStyle name="Normal_PP DS Query" xfId="22" xr:uid="{00000000-0005-0000-0000-000010000000}"/>
    <cellStyle name="Normal_PP DS Query_1" xfId="19" xr:uid="{00000000-0005-0000-0000-000011000000}"/>
    <cellStyle name="Normal_PP DS Query_2" xfId="20" xr:uid="{00000000-0005-0000-0000-000012000000}"/>
    <cellStyle name="Normal_Sheet1" xfId="18" xr:uid="{00000000-0005-0000-0000-000013000000}"/>
    <cellStyle name="Normal_Sheet1 2" xfId="14" xr:uid="{00000000-0005-0000-0000-000014000000}"/>
    <cellStyle name="Normal_Sheet1_3" xfId="21" xr:uid="{00000000-0005-0000-0000-000015000000}"/>
    <cellStyle name="Percent" xfId="10" builtinId="5"/>
    <cellStyle name="Percent 2" xfId="11" xr:uid="{00000000-0005-0000-0000-000017000000}"/>
    <cellStyle name="Style 1" xfId="12" xr:uid="{00000000-0005-0000-0000-00001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9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.bin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.bin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6.bin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8.bin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0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2.bin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4.bin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8.bin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0.bin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2.bin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4.bin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8.bin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2.bin"/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4.bin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6.bin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8.bin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0.bin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2.bin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4.bin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6.bin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8.bin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0.bin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3.bin"/><Relationship Id="rId2" Type="http://schemas.openxmlformats.org/officeDocument/2006/relationships/customProperty" Target="../customProperty7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5.bin"/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7.bin"/><Relationship Id="rId2" Type="http://schemas.openxmlformats.org/officeDocument/2006/relationships/customProperty" Target="../customProperty76.bin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FA694-37A1-4BFB-B4DA-8A93386C5E55}">
  <sheetPr>
    <tabColor theme="2" tint="-0.249977111117893"/>
  </sheetPr>
  <dimension ref="A1:O375"/>
  <sheetViews>
    <sheetView view="pageBreakPreview" zoomScaleNormal="100" zoomScaleSheetLayoutView="100" workbookViewId="0">
      <pane xSplit="1" ySplit="12" topLeftCell="B13" activePane="bottomRight" state="frozen"/>
      <selection activeCell="F20" sqref="F20"/>
      <selection pane="topRight" activeCell="F20" sqref="F20"/>
      <selection pane="bottomLeft" activeCell="F20" sqref="F20"/>
      <selection pane="bottomRight" activeCell="E286" sqref="E286"/>
    </sheetView>
  </sheetViews>
  <sheetFormatPr defaultRowHeight="12.75" x14ac:dyDescent="0.2"/>
  <cols>
    <col min="1" max="1" width="9.85546875" style="67" customWidth="1"/>
    <col min="2" max="2" width="26.85546875" style="63" customWidth="1"/>
    <col min="3" max="3" width="2.42578125" style="63" customWidth="1"/>
    <col min="4" max="4" width="15.28515625" style="63" bestFit="1" customWidth="1"/>
    <col min="5" max="5" width="15.28515625" style="65" bestFit="1" customWidth="1"/>
    <col min="6" max="6" width="2.42578125" style="63" customWidth="1"/>
    <col min="7" max="7" width="6.85546875" style="63" bestFit="1" customWidth="1"/>
    <col min="8" max="8" width="13" style="63" bestFit="1" customWidth="1"/>
    <col min="9" max="9" width="2.42578125" style="63" customWidth="1"/>
    <col min="10" max="10" width="10.140625" style="63" customWidth="1"/>
    <col min="11" max="11" width="13" style="63" bestFit="1" customWidth="1"/>
    <col min="12" max="12" width="14.28515625" style="63" customWidth="1"/>
    <col min="13" max="13" width="3.5703125" style="63" customWidth="1"/>
    <col min="14" max="14" width="11.28515625" style="842" bestFit="1" customWidth="1"/>
    <col min="15" max="15" width="11.28515625" style="76" bestFit="1" customWidth="1"/>
    <col min="16" max="16384" width="9.140625" style="76"/>
  </cols>
  <sheetData>
    <row r="1" spans="1:14" ht="15.75" x14ac:dyDescent="0.2">
      <c r="A1" s="219" t="s">
        <v>0</v>
      </c>
      <c r="B1" s="784"/>
      <c r="C1" s="220"/>
      <c r="D1" s="784"/>
      <c r="E1" s="811"/>
      <c r="F1" s="220"/>
      <c r="G1" s="784"/>
      <c r="H1" s="812"/>
      <c r="I1" s="220"/>
      <c r="J1" s="812"/>
      <c r="K1" s="812"/>
      <c r="L1" s="812"/>
      <c r="M1" s="847"/>
    </row>
    <row r="2" spans="1:14" ht="15.75" x14ac:dyDescent="0.2">
      <c r="A2" s="217" t="s">
        <v>1149</v>
      </c>
      <c r="B2" s="813"/>
      <c r="C2" s="221"/>
      <c r="D2" s="813"/>
      <c r="E2" s="811"/>
      <c r="F2" s="221"/>
      <c r="G2" s="813"/>
      <c r="H2" s="813"/>
      <c r="I2" s="221"/>
      <c r="J2" s="813"/>
      <c r="K2" s="813"/>
      <c r="L2" s="813"/>
      <c r="M2" s="847"/>
    </row>
    <row r="3" spans="1:14" ht="15.75" x14ac:dyDescent="0.2">
      <c r="A3" s="219" t="s">
        <v>1158</v>
      </c>
      <c r="B3" s="813"/>
      <c r="C3" s="221"/>
      <c r="D3" s="813"/>
      <c r="E3" s="811"/>
      <c r="F3" s="221"/>
      <c r="G3" s="813"/>
      <c r="H3" s="813"/>
      <c r="I3" s="221"/>
      <c r="J3" s="813"/>
      <c r="K3" s="813"/>
      <c r="L3" s="813"/>
      <c r="M3" s="847"/>
    </row>
    <row r="4" spans="1:14" ht="15.75" x14ac:dyDescent="0.2">
      <c r="A4" s="219" t="s">
        <v>1161</v>
      </c>
      <c r="B4" s="813"/>
      <c r="C4" s="221"/>
      <c r="D4" s="813"/>
      <c r="E4" s="811"/>
      <c r="F4" s="221"/>
      <c r="G4" s="813"/>
      <c r="H4" s="813"/>
      <c r="I4" s="221"/>
      <c r="J4" s="813"/>
      <c r="K4" s="813"/>
      <c r="L4" s="813"/>
      <c r="M4" s="847"/>
    </row>
    <row r="5" spans="1:14" x14ac:dyDescent="0.2">
      <c r="A5" s="814"/>
      <c r="B5" s="490"/>
      <c r="C5" s="490"/>
      <c r="D5" s="789"/>
      <c r="E5" s="815"/>
      <c r="F5" s="490"/>
      <c r="G5" s="490"/>
      <c r="H5" s="789"/>
      <c r="I5" s="490"/>
      <c r="J5" s="490"/>
      <c r="K5" s="490"/>
      <c r="L5" s="490"/>
      <c r="M5" s="490"/>
    </row>
    <row r="6" spans="1:14" ht="13.5" thickBot="1" x14ac:dyDescent="0.25">
      <c r="A6" s="814"/>
      <c r="B6" s="128"/>
      <c r="C6" s="128"/>
      <c r="D6" s="495" t="s">
        <v>1150</v>
      </c>
      <c r="E6" s="495"/>
      <c r="F6" s="495"/>
      <c r="G6" s="776"/>
      <c r="H6" s="776"/>
      <c r="I6" s="817"/>
      <c r="J6" s="496" t="str">
        <f>'Proposed Rates'!$N6</f>
        <v>Analysis of Rates - As of 12/31/2019</v>
      </c>
      <c r="K6" s="818"/>
      <c r="L6" s="818"/>
      <c r="M6" s="490"/>
    </row>
    <row r="7" spans="1:14" x14ac:dyDescent="0.2">
      <c r="A7" s="814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490"/>
    </row>
    <row r="8" spans="1:14" x14ac:dyDescent="0.2">
      <c r="A8" s="814"/>
      <c r="B8" s="128"/>
      <c r="C8" s="128"/>
      <c r="D8" s="789"/>
      <c r="E8" s="77" t="s">
        <v>1416</v>
      </c>
      <c r="F8" s="128"/>
      <c r="G8" s="490"/>
      <c r="H8" s="128"/>
      <c r="I8" s="128"/>
      <c r="J8" s="819"/>
      <c r="K8" s="819"/>
      <c r="L8" s="819"/>
      <c r="M8" s="490"/>
    </row>
    <row r="9" spans="1:14" x14ac:dyDescent="0.2">
      <c r="A9" s="814"/>
      <c r="B9" s="128"/>
      <c r="C9" s="128"/>
      <c r="D9" s="77" t="s">
        <v>1416</v>
      </c>
      <c r="E9" s="77" t="s">
        <v>122</v>
      </c>
      <c r="F9" s="128"/>
      <c r="G9" s="490"/>
      <c r="H9" s="820" t="s">
        <v>38</v>
      </c>
      <c r="I9" s="128"/>
      <c r="J9" s="819"/>
      <c r="K9" s="819"/>
      <c r="L9" s="819"/>
      <c r="M9" s="490"/>
    </row>
    <row r="10" spans="1:14" x14ac:dyDescent="0.2">
      <c r="A10" s="814"/>
      <c r="B10" s="128"/>
      <c r="C10" s="128"/>
      <c r="D10" s="128" t="s">
        <v>40</v>
      </c>
      <c r="E10" s="792" t="s">
        <v>41</v>
      </c>
      <c r="F10" s="128"/>
      <c r="G10" s="132" t="s">
        <v>39</v>
      </c>
      <c r="H10" s="820" t="s">
        <v>42</v>
      </c>
      <c r="I10" s="128"/>
      <c r="J10" s="132" t="s">
        <v>39</v>
      </c>
      <c r="K10" s="778" t="s">
        <v>49</v>
      </c>
      <c r="L10" s="820" t="s">
        <v>43</v>
      </c>
      <c r="M10" s="490"/>
    </row>
    <row r="11" spans="1:14" x14ac:dyDescent="0.2">
      <c r="A11" s="128" t="s">
        <v>44</v>
      </c>
      <c r="B11" s="128"/>
      <c r="C11" s="128"/>
      <c r="D11" s="128" t="s">
        <v>92</v>
      </c>
      <c r="E11" s="821" t="s">
        <v>9</v>
      </c>
      <c r="F11" s="128"/>
      <c r="G11" s="132" t="s">
        <v>47</v>
      </c>
      <c r="H11" s="820" t="s">
        <v>40</v>
      </c>
      <c r="I11" s="128"/>
      <c r="J11" s="132" t="s">
        <v>47</v>
      </c>
      <c r="K11" s="778" t="s">
        <v>6</v>
      </c>
      <c r="L11" s="820" t="s">
        <v>49</v>
      </c>
      <c r="M11" s="490"/>
    </row>
    <row r="12" spans="1:14" ht="13.5" thickBot="1" x14ac:dyDescent="0.25">
      <c r="A12" s="529" t="s">
        <v>52</v>
      </c>
      <c r="B12" s="529" t="s">
        <v>53</v>
      </c>
      <c r="C12" s="128"/>
      <c r="D12" s="775">
        <v>44196</v>
      </c>
      <c r="E12" s="775">
        <f>D12</f>
        <v>44196</v>
      </c>
      <c r="F12" s="128"/>
      <c r="G12" s="793" t="s">
        <v>24</v>
      </c>
      <c r="H12" s="529" t="s">
        <v>48</v>
      </c>
      <c r="I12" s="128"/>
      <c r="J12" s="793" t="s">
        <v>24</v>
      </c>
      <c r="K12" s="822" t="s">
        <v>38</v>
      </c>
      <c r="L12" s="823" t="s">
        <v>55</v>
      </c>
      <c r="M12" s="490"/>
      <c r="N12" s="842" t="s">
        <v>1438</v>
      </c>
    </row>
    <row r="13" spans="1:14" ht="13.5" thickTop="1" x14ac:dyDescent="0.2">
      <c r="A13" s="128"/>
      <c r="B13" s="128"/>
      <c r="C13" s="128"/>
      <c r="D13" s="128" t="s">
        <v>16</v>
      </c>
      <c r="E13" s="821" t="s">
        <v>16</v>
      </c>
      <c r="F13" s="128"/>
      <c r="G13" s="128" t="s">
        <v>57</v>
      </c>
      <c r="H13" s="128" t="s">
        <v>16</v>
      </c>
      <c r="I13" s="128"/>
      <c r="J13" s="128" t="s">
        <v>57</v>
      </c>
      <c r="K13" s="778" t="s">
        <v>16</v>
      </c>
      <c r="L13" s="128" t="s">
        <v>16</v>
      </c>
      <c r="M13" s="490"/>
    </row>
    <row r="14" spans="1:14" x14ac:dyDescent="0.2">
      <c r="A14" s="130"/>
      <c r="B14" s="130"/>
      <c r="C14" s="130"/>
      <c r="D14" s="130"/>
      <c r="E14" s="141"/>
      <c r="F14" s="130"/>
      <c r="G14" s="130"/>
      <c r="H14" s="130"/>
      <c r="I14" s="130"/>
      <c r="J14" s="130"/>
      <c r="K14" s="142"/>
      <c r="L14" s="130"/>
      <c r="M14" s="143"/>
    </row>
    <row r="15" spans="1:14" x14ac:dyDescent="0.2">
      <c r="A15" s="130"/>
      <c r="B15" s="144" t="s">
        <v>58</v>
      </c>
      <c r="C15" s="130"/>
      <c r="D15" s="145"/>
      <c r="E15" s="145"/>
      <c r="F15" s="130"/>
      <c r="G15" s="138"/>
      <c r="H15" s="145"/>
      <c r="I15" s="145"/>
      <c r="J15" s="145"/>
      <c r="K15" s="145"/>
      <c r="L15" s="145"/>
      <c r="M15" s="130"/>
    </row>
    <row r="16" spans="1:14" x14ac:dyDescent="0.2">
      <c r="A16" s="130"/>
      <c r="B16" s="150"/>
      <c r="C16" s="130"/>
      <c r="D16" s="145"/>
      <c r="E16" s="145"/>
      <c r="F16" s="130"/>
      <c r="G16" s="138"/>
      <c r="H16" s="145"/>
      <c r="I16" s="130"/>
      <c r="J16" s="138"/>
      <c r="K16" s="145"/>
      <c r="L16" s="145"/>
      <c r="M16" s="130"/>
    </row>
    <row r="17" spans="1:15" x14ac:dyDescent="0.2">
      <c r="A17" s="130"/>
      <c r="B17" s="144" t="s">
        <v>59</v>
      </c>
      <c r="C17" s="130"/>
      <c r="D17" s="145"/>
      <c r="E17" s="145"/>
      <c r="F17" s="130"/>
      <c r="G17" s="138"/>
      <c r="H17" s="145"/>
      <c r="I17" s="130"/>
      <c r="J17" s="138"/>
      <c r="K17" s="145"/>
      <c r="L17" s="145"/>
      <c r="M17" s="130"/>
    </row>
    <row r="18" spans="1:15" x14ac:dyDescent="0.2">
      <c r="A18" s="130"/>
      <c r="B18" s="130"/>
      <c r="C18" s="130"/>
      <c r="D18" s="145"/>
      <c r="E18" s="145" t="s">
        <v>60</v>
      </c>
      <c r="F18" s="130"/>
      <c r="G18" s="138"/>
      <c r="H18" s="145"/>
      <c r="I18" s="130"/>
      <c r="J18" s="138"/>
      <c r="K18" s="145"/>
      <c r="L18" s="145"/>
      <c r="M18" s="130"/>
    </row>
    <row r="19" spans="1:15" x14ac:dyDescent="0.2">
      <c r="A19" s="140">
        <f>'Plant &amp; Reserve'!$A19</f>
        <v>31140</v>
      </c>
      <c r="B19" s="130" t="str">
        <f>'Plant &amp; Reserve'!$B19</f>
        <v>BB Common</v>
      </c>
      <c r="C19" s="130"/>
      <c r="D19" s="145">
        <f>IFERROR(VLOOKUP($A19,'2021 B-7'!C:R,14,FALSE),0)</f>
        <v>166834989.85000008</v>
      </c>
      <c r="E19" s="145">
        <f>IFERROR(VLOOKUP($A19,'2021 B-9'!C:T,16,FALSE),0)</f>
        <v>-4544830.3143499643</v>
      </c>
      <c r="F19" s="130"/>
      <c r="G19" s="138">
        <f>'Proposed Rates'!$I19</f>
        <v>2.9</v>
      </c>
      <c r="H19" s="145">
        <f>ROUND(($D19*G19)/100,0)</f>
        <v>4838215</v>
      </c>
      <c r="I19" s="130"/>
      <c r="J19" s="138">
        <f>'Proposed Rates'!$V19</f>
        <v>3.2</v>
      </c>
      <c r="K19" s="145">
        <f>ROUND(($D19*J19)/100,0)</f>
        <v>5338720</v>
      </c>
      <c r="L19" s="145">
        <f>K19-H19</f>
        <v>500505</v>
      </c>
      <c r="M19" s="852"/>
      <c r="N19" s="853">
        <f>L19-'Proposed Accrual 2020'!L19</f>
        <v>-205019</v>
      </c>
      <c r="O19" s="487"/>
    </row>
    <row r="20" spans="1:15" x14ac:dyDescent="0.2">
      <c r="A20" s="140">
        <f>'Plant &amp; Reserve'!$A20</f>
        <v>31240</v>
      </c>
      <c r="B20" s="130" t="str">
        <f>'Plant &amp; Reserve'!$B20</f>
        <v>BB Common</v>
      </c>
      <c r="C20" s="130"/>
      <c r="D20" s="145">
        <f>IFERROR(VLOOKUP($A20,'2021 B-7'!C:R,14,FALSE),0)</f>
        <v>189463563.57599998</v>
      </c>
      <c r="E20" s="145">
        <f>IFERROR(VLOOKUP($A20,'2021 B-9'!C:T,16,FALSE),0)</f>
        <v>5038695.7594979899</v>
      </c>
      <c r="F20" s="130"/>
      <c r="G20" s="138">
        <f>'Proposed Rates'!$I20</f>
        <v>3.4</v>
      </c>
      <c r="H20" s="145">
        <f>ROUND(($D20*G20)/100,0)</f>
        <v>6441761</v>
      </c>
      <c r="I20" s="130"/>
      <c r="J20" s="138">
        <f>'Proposed Rates'!$V20</f>
        <v>4.5999999999999996</v>
      </c>
      <c r="K20" s="145">
        <f t="shared" ref="K20:K23" si="0">ROUND(($D20*J20)/100,0)</f>
        <v>8715324</v>
      </c>
      <c r="L20" s="145">
        <f>K20-H20</f>
        <v>2273563</v>
      </c>
      <c r="M20" s="852"/>
      <c r="N20" s="853">
        <f>L20-'Proposed Accrual 2020'!L20</f>
        <v>76387</v>
      </c>
      <c r="O20" s="487"/>
    </row>
    <row r="21" spans="1:15" x14ac:dyDescent="0.2">
      <c r="A21" s="140">
        <f>'Plant &amp; Reserve'!$A21</f>
        <v>31440</v>
      </c>
      <c r="B21" s="130" t="str">
        <f>'Plant &amp; Reserve'!$B21</f>
        <v>BB Common</v>
      </c>
      <c r="C21" s="130"/>
      <c r="D21" s="145">
        <f>IFERROR(VLOOKUP($A21,'2021 B-7'!C:R,14,FALSE),0)</f>
        <v>15951556.716</v>
      </c>
      <c r="E21" s="145">
        <f>IFERROR(VLOOKUP($A21,'2021 B-9'!C:T,16,FALSE),0)</f>
        <v>788218.70845100004</v>
      </c>
      <c r="F21" s="130"/>
      <c r="G21" s="138">
        <f>'Proposed Rates'!$I21</f>
        <v>2.2999999999999998</v>
      </c>
      <c r="H21" s="145">
        <f>ROUND(($D21*G21)/100,0)</f>
        <v>366886</v>
      </c>
      <c r="I21" s="130"/>
      <c r="J21" s="138">
        <f>'Proposed Rates'!$V21</f>
        <v>3.1</v>
      </c>
      <c r="K21" s="145">
        <f t="shared" si="0"/>
        <v>494498</v>
      </c>
      <c r="L21" s="145">
        <f>K21-H21</f>
        <v>127612</v>
      </c>
      <c r="M21" s="852"/>
      <c r="N21" s="853">
        <f>L21-'Proposed Accrual 2020'!L21</f>
        <v>57036</v>
      </c>
      <c r="O21" s="487"/>
    </row>
    <row r="22" spans="1:15" x14ac:dyDescent="0.2">
      <c r="A22" s="140">
        <f>'Plant &amp; Reserve'!$A22</f>
        <v>31540</v>
      </c>
      <c r="B22" s="130" t="str">
        <f>'Plant &amp; Reserve'!$B22</f>
        <v>BB Common</v>
      </c>
      <c r="C22" s="130"/>
      <c r="D22" s="145">
        <f>IFERROR(VLOOKUP($A22,'2021 B-7'!C:R,14,FALSE),0)</f>
        <v>43821817.589999981</v>
      </c>
      <c r="E22" s="145">
        <f>IFERROR(VLOOKUP($A22,'2021 B-9'!C:T,16,FALSE),0)</f>
        <v>15435086.330829998</v>
      </c>
      <c r="F22" s="130"/>
      <c r="G22" s="138">
        <f>'Proposed Rates'!$I22</f>
        <v>3.7</v>
      </c>
      <c r="H22" s="145">
        <f>ROUND(($D22*G22)/100,0)</f>
        <v>1621407</v>
      </c>
      <c r="I22" s="130"/>
      <c r="J22" s="138">
        <f>'Proposed Rates'!$V22</f>
        <v>3.5</v>
      </c>
      <c r="K22" s="145">
        <f t="shared" si="0"/>
        <v>1533764</v>
      </c>
      <c r="L22" s="145">
        <f>K22-H22</f>
        <v>-87643</v>
      </c>
      <c r="M22" s="852"/>
      <c r="N22" s="853">
        <f>L22-'Proposed Accrual 2020'!L22</f>
        <v>0</v>
      </c>
      <c r="O22" s="487"/>
    </row>
    <row r="23" spans="1:15" ht="15" x14ac:dyDescent="0.2">
      <c r="A23" s="140">
        <f>'Plant &amp; Reserve'!$A23</f>
        <v>31640</v>
      </c>
      <c r="B23" s="168" t="str">
        <f>'Plant &amp; Reserve'!$B23</f>
        <v>BB Common</v>
      </c>
      <c r="C23" s="130"/>
      <c r="D23" s="172">
        <f>IFERROR(VLOOKUP($A23,'2021 B-7'!C:R,14,FALSE),0)</f>
        <v>25096602.700000007</v>
      </c>
      <c r="E23" s="172">
        <f>IFERROR(VLOOKUP($A23,'2021 B-9'!C:T,16,FALSE),0)</f>
        <v>9604865.0034000073</v>
      </c>
      <c r="F23" s="130"/>
      <c r="G23" s="170">
        <f>'Proposed Rates'!$I23</f>
        <v>4.2</v>
      </c>
      <c r="H23" s="172">
        <f>ROUND(($D23*G23)/100,0)</f>
        <v>1054057</v>
      </c>
      <c r="I23" s="130"/>
      <c r="J23" s="170">
        <f>'Proposed Rates'!$V23</f>
        <v>3.3</v>
      </c>
      <c r="K23" s="171">
        <f t="shared" si="0"/>
        <v>828188</v>
      </c>
      <c r="L23" s="171">
        <f>K23-H23</f>
        <v>-225869</v>
      </c>
      <c r="M23" s="852"/>
      <c r="N23" s="853">
        <f>L23-'Proposed Accrual 2020'!L23</f>
        <v>0</v>
      </c>
      <c r="O23" s="487"/>
    </row>
    <row r="24" spans="1:15" x14ac:dyDescent="0.2">
      <c r="A24" s="134"/>
      <c r="B24" s="128" t="s">
        <v>75</v>
      </c>
      <c r="C24" s="130"/>
      <c r="D24" s="173">
        <f>SUM(D19:D23)</f>
        <v>441168530.43200004</v>
      </c>
      <c r="E24" s="173">
        <f>SUM(E19:E23)</f>
        <v>26322035.48782903</v>
      </c>
      <c r="F24" s="130"/>
      <c r="G24" s="177">
        <f>'Proposed Rates'!$I24</f>
        <v>3</v>
      </c>
      <c r="H24" s="173">
        <f>SUM(H19:H23)</f>
        <v>14322326</v>
      </c>
      <c r="I24" s="130"/>
      <c r="J24" s="177">
        <f>'Proposed Rates'!$V24</f>
        <v>3.7</v>
      </c>
      <c r="K24" s="173">
        <f>SUM(K19:K23)</f>
        <v>16910494</v>
      </c>
      <c r="L24" s="173">
        <f>SUM(L19:L23)</f>
        <v>2588168</v>
      </c>
      <c r="M24" s="852"/>
      <c r="N24" s="853">
        <f>L24-'Proposed Accrual 2020'!L24</f>
        <v>-71596</v>
      </c>
      <c r="O24" s="487"/>
    </row>
    <row r="25" spans="1:15" x14ac:dyDescent="0.2">
      <c r="A25" s="140"/>
      <c r="B25" s="130"/>
      <c r="C25" s="130"/>
      <c r="D25" s="145"/>
      <c r="E25" s="145"/>
      <c r="F25" s="130"/>
      <c r="G25" s="138"/>
      <c r="H25" s="155"/>
      <c r="I25" s="130"/>
      <c r="J25" s="824"/>
      <c r="K25" s="145"/>
      <c r="L25" s="145"/>
      <c r="M25" s="130"/>
      <c r="N25" s="853">
        <f>L25-'Proposed Accrual 2020'!L25</f>
        <v>0</v>
      </c>
      <c r="O25" s="487"/>
    </row>
    <row r="26" spans="1:15" x14ac:dyDescent="0.2">
      <c r="A26" s="140">
        <f>'Plant &amp; Reserve'!$A26</f>
        <v>31141</v>
      </c>
      <c r="B26" s="130" t="str">
        <f>'Plant &amp; Reserve'!$B26</f>
        <v>BB Unit  No. 1</v>
      </c>
      <c r="C26" s="130"/>
      <c r="D26" s="145">
        <f>IFERROR(VLOOKUP($A26,'2021 B-7'!C:R,14,FALSE),0)</f>
        <v>2434372.9800000004</v>
      </c>
      <c r="E26" s="145">
        <f>IFERROR(VLOOKUP($A26,'2021 B-9'!C:T,16,FALSE),0)</f>
        <v>1562295.0472999951</v>
      </c>
      <c r="F26" s="130"/>
      <c r="G26" s="138">
        <f>'Proposed Rates'!$I26</f>
        <v>2</v>
      </c>
      <c r="H26" s="145">
        <f>ROUND(($D26*G26)/100,0)</f>
        <v>48687</v>
      </c>
      <c r="I26" s="130"/>
      <c r="J26" s="138">
        <f>'Proposed Rates'!$V26</f>
        <v>2.8</v>
      </c>
      <c r="K26" s="145">
        <f>ROUND(($D26*J26)/100,0)</f>
        <v>68162</v>
      </c>
      <c r="L26" s="145">
        <f>K26-H26</f>
        <v>19475</v>
      </c>
      <c r="M26" s="852"/>
      <c r="N26" s="853">
        <f>L26-'Proposed Accrual 2020'!L26</f>
        <v>-38822</v>
      </c>
      <c r="O26" s="487" t="s">
        <v>1418</v>
      </c>
    </row>
    <row r="27" spans="1:15" x14ac:dyDescent="0.2">
      <c r="A27" s="140">
        <f>'Plant &amp; Reserve'!$A27</f>
        <v>31241</v>
      </c>
      <c r="B27" s="130" t="str">
        <f>'Plant &amp; Reserve'!$B27</f>
        <v>BB Unit  No. 1</v>
      </c>
      <c r="C27" s="130"/>
      <c r="D27" s="145">
        <f>IFERROR(VLOOKUP($A27,'2021 B-7'!C:R,14,FALSE),0)</f>
        <v>1005718.0600000024</v>
      </c>
      <c r="E27" s="145">
        <f>IFERROR(VLOOKUP($A27,'2021 B-9'!C:T,16,FALSE),0)</f>
        <v>-2722588.0021000057</v>
      </c>
      <c r="F27" s="130"/>
      <c r="G27" s="138">
        <f>'Proposed Rates'!$I27</f>
        <v>4</v>
      </c>
      <c r="H27" s="145">
        <f>ROUND(($D27*G27)/100,0)</f>
        <v>40229</v>
      </c>
      <c r="I27" s="130"/>
      <c r="J27" s="138">
        <f>'Proposed Rates'!$V27</f>
        <v>5.2</v>
      </c>
      <c r="K27" s="145">
        <f t="shared" ref="K27:K30" si="1">ROUND(($D27*J27)/100,0)</f>
        <v>52297</v>
      </c>
      <c r="L27" s="145">
        <f>K27-H27</f>
        <v>12068</v>
      </c>
      <c r="M27" s="852"/>
      <c r="N27" s="853">
        <f>L27-'Proposed Accrual 2020'!L27</f>
        <v>-1223522</v>
      </c>
      <c r="O27" s="487" t="s">
        <v>1418</v>
      </c>
    </row>
    <row r="28" spans="1:15" x14ac:dyDescent="0.2">
      <c r="A28" s="140">
        <f>'Plant &amp; Reserve'!$A28</f>
        <v>31441</v>
      </c>
      <c r="B28" s="130" t="str">
        <f>'Plant &amp; Reserve'!$B28</f>
        <v>BB Unit  No. 1</v>
      </c>
      <c r="C28" s="130"/>
      <c r="D28" s="145">
        <f>IFERROR(VLOOKUP($A28,'2021 B-7'!C:R,14,FALSE),0)</f>
        <v>21935698.260000002</v>
      </c>
      <c r="E28" s="145">
        <f>IFERROR(VLOOKUP($A28,'2021 B-9'!C:T,16,FALSE),0)</f>
        <v>6829549.4728000294</v>
      </c>
      <c r="F28" s="130"/>
      <c r="G28" s="138">
        <f>'Proposed Rates'!$I28</f>
        <v>3.5</v>
      </c>
      <c r="H28" s="145">
        <f t="shared" ref="H28:H30" si="2">ROUND(($D28*G28)/100,0)</f>
        <v>767749</v>
      </c>
      <c r="I28" s="130"/>
      <c r="J28" s="138">
        <f>'Proposed Rates'!$V28</f>
        <v>5.8</v>
      </c>
      <c r="K28" s="145">
        <f t="shared" si="1"/>
        <v>1272270</v>
      </c>
      <c r="L28" s="145">
        <f>K28-H28</f>
        <v>504521</v>
      </c>
      <c r="M28" s="852"/>
      <c r="N28" s="853">
        <f>L28-'Proposed Accrual 2020'!L28</f>
        <v>-656722</v>
      </c>
      <c r="O28" s="487" t="s">
        <v>1418</v>
      </c>
    </row>
    <row r="29" spans="1:15" x14ac:dyDescent="0.2">
      <c r="A29" s="140">
        <f>'Plant &amp; Reserve'!$A29</f>
        <v>31541</v>
      </c>
      <c r="B29" s="130" t="str">
        <f>'Plant &amp; Reserve'!$B29</f>
        <v>BB Unit  No. 1</v>
      </c>
      <c r="C29" s="130"/>
      <c r="D29" s="145">
        <f>IFERROR(VLOOKUP($A29,'2021 B-7'!C:R,14,FALSE),0)</f>
        <v>241506.82000000589</v>
      </c>
      <c r="E29" s="145">
        <f>IFERROR(VLOOKUP($A29,'2021 B-9'!C:T,16,FALSE),0)</f>
        <v>144286.28820001241</v>
      </c>
      <c r="F29" s="130"/>
      <c r="G29" s="138">
        <f>'Proposed Rates'!$I29</f>
        <v>3.5</v>
      </c>
      <c r="H29" s="145">
        <f t="shared" si="2"/>
        <v>8453</v>
      </c>
      <c r="I29" s="130"/>
      <c r="J29" s="138">
        <f>'Proposed Rates'!$V29</f>
        <v>4.4000000000000004</v>
      </c>
      <c r="K29" s="145">
        <f t="shared" si="1"/>
        <v>10626</v>
      </c>
      <c r="L29" s="145">
        <f>K29-H29</f>
        <v>2173</v>
      </c>
      <c r="M29" s="852"/>
      <c r="N29" s="853">
        <f>L29-'Proposed Accrual 2020'!L29</f>
        <v>-150995</v>
      </c>
      <c r="O29" s="487" t="s">
        <v>1418</v>
      </c>
    </row>
    <row r="30" spans="1:15" ht="15" x14ac:dyDescent="0.2">
      <c r="A30" s="140">
        <f>'Plant &amp; Reserve'!$A30</f>
        <v>31641</v>
      </c>
      <c r="B30" s="168" t="str">
        <f>'Plant &amp; Reserve'!$B30</f>
        <v>BB Unit  No. 1</v>
      </c>
      <c r="C30" s="130"/>
      <c r="D30" s="172">
        <f>IFERROR(VLOOKUP($A30,'2021 B-7'!C:R,14,FALSE),0)</f>
        <v>286868.9099999998</v>
      </c>
      <c r="E30" s="172">
        <f>IFERROR(VLOOKUP($A30,'2021 B-9'!C:T,16,FALSE),0)</f>
        <v>212749.36871999822</v>
      </c>
      <c r="F30" s="130"/>
      <c r="G30" s="170">
        <f>'Proposed Rates'!$I30</f>
        <v>2.9</v>
      </c>
      <c r="H30" s="172">
        <f t="shared" si="2"/>
        <v>8319</v>
      </c>
      <c r="I30" s="130"/>
      <c r="J30" s="170">
        <f>'Proposed Rates'!$V30</f>
        <v>3.6</v>
      </c>
      <c r="K30" s="171">
        <f t="shared" si="1"/>
        <v>10327</v>
      </c>
      <c r="L30" s="171">
        <f>K30-H30</f>
        <v>2008</v>
      </c>
      <c r="M30" s="852"/>
      <c r="N30" s="853">
        <f>L30-'Proposed Accrual 2020'!L30</f>
        <v>-4629</v>
      </c>
      <c r="O30" s="487" t="s">
        <v>1418</v>
      </c>
    </row>
    <row r="31" spans="1:15" x14ac:dyDescent="0.2">
      <c r="A31" s="134"/>
      <c r="B31" s="128" t="s">
        <v>75</v>
      </c>
      <c r="C31" s="130"/>
      <c r="D31" s="173">
        <f>SUM(D26:D30)</f>
        <v>25904165.030000012</v>
      </c>
      <c r="E31" s="173">
        <f>SUM(E26:E30)</f>
        <v>6026292.174920029</v>
      </c>
      <c r="F31" s="130"/>
      <c r="G31" s="177">
        <f>'Proposed Rates'!$I31</f>
        <v>3.7</v>
      </c>
      <c r="H31" s="173">
        <f>SUM(H26:H30)</f>
        <v>873437</v>
      </c>
      <c r="I31" s="130"/>
      <c r="J31" s="177">
        <f>'Proposed Rates'!$V31</f>
        <v>5.2</v>
      </c>
      <c r="K31" s="173">
        <f>SUM(K26:K30)</f>
        <v>1413682</v>
      </c>
      <c r="L31" s="173">
        <f>SUM(L26:L30)</f>
        <v>540245</v>
      </c>
      <c r="M31" s="852"/>
      <c r="N31" s="853">
        <f>L31-'Proposed Accrual 2020'!L31</f>
        <v>-2074690</v>
      </c>
      <c r="O31" s="487" t="s">
        <v>1418</v>
      </c>
    </row>
    <row r="32" spans="1:15" x14ac:dyDescent="0.2">
      <c r="A32" s="140"/>
      <c r="B32" s="130"/>
      <c r="C32" s="130"/>
      <c r="D32" s="145"/>
      <c r="E32" s="145"/>
      <c r="F32" s="130"/>
      <c r="G32" s="138" t="s">
        <v>60</v>
      </c>
      <c r="H32" s="825"/>
      <c r="I32" s="130"/>
      <c r="J32" s="825"/>
      <c r="K32" s="825"/>
      <c r="L32" s="145"/>
      <c r="M32" s="130"/>
      <c r="N32" s="853">
        <f>L32-'Proposed Accrual 2020'!L32</f>
        <v>0</v>
      </c>
      <c r="O32" s="487"/>
    </row>
    <row r="33" spans="1:15" x14ac:dyDescent="0.2">
      <c r="A33" s="140">
        <f>'Plant &amp; Reserve'!$A33</f>
        <v>31142</v>
      </c>
      <c r="B33" s="130" t="str">
        <f>'Plant &amp; Reserve'!$B33</f>
        <v>BB Unit  No. 2</v>
      </c>
      <c r="C33" s="130"/>
      <c r="D33" s="145">
        <f>IFERROR(VLOOKUP($A33,'2021 B-7'!C:R,14,FALSE),0)</f>
        <v>258.77999999932945</v>
      </c>
      <c r="E33" s="145">
        <f>IFERROR(VLOOKUP($A33,'2021 B-9'!C:T,16,FALSE),0)</f>
        <v>5.5858999895863235</v>
      </c>
      <c r="F33" s="130"/>
      <c r="G33" s="138">
        <f>'Proposed Rates'!$I33</f>
        <v>2</v>
      </c>
      <c r="H33" s="145">
        <f>ROUND(($D33*G33)/100,0)</f>
        <v>5</v>
      </c>
      <c r="I33" s="130"/>
      <c r="J33" s="138">
        <f>'Proposed Rates'!$V33</f>
        <v>2.6</v>
      </c>
      <c r="K33" s="145">
        <f>ROUND(($D33*J33)/100,0)</f>
        <v>7</v>
      </c>
      <c r="L33" s="145">
        <f>K33-H33</f>
        <v>2</v>
      </c>
      <c r="M33" s="852"/>
      <c r="N33" s="853">
        <f>L33-'Proposed Accrual 2020'!L33</f>
        <v>-42249</v>
      </c>
      <c r="O33" s="487" t="s">
        <v>1418</v>
      </c>
    </row>
    <row r="34" spans="1:15" x14ac:dyDescent="0.2">
      <c r="A34" s="140">
        <f>'Plant &amp; Reserve'!$A34</f>
        <v>31242</v>
      </c>
      <c r="B34" s="130" t="str">
        <f>'Plant &amp; Reserve'!$B34</f>
        <v>BB Unit  No. 2</v>
      </c>
      <c r="C34" s="130"/>
      <c r="D34" s="145">
        <f>IFERROR(VLOOKUP($A34,'2021 B-7'!C:R,14,FALSE),0)</f>
        <v>1480962.4020000249</v>
      </c>
      <c r="E34" s="145">
        <f>IFERROR(VLOOKUP($A34,'2021 B-9'!C:T,16,FALSE),0)</f>
        <v>-2411620.1996853203</v>
      </c>
      <c r="F34" s="130"/>
      <c r="G34" s="138">
        <f>'Proposed Rates'!$I34</f>
        <v>3.7</v>
      </c>
      <c r="H34" s="145">
        <f t="shared" ref="H34:H37" si="3">ROUND(($D34*G34)/100,0)</f>
        <v>54796</v>
      </c>
      <c r="I34" s="130"/>
      <c r="J34" s="138">
        <f>'Proposed Rates'!$V34</f>
        <v>4.3</v>
      </c>
      <c r="K34" s="145">
        <f t="shared" ref="K34:K37" si="4">ROUND(($D34*J34)/100,0)</f>
        <v>63681</v>
      </c>
      <c r="L34" s="145">
        <f>K34-H34</f>
        <v>8885</v>
      </c>
      <c r="M34" s="852"/>
      <c r="N34" s="853">
        <f>L34-'Proposed Accrual 2020'!L34</f>
        <v>-516960</v>
      </c>
      <c r="O34" s="487" t="s">
        <v>1418</v>
      </c>
    </row>
    <row r="35" spans="1:15" x14ac:dyDescent="0.2">
      <c r="A35" s="140">
        <f>'Plant &amp; Reserve'!$A35</f>
        <v>31442</v>
      </c>
      <c r="B35" s="130" t="str">
        <f>'Plant &amp; Reserve'!$B35</f>
        <v>BB Unit  No. 2</v>
      </c>
      <c r="C35" s="130"/>
      <c r="D35" s="145">
        <f>IFERROR(VLOOKUP($A35,'2021 B-7'!C:R,14,FALSE),0)</f>
        <v>5595.9920000135899</v>
      </c>
      <c r="E35" s="145">
        <f>IFERROR(VLOOKUP($A35,'2021 B-9'!C:T,16,FALSE),0)</f>
        <v>-163174.9774146229</v>
      </c>
      <c r="F35" s="130"/>
      <c r="G35" s="138">
        <f>'Proposed Rates'!$I35</f>
        <v>3.8</v>
      </c>
      <c r="H35" s="145">
        <f t="shared" si="3"/>
        <v>213</v>
      </c>
      <c r="I35" s="130"/>
      <c r="J35" s="138">
        <f>'Proposed Rates'!$V35</f>
        <v>4.0999999999999996</v>
      </c>
      <c r="K35" s="145">
        <f t="shared" si="4"/>
        <v>229</v>
      </c>
      <c r="L35" s="145">
        <f>K35-H35</f>
        <v>16</v>
      </c>
      <c r="M35" s="852"/>
      <c r="N35" s="853">
        <f>L35-'Proposed Accrual 2020'!L35</f>
        <v>-152574</v>
      </c>
      <c r="O35" s="487" t="s">
        <v>1418</v>
      </c>
    </row>
    <row r="36" spans="1:15" x14ac:dyDescent="0.2">
      <c r="A36" s="140">
        <f>'Plant &amp; Reserve'!$A36</f>
        <v>31542</v>
      </c>
      <c r="B36" s="130" t="str">
        <f>'Plant &amp; Reserve'!$B36</f>
        <v>BB Unit  No. 2</v>
      </c>
      <c r="C36" s="130"/>
      <c r="D36" s="145">
        <f>IFERROR(VLOOKUP($A36,'2021 B-7'!C:R,14,FALSE),0)</f>
        <v>-3.7252902984619141E-9</v>
      </c>
      <c r="E36" s="145">
        <f>IFERROR(VLOOKUP($A36,'2021 B-9'!C:T,16,FALSE),0)</f>
        <v>-6.8789996206760406E-2</v>
      </c>
      <c r="F36" s="130"/>
      <c r="G36" s="138">
        <f>'Proposed Rates'!$I36</f>
        <v>3.3</v>
      </c>
      <c r="H36" s="145">
        <f t="shared" si="3"/>
        <v>0</v>
      </c>
      <c r="I36" s="130"/>
      <c r="J36" s="138">
        <f>'Proposed Rates'!$V36</f>
        <v>5</v>
      </c>
      <c r="K36" s="145">
        <f t="shared" si="4"/>
        <v>0</v>
      </c>
      <c r="L36" s="145">
        <f>K36-H36</f>
        <v>0</v>
      </c>
      <c r="M36" s="852"/>
      <c r="N36" s="853">
        <f>L36-'Proposed Accrual 2020'!L36</f>
        <v>-320791</v>
      </c>
      <c r="O36" s="487" t="s">
        <v>1418</v>
      </c>
    </row>
    <row r="37" spans="1:15" ht="15" x14ac:dyDescent="0.2">
      <c r="A37" s="140">
        <f>'Plant &amp; Reserve'!$A37</f>
        <v>31642</v>
      </c>
      <c r="B37" s="168" t="str">
        <f>'Plant &amp; Reserve'!$B37</f>
        <v>BB Unit  No. 2</v>
      </c>
      <c r="C37" s="130"/>
      <c r="D37" s="172">
        <f>IFERROR(VLOOKUP($A37,'2021 B-7'!C:R,14,FALSE),0)</f>
        <v>0</v>
      </c>
      <c r="E37" s="172">
        <f>IFERROR(VLOOKUP($A37,'2021 B-9'!C:T,16,FALSE),0)</f>
        <v>1.4200000805431046E-2</v>
      </c>
      <c r="F37" s="130"/>
      <c r="G37" s="170">
        <f>'Proposed Rates'!$I37</f>
        <v>3</v>
      </c>
      <c r="H37" s="172">
        <f t="shared" si="3"/>
        <v>0</v>
      </c>
      <c r="I37" s="130"/>
      <c r="J37" s="170">
        <f>'Proposed Rates'!$V37</f>
        <v>1.4</v>
      </c>
      <c r="K37" s="171">
        <f t="shared" si="4"/>
        <v>0</v>
      </c>
      <c r="L37" s="171">
        <f>K37-H37</f>
        <v>0</v>
      </c>
      <c r="M37" s="852"/>
      <c r="N37" s="853">
        <f>L37-'Proposed Accrual 2020'!L37</f>
        <v>8752</v>
      </c>
      <c r="O37" s="487" t="s">
        <v>1418</v>
      </c>
    </row>
    <row r="38" spans="1:15" x14ac:dyDescent="0.2">
      <c r="A38" s="134"/>
      <c r="B38" s="128" t="s">
        <v>75</v>
      </c>
      <c r="C38" s="130"/>
      <c r="D38" s="173">
        <f>SUM(D33:D37)</f>
        <v>1486817.1740000341</v>
      </c>
      <c r="E38" s="173">
        <f>SUM(E33:E37)</f>
        <v>-2574789.6457899488</v>
      </c>
      <c r="F38" s="130"/>
      <c r="G38" s="177">
        <f>'Proposed Rates'!$I38</f>
        <v>3.5</v>
      </c>
      <c r="H38" s="173">
        <f>SUM(H33:H37)</f>
        <v>55014</v>
      </c>
      <c r="I38" s="130"/>
      <c r="J38" s="177">
        <f>'Proposed Rates'!$V38</f>
        <v>4.2</v>
      </c>
      <c r="K38" s="173">
        <f>SUM(K33:K37)</f>
        <v>63917</v>
      </c>
      <c r="L38" s="173">
        <f>SUM(L33:L37)</f>
        <v>8903</v>
      </c>
      <c r="M38" s="852"/>
      <c r="N38" s="853">
        <f>L38-'Proposed Accrual 2020'!L38</f>
        <v>-1023822</v>
      </c>
      <c r="O38" s="487" t="s">
        <v>1418</v>
      </c>
    </row>
    <row r="39" spans="1:15" x14ac:dyDescent="0.2">
      <c r="A39" s="140"/>
      <c r="B39" s="130"/>
      <c r="C39" s="130"/>
      <c r="D39" s="145"/>
      <c r="E39" s="145"/>
      <c r="F39" s="130"/>
      <c r="G39" s="138" t="s">
        <v>60</v>
      </c>
      <c r="H39" s="145"/>
      <c r="I39" s="130"/>
      <c r="J39" s="138"/>
      <c r="K39" s="145"/>
      <c r="L39" s="145"/>
      <c r="M39" s="130"/>
      <c r="N39" s="853">
        <f>L39-'Proposed Accrual 2020'!L39</f>
        <v>0</v>
      </c>
      <c r="O39" s="487"/>
    </row>
    <row r="40" spans="1:15" x14ac:dyDescent="0.2">
      <c r="A40" s="140">
        <f>'Plant &amp; Reserve'!$A40</f>
        <v>31143</v>
      </c>
      <c r="B40" s="130" t="str">
        <f>'Plant &amp; Reserve'!$B40</f>
        <v>BB Unit  No. 3</v>
      </c>
      <c r="C40" s="130"/>
      <c r="D40" s="145">
        <f>IFERROR(VLOOKUP($A40,'2021 B-7'!C:R,14,FALSE),0)</f>
        <v>1.862645149230957E-9</v>
      </c>
      <c r="E40" s="145">
        <f>IFERROR(VLOOKUP($A40,'2021 B-9'!C:T,16,FALSE),0)</f>
        <v>9.6479980275034904E-2</v>
      </c>
      <c r="F40" s="130"/>
      <c r="G40" s="138">
        <f>'Proposed Rates'!$I40</f>
        <v>1.8</v>
      </c>
      <c r="H40" s="145">
        <f>ROUND(($D40*G40)/100,0)</f>
        <v>0</v>
      </c>
      <c r="I40" s="130"/>
      <c r="J40" s="138">
        <f>'Proposed Rates'!$V40</f>
        <v>1.7</v>
      </c>
      <c r="K40" s="145">
        <f>ROUND(($D40*J40)/100,0)</f>
        <v>0</v>
      </c>
      <c r="L40" s="145">
        <f>K40-H40</f>
        <v>0</v>
      </c>
      <c r="M40" s="852"/>
      <c r="N40" s="853">
        <f>L40-'Proposed Accrual 2020'!L40</f>
        <v>15195</v>
      </c>
      <c r="O40" s="487" t="s">
        <v>1418</v>
      </c>
    </row>
    <row r="41" spans="1:15" x14ac:dyDescent="0.2">
      <c r="A41" s="140">
        <f>'Plant &amp; Reserve'!$A41</f>
        <v>31243</v>
      </c>
      <c r="B41" s="130" t="str">
        <f>'Plant &amp; Reserve'!$B41</f>
        <v>BB Unit  No. 3</v>
      </c>
      <c r="C41" s="130"/>
      <c r="D41" s="145">
        <f>IFERROR(VLOOKUP($A41,'2021 B-7'!C:R,14,FALSE),0)</f>
        <v>356769.90599998832</v>
      </c>
      <c r="E41" s="145">
        <f>IFERROR(VLOOKUP($A41,'2021 B-9'!C:T,16,FALSE),0)</f>
        <v>-698923.47551828623</v>
      </c>
      <c r="F41" s="130"/>
      <c r="G41" s="138">
        <f>'Proposed Rates'!$I41</f>
        <v>3.5</v>
      </c>
      <c r="H41" s="145">
        <f t="shared" ref="H41:H44" si="5">ROUND(($D41*G41)/100,0)</f>
        <v>12487</v>
      </c>
      <c r="I41" s="130"/>
      <c r="J41" s="138">
        <f>'Proposed Rates'!$V41</f>
        <v>3.6</v>
      </c>
      <c r="K41" s="145">
        <f t="shared" ref="K41:K44" si="6">ROUND(($D41*J41)/100,0)</f>
        <v>12844</v>
      </c>
      <c r="L41" s="145">
        <f>K41-H41</f>
        <v>357</v>
      </c>
      <c r="M41" s="852"/>
      <c r="N41" s="853">
        <f>L41-'Proposed Accrual 2020'!L41</f>
        <v>-164523</v>
      </c>
      <c r="O41" s="487" t="s">
        <v>1418</v>
      </c>
    </row>
    <row r="42" spans="1:15" x14ac:dyDescent="0.2">
      <c r="A42" s="140">
        <f>'Plant &amp; Reserve'!$A42</f>
        <v>31443</v>
      </c>
      <c r="B42" s="130" t="str">
        <f>'Plant &amp; Reserve'!$B42</f>
        <v>BB Unit  No. 3</v>
      </c>
      <c r="C42" s="130"/>
      <c r="D42" s="145">
        <f>IFERROR(VLOOKUP($A42,'2021 B-7'!C:R,14,FALSE),0)</f>
        <v>116385.23599998653</v>
      </c>
      <c r="E42" s="145">
        <f>IFERROR(VLOOKUP($A42,'2021 B-9'!C:T,16,FALSE),0)</f>
        <v>-206825.89878537506</v>
      </c>
      <c r="F42" s="130"/>
      <c r="G42" s="138">
        <f>'Proposed Rates'!$I42</f>
        <v>3.2</v>
      </c>
      <c r="H42" s="145">
        <f t="shared" si="5"/>
        <v>3724</v>
      </c>
      <c r="I42" s="130"/>
      <c r="J42" s="138">
        <f>'Proposed Rates'!$V42</f>
        <v>3.8</v>
      </c>
      <c r="K42" s="145">
        <f t="shared" si="6"/>
        <v>4423</v>
      </c>
      <c r="L42" s="145">
        <f>K42-H42</f>
        <v>699</v>
      </c>
      <c r="M42" s="852"/>
      <c r="N42" s="853">
        <f>L42-'Proposed Accrual 2020'!L42</f>
        <v>-328478</v>
      </c>
      <c r="O42" s="487" t="s">
        <v>1418</v>
      </c>
    </row>
    <row r="43" spans="1:15" x14ac:dyDescent="0.2">
      <c r="A43" s="140">
        <f>'Plant &amp; Reserve'!$A43</f>
        <v>31543</v>
      </c>
      <c r="B43" s="130" t="str">
        <f>'Plant &amp; Reserve'!$B43</f>
        <v>BB Unit  No. 3</v>
      </c>
      <c r="C43" s="130"/>
      <c r="D43" s="145">
        <f>IFERROR(VLOOKUP($A43,'2021 B-7'!C:R,14,FALSE),0)</f>
        <v>-354889.35000000522</v>
      </c>
      <c r="E43" s="145">
        <f>IFERROR(VLOOKUP($A43,'2021 B-9'!C:T,16,FALSE),0)</f>
        <v>-112060.31028002314</v>
      </c>
      <c r="F43" s="130"/>
      <c r="G43" s="138">
        <f>'Proposed Rates'!$I43</f>
        <v>3.6</v>
      </c>
      <c r="H43" s="145">
        <f t="shared" si="5"/>
        <v>-12776</v>
      </c>
      <c r="I43" s="130"/>
      <c r="J43" s="138">
        <f>'Proposed Rates'!$V43</f>
        <v>3.3</v>
      </c>
      <c r="K43" s="145">
        <f t="shared" si="6"/>
        <v>-11711</v>
      </c>
      <c r="L43" s="145">
        <f>K43-H43</f>
        <v>1065</v>
      </c>
      <c r="M43" s="852"/>
      <c r="N43" s="853">
        <f>L43-'Proposed Accrual 2020'!L43</f>
        <v>79312</v>
      </c>
      <c r="O43" s="487" t="s">
        <v>1418</v>
      </c>
    </row>
    <row r="44" spans="1:15" ht="15" x14ac:dyDescent="0.2">
      <c r="A44" s="140">
        <f>'Plant &amp; Reserve'!$A44</f>
        <v>31643</v>
      </c>
      <c r="B44" s="168" t="str">
        <f>'Plant &amp; Reserve'!$B44</f>
        <v>BB Unit  No. 3</v>
      </c>
      <c r="C44" s="130"/>
      <c r="D44" s="172">
        <f>IFERROR(VLOOKUP($A44,'2021 B-7'!C:R,14,FALSE),0)</f>
        <v>2.3283064365386963E-10</v>
      </c>
      <c r="E44" s="172">
        <f>IFERROR(VLOOKUP($A44,'2021 B-9'!C:T,16,FALSE),0)</f>
        <v>-1.5999998664483428E-2</v>
      </c>
      <c r="F44" s="130"/>
      <c r="G44" s="170">
        <f>'Proposed Rates'!$I44</f>
        <v>3</v>
      </c>
      <c r="H44" s="172">
        <f t="shared" si="5"/>
        <v>0</v>
      </c>
      <c r="I44" s="130"/>
      <c r="J44" s="170">
        <f>'Proposed Rates'!$V44</f>
        <v>3.6</v>
      </c>
      <c r="K44" s="171">
        <f t="shared" si="6"/>
        <v>0</v>
      </c>
      <c r="L44" s="171">
        <f>K44-H44</f>
        <v>0</v>
      </c>
      <c r="M44" s="852"/>
      <c r="N44" s="853">
        <f>L44-'Proposed Accrual 2020'!L44</f>
        <v>-11929</v>
      </c>
      <c r="O44" s="487" t="s">
        <v>1418</v>
      </c>
    </row>
    <row r="45" spans="1:15" x14ac:dyDescent="0.2">
      <c r="A45" s="134"/>
      <c r="B45" s="128" t="s">
        <v>75</v>
      </c>
      <c r="C45" s="130"/>
      <c r="D45" s="173">
        <f>SUM(D40:D44)</f>
        <v>118265.79199997173</v>
      </c>
      <c r="E45" s="173">
        <f>SUM(E40:E44)</f>
        <v>-1017809.6041037028</v>
      </c>
      <c r="F45" s="130"/>
      <c r="G45" s="177">
        <f>'Proposed Rates'!$I45</f>
        <v>3.4</v>
      </c>
      <c r="H45" s="173">
        <f>SUM(H40:H44)</f>
        <v>3435</v>
      </c>
      <c r="I45" s="130"/>
      <c r="J45" s="177">
        <f>'Proposed Rates'!$V45</f>
        <v>3.5</v>
      </c>
      <c r="K45" s="173">
        <f>SUM(K40:K44)</f>
        <v>5556</v>
      </c>
      <c r="L45" s="173">
        <f>SUM(L40:L44)</f>
        <v>2121</v>
      </c>
      <c r="M45" s="852"/>
      <c r="N45" s="853">
        <f>L45-'Proposed Accrual 2020'!L45</f>
        <v>-410423</v>
      </c>
      <c r="O45" s="487" t="s">
        <v>1418</v>
      </c>
    </row>
    <row r="46" spans="1:15" x14ac:dyDescent="0.2">
      <c r="A46" s="140"/>
      <c r="B46" s="130"/>
      <c r="C46" s="130"/>
      <c r="D46" s="145"/>
      <c r="E46" s="145"/>
      <c r="F46" s="130"/>
      <c r="G46" s="138" t="s">
        <v>60</v>
      </c>
      <c r="H46" s="145"/>
      <c r="I46" s="130"/>
      <c r="J46" s="138"/>
      <c r="K46" s="145"/>
      <c r="L46" s="145"/>
      <c r="M46" s="130"/>
      <c r="N46" s="853">
        <f>L46-'Proposed Accrual 2020'!L46</f>
        <v>0</v>
      </c>
      <c r="O46" s="487"/>
    </row>
    <row r="47" spans="1:15" x14ac:dyDescent="0.2">
      <c r="A47" s="140">
        <f>'Plant &amp; Reserve'!$A47</f>
        <v>31144</v>
      </c>
      <c r="B47" s="130" t="str">
        <f>'Plant &amp; Reserve'!$B47</f>
        <v>BB Unit  No. 4</v>
      </c>
      <c r="C47" s="130"/>
      <c r="D47" s="145">
        <f>IFERROR(VLOOKUP($A47,'2021 B-7'!C:R,14,FALSE),0)</f>
        <v>64771779.650000013</v>
      </c>
      <c r="E47" s="145">
        <f>IFERROR(VLOOKUP($A47,'2021 B-9'!C:T,16,FALSE),0)</f>
        <v>36893762.853700012</v>
      </c>
      <c r="F47" s="130"/>
      <c r="G47" s="138">
        <f>'Proposed Rates'!$I47</f>
        <v>1.8</v>
      </c>
      <c r="H47" s="145">
        <f>ROUND(($D47*G47)/100,0)</f>
        <v>1165892</v>
      </c>
      <c r="I47" s="130"/>
      <c r="J47" s="138">
        <f>'Proposed Rates'!$V47</f>
        <v>1.9</v>
      </c>
      <c r="K47" s="145">
        <f>ROUND(($D47*J47)/100,0)</f>
        <v>1230664</v>
      </c>
      <c r="L47" s="145">
        <f>K47-H47</f>
        <v>64772</v>
      </c>
      <c r="M47" s="852"/>
      <c r="N47" s="853">
        <f>L47-'Proposed Accrual 2020'!L47</f>
        <v>0</v>
      </c>
      <c r="O47" s="487"/>
    </row>
    <row r="48" spans="1:15" x14ac:dyDescent="0.2">
      <c r="A48" s="140">
        <f>'Plant &amp; Reserve'!$A48</f>
        <v>31244</v>
      </c>
      <c r="B48" s="130" t="str">
        <f>'Plant &amp; Reserve'!$B48</f>
        <v>BB Unit  No. 4</v>
      </c>
      <c r="C48" s="130"/>
      <c r="D48" s="145">
        <f>IFERROR(VLOOKUP($A48,'2021 B-7'!C:R,14,FALSE),0)</f>
        <v>291535014.69999987</v>
      </c>
      <c r="E48" s="145">
        <f>IFERROR(VLOOKUP($A48,'2021 B-9'!C:T,16,FALSE),0)</f>
        <v>101124838.23959005</v>
      </c>
      <c r="F48" s="130"/>
      <c r="G48" s="138">
        <f>'Proposed Rates'!$I48</f>
        <v>3</v>
      </c>
      <c r="H48" s="145">
        <f t="shared" ref="H48:H51" si="7">ROUND(($D48*G48)/100,0)</f>
        <v>8746050</v>
      </c>
      <c r="I48" s="130"/>
      <c r="J48" s="138">
        <f>'Proposed Rates'!$V48</f>
        <v>3.3</v>
      </c>
      <c r="K48" s="145">
        <f t="shared" ref="K48:K51" si="8">ROUND(($D48*J48)/100,0)</f>
        <v>9620655</v>
      </c>
      <c r="L48" s="145">
        <f>K48-H48</f>
        <v>874605</v>
      </c>
      <c r="M48" s="852"/>
      <c r="N48" s="853">
        <f>L48-'Proposed Accrual 2020'!L48</f>
        <v>9974</v>
      </c>
      <c r="O48" s="487"/>
    </row>
    <row r="49" spans="1:15" x14ac:dyDescent="0.2">
      <c r="A49" s="140">
        <f>'Plant &amp; Reserve'!$A49</f>
        <v>31444</v>
      </c>
      <c r="B49" s="130" t="str">
        <f>'Plant &amp; Reserve'!$B49</f>
        <v>BB Unit  No. 4</v>
      </c>
      <c r="C49" s="130"/>
      <c r="D49" s="145">
        <f>IFERROR(VLOOKUP($A49,'2021 B-7'!C:R,14,FALSE),0)</f>
        <v>113075260.7</v>
      </c>
      <c r="E49" s="145">
        <f>IFERROR(VLOOKUP($A49,'2021 B-9'!C:T,16,FALSE),0)</f>
        <v>47341336.639950655</v>
      </c>
      <c r="F49" s="130"/>
      <c r="G49" s="138">
        <f>'Proposed Rates'!$I49</f>
        <v>2.8</v>
      </c>
      <c r="H49" s="145">
        <f t="shared" si="7"/>
        <v>3166107</v>
      </c>
      <c r="I49" s="130"/>
      <c r="J49" s="138">
        <f>'Proposed Rates'!$V49</f>
        <v>3.2</v>
      </c>
      <c r="K49" s="145">
        <f t="shared" si="8"/>
        <v>3618408</v>
      </c>
      <c r="L49" s="145">
        <f>K49-H49</f>
        <v>452301</v>
      </c>
      <c r="M49" s="852"/>
      <c r="N49" s="853">
        <f>L49-'Proposed Accrual 2020'!L49</f>
        <v>13298</v>
      </c>
      <c r="O49" s="487"/>
    </row>
    <row r="50" spans="1:15" x14ac:dyDescent="0.2">
      <c r="A50" s="140">
        <f>'Plant &amp; Reserve'!$A50</f>
        <v>31544</v>
      </c>
      <c r="B50" s="130" t="str">
        <f>'Plant &amp; Reserve'!$B50</f>
        <v>BB Unit  No. 4</v>
      </c>
      <c r="C50" s="130"/>
      <c r="D50" s="145">
        <f>IFERROR(VLOOKUP($A50,'2021 B-7'!C:R,14,FALSE),0)</f>
        <v>51508720.270000011</v>
      </c>
      <c r="E50" s="145">
        <f>IFERROR(VLOOKUP($A50,'2021 B-9'!C:T,16,FALSE),0)</f>
        <v>31017042.048639968</v>
      </c>
      <c r="F50" s="130"/>
      <c r="G50" s="138">
        <f>'Proposed Rates'!$I50</f>
        <v>3.2</v>
      </c>
      <c r="H50" s="145">
        <f t="shared" si="7"/>
        <v>1648279</v>
      </c>
      <c r="I50" s="130"/>
      <c r="J50" s="138">
        <f>'Proposed Rates'!$V50</f>
        <v>2.9</v>
      </c>
      <c r="K50" s="145">
        <f t="shared" si="8"/>
        <v>1493753</v>
      </c>
      <c r="L50" s="145">
        <f>K50-H50</f>
        <v>-154526</v>
      </c>
      <c r="M50" s="852"/>
      <c r="N50" s="853">
        <f>L50-'Proposed Accrual 2020'!L50</f>
        <v>0</v>
      </c>
      <c r="O50" s="487"/>
    </row>
    <row r="51" spans="1:15" ht="15" x14ac:dyDescent="0.2">
      <c r="A51" s="140">
        <f>'Plant &amp; Reserve'!$A51</f>
        <v>31644</v>
      </c>
      <c r="B51" s="168" t="str">
        <f>'Plant &amp; Reserve'!$B51</f>
        <v>BB Unit  No. 4</v>
      </c>
      <c r="C51" s="130"/>
      <c r="D51" s="172">
        <f>IFERROR(VLOOKUP($A51,'2021 B-7'!C:R,14,FALSE),0)</f>
        <v>5865811.79</v>
      </c>
      <c r="E51" s="172">
        <f>IFERROR(VLOOKUP($A51,'2021 B-9'!C:T,16,FALSE),0)</f>
        <v>4082927.0047499957</v>
      </c>
      <c r="F51" s="130"/>
      <c r="G51" s="170">
        <f>'Proposed Rates'!$I51</f>
        <v>2.5</v>
      </c>
      <c r="H51" s="172">
        <f t="shared" si="7"/>
        <v>146645</v>
      </c>
      <c r="I51" s="130"/>
      <c r="J51" s="170">
        <f>'Proposed Rates'!$V51</f>
        <v>1.8</v>
      </c>
      <c r="K51" s="171">
        <f t="shared" si="8"/>
        <v>105585</v>
      </c>
      <c r="L51" s="171">
        <f>K51-H51</f>
        <v>-41060</v>
      </c>
      <c r="M51" s="852"/>
      <c r="N51" s="853">
        <f>L51-'Proposed Accrual 2020'!L51</f>
        <v>0</v>
      </c>
      <c r="O51" s="487"/>
    </row>
    <row r="52" spans="1:15" x14ac:dyDescent="0.2">
      <c r="A52" s="134"/>
      <c r="B52" s="128" t="s">
        <v>75</v>
      </c>
      <c r="C52" s="130"/>
      <c r="D52" s="173">
        <f>SUM(D47:D51)</f>
        <v>526756587.10999995</v>
      </c>
      <c r="E52" s="173">
        <f>SUM(E47:E51)</f>
        <v>220459906.78663066</v>
      </c>
      <c r="F52" s="130"/>
      <c r="G52" s="177">
        <f>'Proposed Rates'!$I52</f>
        <v>2.8</v>
      </c>
      <c r="H52" s="173">
        <f>SUM(H47:H51)</f>
        <v>14872973</v>
      </c>
      <c r="I52" s="130"/>
      <c r="J52" s="177">
        <f>'Proposed Rates'!$V52</f>
        <v>3</v>
      </c>
      <c r="K52" s="173">
        <f>SUM(K47:K51)</f>
        <v>16069065</v>
      </c>
      <c r="L52" s="173">
        <f>SUM(L47:L51)</f>
        <v>1196092</v>
      </c>
      <c r="M52" s="852"/>
      <c r="N52" s="853">
        <f>L52-'Proposed Accrual 2020'!L52</f>
        <v>23272</v>
      </c>
      <c r="O52" s="487"/>
    </row>
    <row r="53" spans="1:15" x14ac:dyDescent="0.2">
      <c r="A53" s="140"/>
      <c r="B53" s="130"/>
      <c r="C53" s="130"/>
      <c r="D53" s="145"/>
      <c r="E53" s="145"/>
      <c r="F53" s="130"/>
      <c r="G53" s="138" t="s">
        <v>60</v>
      </c>
      <c r="H53" s="145"/>
      <c r="I53" s="130"/>
      <c r="J53" s="138"/>
      <c r="K53" s="145"/>
      <c r="L53" s="145"/>
      <c r="M53" s="130"/>
      <c r="N53" s="853">
        <f>L53-'Proposed Accrual 2020'!L53</f>
        <v>0</v>
      </c>
      <c r="O53" s="487"/>
    </row>
    <row r="54" spans="1:15" x14ac:dyDescent="0.2">
      <c r="A54" s="140">
        <f>'Plant &amp; Reserve'!$A54</f>
        <v>31146</v>
      </c>
      <c r="B54" s="130" t="str">
        <f>'Plant &amp; Reserve'!$B54</f>
        <v>No. 1 &amp; 2  FGD System</v>
      </c>
      <c r="C54" s="130"/>
      <c r="D54" s="145">
        <f>IFERROR(VLOOKUP($A54,'2021 B-7'!C:R,14,FALSE),0)</f>
        <v>7283081.4900000021</v>
      </c>
      <c r="E54" s="145">
        <f>IFERROR(VLOOKUP($A54,'2021 B-9'!C:T,16,FALSE),0)</f>
        <v>4361722.1044600029</v>
      </c>
      <c r="F54" s="130"/>
      <c r="G54" s="138">
        <f>'Proposed Rates'!$I54</f>
        <v>2.9</v>
      </c>
      <c r="H54" s="145">
        <f t="shared" ref="H54:H57" si="9">ROUND(($D54*G54)/100,0)</f>
        <v>211209</v>
      </c>
      <c r="I54" s="130"/>
      <c r="J54" s="138">
        <f>'Proposed Rates'!$V54</f>
        <v>2.9</v>
      </c>
      <c r="K54" s="145">
        <f t="shared" ref="K54:K57" si="10">ROUND(($D54*J54)/100,0)</f>
        <v>211209</v>
      </c>
      <c r="L54" s="145">
        <f>K54-H54</f>
        <v>0</v>
      </c>
      <c r="M54" s="852"/>
      <c r="N54" s="853">
        <f>L54-'Proposed Accrual 2020'!L54</f>
        <v>0</v>
      </c>
      <c r="O54" s="487" t="s">
        <v>1418</v>
      </c>
    </row>
    <row r="55" spans="1:15" x14ac:dyDescent="0.2">
      <c r="A55" s="140">
        <f>'Plant &amp; Reserve'!$A55</f>
        <v>31246</v>
      </c>
      <c r="B55" s="130" t="str">
        <f>'Plant &amp; Reserve'!$B55</f>
        <v>No. 1 &amp; 2  FGD System</v>
      </c>
      <c r="C55" s="130"/>
      <c r="D55" s="145">
        <f>IFERROR(VLOOKUP($A55,'2021 B-7'!C:R,14,FALSE),0)</f>
        <v>16458090.999999993</v>
      </c>
      <c r="E55" s="145">
        <f>IFERROR(VLOOKUP($A55,'2021 B-9'!C:T,16,FALSE),0)</f>
        <v>6548834.502380006</v>
      </c>
      <c r="F55" s="130"/>
      <c r="G55" s="138">
        <f>'Proposed Rates'!$I55</f>
        <v>3.3</v>
      </c>
      <c r="H55" s="145">
        <f t="shared" si="9"/>
        <v>543117</v>
      </c>
      <c r="I55" s="130"/>
      <c r="J55" s="138">
        <f>'Proposed Rates'!$V55</f>
        <v>4.3</v>
      </c>
      <c r="K55" s="145">
        <f t="shared" si="10"/>
        <v>707698</v>
      </c>
      <c r="L55" s="145">
        <f>K55-H55</f>
        <v>164581</v>
      </c>
      <c r="M55" s="852"/>
      <c r="N55" s="853">
        <f>L55-'Proposed Accrual 2020'!L55</f>
        <v>-385781</v>
      </c>
      <c r="O55" s="487" t="s">
        <v>1418</v>
      </c>
    </row>
    <row r="56" spans="1:15" x14ac:dyDescent="0.2">
      <c r="A56" s="140">
        <f>'Plant &amp; Reserve'!$A56</f>
        <v>31546</v>
      </c>
      <c r="B56" s="130" t="str">
        <f>'Plant &amp; Reserve'!$B56</f>
        <v>No. 1 &amp; 2  FGD System</v>
      </c>
      <c r="C56" s="130"/>
      <c r="D56" s="145">
        <f>IFERROR(VLOOKUP($A56,'2021 B-7'!C:R,14,FALSE),0)</f>
        <v>312010.40999999829</v>
      </c>
      <c r="E56" s="145">
        <f>IFERROR(VLOOKUP($A56,'2021 B-9'!C:T,16,FALSE),0)</f>
        <v>205725.84664999787</v>
      </c>
      <c r="F56" s="130"/>
      <c r="G56" s="138">
        <f>'Proposed Rates'!$I56</f>
        <v>3.5</v>
      </c>
      <c r="H56" s="145">
        <f t="shared" si="9"/>
        <v>10920</v>
      </c>
      <c r="I56" s="130"/>
      <c r="J56" s="138">
        <f>'Proposed Rates'!$V56</f>
        <v>3.5</v>
      </c>
      <c r="K56" s="145">
        <f t="shared" si="10"/>
        <v>10920</v>
      </c>
      <c r="L56" s="145">
        <f>K56-H56</f>
        <v>0</v>
      </c>
      <c r="M56" s="852"/>
      <c r="N56" s="853">
        <f>L56-'Proposed Accrual 2020'!L56</f>
        <v>0</v>
      </c>
      <c r="O56" s="487" t="s">
        <v>1418</v>
      </c>
    </row>
    <row r="57" spans="1:15" ht="15" x14ac:dyDescent="0.2">
      <c r="A57" s="140">
        <f>'Plant &amp; Reserve'!$A57</f>
        <v>31646</v>
      </c>
      <c r="B57" s="168" t="str">
        <f>'Plant &amp; Reserve'!$B57</f>
        <v>No. 1 &amp; 2  FGD System</v>
      </c>
      <c r="C57" s="130"/>
      <c r="D57" s="172">
        <f>IFERROR(VLOOKUP($A57,'2021 B-7'!C:R,14,FALSE),0)</f>
        <v>1021934.3999999999</v>
      </c>
      <c r="E57" s="172">
        <f>IFERROR(VLOOKUP($A57,'2021 B-9'!C:T,16,FALSE),0)</f>
        <v>619044.80262999842</v>
      </c>
      <c r="F57" s="130"/>
      <c r="G57" s="170">
        <f>'Proposed Rates'!$I57</f>
        <v>2.9</v>
      </c>
      <c r="H57" s="172">
        <f t="shared" si="9"/>
        <v>29636</v>
      </c>
      <c r="I57" s="130"/>
      <c r="J57" s="170">
        <f>'Proposed Rates'!$V57</f>
        <v>2.7</v>
      </c>
      <c r="K57" s="171">
        <f t="shared" si="10"/>
        <v>27592</v>
      </c>
      <c r="L57" s="171">
        <f>K57-H57</f>
        <v>-2044</v>
      </c>
      <c r="M57" s="852"/>
      <c r="N57" s="853">
        <f>L57-'Proposed Accrual 2020'!L57</f>
        <v>1407</v>
      </c>
      <c r="O57" s="487" t="s">
        <v>1418</v>
      </c>
    </row>
    <row r="58" spans="1:15" x14ac:dyDescent="0.2">
      <c r="A58" s="134"/>
      <c r="B58" s="128" t="s">
        <v>75</v>
      </c>
      <c r="C58" s="130"/>
      <c r="D58" s="173">
        <f>SUM(D53:D57)</f>
        <v>25075117.29999999</v>
      </c>
      <c r="E58" s="173">
        <f>SUM(E53:E57)</f>
        <v>11735327.256120006</v>
      </c>
      <c r="F58" s="130"/>
      <c r="G58" s="177">
        <f>'Proposed Rates'!$I58</f>
        <v>3.2</v>
      </c>
      <c r="H58" s="173">
        <f>SUM(H53:H57)</f>
        <v>794882</v>
      </c>
      <c r="I58" s="130"/>
      <c r="J58" s="177">
        <f>'Proposed Rates'!$V58</f>
        <v>3.9</v>
      </c>
      <c r="K58" s="173">
        <f>SUM(K53:K57)</f>
        <v>957419</v>
      </c>
      <c r="L58" s="173">
        <f>SUM(L53:L57)</f>
        <v>162537</v>
      </c>
      <c r="M58" s="852"/>
      <c r="N58" s="853">
        <f>L58-'Proposed Accrual 2020'!L58</f>
        <v>-384374</v>
      </c>
      <c r="O58" s="487" t="s">
        <v>1418</v>
      </c>
    </row>
    <row r="59" spans="1:15" x14ac:dyDescent="0.2">
      <c r="A59" s="140"/>
      <c r="B59" s="130"/>
      <c r="C59" s="130"/>
      <c r="D59" s="145"/>
      <c r="E59" s="145"/>
      <c r="F59" s="130"/>
      <c r="G59" s="138"/>
      <c r="H59" s="145"/>
      <c r="I59" s="130"/>
      <c r="J59" s="138"/>
      <c r="K59" s="145"/>
      <c r="L59" s="145"/>
      <c r="M59" s="130"/>
      <c r="N59" s="853">
        <f>L59-'Proposed Accrual 2020'!L59</f>
        <v>0</v>
      </c>
      <c r="O59" s="487"/>
    </row>
    <row r="60" spans="1:15" x14ac:dyDescent="0.2">
      <c r="A60" s="140">
        <f>'Plant &amp; Reserve'!$A60</f>
        <v>31145</v>
      </c>
      <c r="B60" s="130" t="str">
        <f>'Plant &amp; Reserve'!$B60</f>
        <v>No. 3 &amp; 4  FGD System</v>
      </c>
      <c r="C60" s="130"/>
      <c r="D60" s="145">
        <f>IFERROR(VLOOKUP($A60,'2021 B-7'!C:R,14,FALSE),0)</f>
        <v>24499660.690000013</v>
      </c>
      <c r="E60" s="145">
        <f>IFERROR(VLOOKUP($A60,'2021 B-9'!C:T,16,FALSE),0)</f>
        <v>13272528.983800005</v>
      </c>
      <c r="F60" s="130"/>
      <c r="G60" s="138">
        <f>'Proposed Rates'!$I60</f>
        <v>2</v>
      </c>
      <c r="H60" s="145">
        <f t="shared" ref="H60:H63" si="11">ROUND(($D60*G60)/100,0)</f>
        <v>489993</v>
      </c>
      <c r="I60" s="130"/>
      <c r="J60" s="138">
        <f>'Proposed Rates'!$V60</f>
        <v>2.1</v>
      </c>
      <c r="K60" s="145">
        <f t="shared" ref="K60:K63" si="12">ROUND(($D60*J60)/100,0)</f>
        <v>514493</v>
      </c>
      <c r="L60" s="145">
        <f>K60-H60</f>
        <v>24500</v>
      </c>
      <c r="M60" s="852"/>
      <c r="N60" s="853">
        <f>L60-'Proposed Accrual 2020'!L60</f>
        <v>0</v>
      </c>
      <c r="O60" s="487"/>
    </row>
    <row r="61" spans="1:15" x14ac:dyDescent="0.2">
      <c r="A61" s="140">
        <f>'Plant &amp; Reserve'!$A61</f>
        <v>31245</v>
      </c>
      <c r="B61" s="130" t="str">
        <f>'Plant &amp; Reserve'!$B61</f>
        <v>No. 3 &amp; 4  FGD System</v>
      </c>
      <c r="C61" s="130"/>
      <c r="D61" s="145">
        <f>IFERROR(VLOOKUP($A61,'2021 B-7'!C:R,14,FALSE),0)</f>
        <v>170362734.02799997</v>
      </c>
      <c r="E61" s="145">
        <f>IFERROR(VLOOKUP($A61,'2021 B-9'!C:T,16,FALSE),0)</f>
        <v>64471321.646341689</v>
      </c>
      <c r="F61" s="130"/>
      <c r="G61" s="138">
        <f>'Proposed Rates'!$I61</f>
        <v>2.5</v>
      </c>
      <c r="H61" s="145">
        <f t="shared" si="11"/>
        <v>4259068</v>
      </c>
      <c r="I61" s="130"/>
      <c r="J61" s="138">
        <f>'Proposed Rates'!$V61</f>
        <v>3.1</v>
      </c>
      <c r="K61" s="145">
        <f t="shared" si="12"/>
        <v>5281245</v>
      </c>
      <c r="L61" s="145">
        <f>K61-H61</f>
        <v>1022177</v>
      </c>
      <c r="M61" s="852"/>
      <c r="N61" s="853">
        <f>L61-'Proposed Accrual 2020'!L61</f>
        <v>53600</v>
      </c>
      <c r="O61" s="487"/>
    </row>
    <row r="62" spans="1:15" x14ac:dyDescent="0.2">
      <c r="A62" s="140">
        <f>'Plant &amp; Reserve'!$A62</f>
        <v>31545</v>
      </c>
      <c r="B62" s="130" t="str">
        <f>'Plant &amp; Reserve'!$B62</f>
        <v>No. 3 &amp; 4  FGD System</v>
      </c>
      <c r="C62" s="130"/>
      <c r="D62" s="145">
        <f>IFERROR(VLOOKUP($A62,'2021 B-7'!C:R,14,FALSE),0)</f>
        <v>34641684.118000001</v>
      </c>
      <c r="E62" s="145">
        <f>IFERROR(VLOOKUP($A62,'2021 B-9'!C:T,16,FALSE),0)</f>
        <v>13873067.742733661</v>
      </c>
      <c r="F62" s="130"/>
      <c r="G62" s="138">
        <f>'Proposed Rates'!$I62</f>
        <v>3.1</v>
      </c>
      <c r="H62" s="145">
        <f t="shared" si="11"/>
        <v>1073892</v>
      </c>
      <c r="I62" s="130"/>
      <c r="J62" s="138">
        <f>'Proposed Rates'!$V62</f>
        <v>2.4</v>
      </c>
      <c r="K62" s="145">
        <f t="shared" si="12"/>
        <v>831400</v>
      </c>
      <c r="L62" s="145">
        <f>K62-H62</f>
        <v>-242492</v>
      </c>
      <c r="M62" s="852"/>
      <c r="N62" s="853">
        <f>L62-'Proposed Accrual 2020'!L62</f>
        <v>-62532</v>
      </c>
      <c r="O62" s="487"/>
    </row>
    <row r="63" spans="1:15" ht="15" x14ac:dyDescent="0.2">
      <c r="A63" s="140">
        <f>'Plant &amp; Reserve'!$A63</f>
        <v>31645</v>
      </c>
      <c r="B63" s="168" t="str">
        <f>'Plant &amp; Reserve'!$B63</f>
        <v>No. 3 &amp; 4  FGD System</v>
      </c>
      <c r="C63" s="130"/>
      <c r="D63" s="172">
        <f>IFERROR(VLOOKUP($A63,'2021 B-7'!C:R,14,FALSE),0)</f>
        <v>672913.55</v>
      </c>
      <c r="E63" s="172">
        <f>IFERROR(VLOOKUP($A63,'2021 B-9'!C:T,16,FALSE),0)</f>
        <v>611447.44360000023</v>
      </c>
      <c r="F63" s="130"/>
      <c r="G63" s="170">
        <f>'Proposed Rates'!$I63</f>
        <v>3.2</v>
      </c>
      <c r="H63" s="172">
        <f t="shared" si="11"/>
        <v>21533</v>
      </c>
      <c r="I63" s="130"/>
      <c r="J63" s="170">
        <f>'Proposed Rates'!$V63</f>
        <v>0.6</v>
      </c>
      <c r="K63" s="171">
        <f t="shared" si="12"/>
        <v>4037</v>
      </c>
      <c r="L63" s="171">
        <f>K63-H63</f>
        <v>-17496</v>
      </c>
      <c r="M63" s="852"/>
      <c r="N63" s="853">
        <f>L63-'Proposed Accrual 2020'!L63</f>
        <v>0</v>
      </c>
      <c r="O63" s="487"/>
    </row>
    <row r="64" spans="1:15" x14ac:dyDescent="0.2">
      <c r="A64" s="134"/>
      <c r="B64" s="128" t="s">
        <v>75</v>
      </c>
      <c r="C64" s="130"/>
      <c r="D64" s="173">
        <f>SUM(D59:D63)</f>
        <v>230176992.38600001</v>
      </c>
      <c r="E64" s="173">
        <f>SUM(E59:E63)</f>
        <v>92228365.816475347</v>
      </c>
      <c r="F64" s="130"/>
      <c r="G64" s="177">
        <f>'Proposed Rates'!$I64</f>
        <v>2.6</v>
      </c>
      <c r="H64" s="173">
        <f>SUM(H59:H63)</f>
        <v>5844486</v>
      </c>
      <c r="I64" s="130"/>
      <c r="J64" s="177">
        <f>'Proposed Rates'!$V64</f>
        <v>2.9</v>
      </c>
      <c r="K64" s="173">
        <f>SUM(K59:K63)</f>
        <v>6631175</v>
      </c>
      <c r="L64" s="173">
        <f>SUM(L59:L63)</f>
        <v>786689</v>
      </c>
      <c r="M64" s="852"/>
      <c r="N64" s="853">
        <f>L64-'Proposed Accrual 2020'!L64</f>
        <v>-8932</v>
      </c>
      <c r="O64" s="487"/>
    </row>
    <row r="65" spans="1:15" x14ac:dyDescent="0.2">
      <c r="A65" s="140"/>
      <c r="B65" s="130"/>
      <c r="C65" s="130"/>
      <c r="D65" s="145"/>
      <c r="E65" s="145"/>
      <c r="F65" s="130"/>
      <c r="G65" s="138"/>
      <c r="H65" s="145"/>
      <c r="I65" s="130"/>
      <c r="J65" s="138"/>
      <c r="K65" s="145"/>
      <c r="L65" s="145"/>
      <c r="M65" s="130"/>
      <c r="N65" s="853">
        <f>L65-'Proposed Accrual 2020'!L65</f>
        <v>0</v>
      </c>
      <c r="O65" s="487" t="s">
        <v>1418</v>
      </c>
    </row>
    <row r="66" spans="1:15" x14ac:dyDescent="0.2">
      <c r="A66" s="140">
        <f>'Plant &amp; Reserve'!$A66</f>
        <v>31151</v>
      </c>
      <c r="B66" s="130" t="str">
        <f>'Plant &amp; Reserve'!$B66</f>
        <v>No. 1 SCR System</v>
      </c>
      <c r="C66" s="130"/>
      <c r="D66" s="145">
        <f>IFERROR(VLOOKUP($A66,'2021 B-7'!C:R,14,FALSE),0)</f>
        <v>172082.14999999851</v>
      </c>
      <c r="E66" s="145">
        <f>IFERROR(VLOOKUP($A66,'2021 B-9'!C:T,16,FALSE),0)</f>
        <v>81130.912590006366</v>
      </c>
      <c r="F66" s="130"/>
      <c r="G66" s="138">
        <f>'Proposed Rates'!$I66</f>
        <v>4.0999999999999996</v>
      </c>
      <c r="H66" s="145">
        <f t="shared" ref="H66:H69" si="13">ROUND(($D66*G66)/100,0)</f>
        <v>7055</v>
      </c>
      <c r="I66" s="130"/>
      <c r="J66" s="138">
        <f>'Proposed Rates'!$V66</f>
        <v>4</v>
      </c>
      <c r="K66" s="145">
        <f t="shared" ref="K66:K69" si="14">ROUND(($D66*J66)/100,0)</f>
        <v>6883</v>
      </c>
      <c r="L66" s="145">
        <f>K66-H66</f>
        <v>-172</v>
      </c>
      <c r="M66" s="852"/>
      <c r="N66" s="853">
        <f>L66-'Proposed Accrual 2020'!L66</f>
        <v>22965</v>
      </c>
      <c r="O66" s="487" t="s">
        <v>1418</v>
      </c>
    </row>
    <row r="67" spans="1:15" x14ac:dyDescent="0.2">
      <c r="A67" s="140">
        <f>'Plant &amp; Reserve'!$A67</f>
        <v>31251</v>
      </c>
      <c r="B67" s="130" t="str">
        <f>'Plant &amp; Reserve'!$B67</f>
        <v>No. 1 SCR System</v>
      </c>
      <c r="C67" s="130"/>
      <c r="D67" s="145">
        <f>IFERROR(VLOOKUP($A67,'2021 B-7'!C:R,14,FALSE),0)</f>
        <v>7714334.1600000188</v>
      </c>
      <c r="E67" s="145">
        <f>IFERROR(VLOOKUP($A67,'2021 B-9'!C:T,16,FALSE),0)</f>
        <v>4013677.8726300225</v>
      </c>
      <c r="F67" s="130"/>
      <c r="G67" s="138">
        <f>'Proposed Rates'!$I67</f>
        <v>4.3</v>
      </c>
      <c r="H67" s="145">
        <f t="shared" si="13"/>
        <v>331716</v>
      </c>
      <c r="I67" s="130"/>
      <c r="J67" s="138">
        <f>'Proposed Rates'!$V67</f>
        <v>4.3</v>
      </c>
      <c r="K67" s="145">
        <f t="shared" si="14"/>
        <v>331716</v>
      </c>
      <c r="L67" s="145">
        <f>K67-H67</f>
        <v>0</v>
      </c>
      <c r="M67" s="852"/>
      <c r="N67" s="853">
        <f>L67-'Proposed Accrual 2020'!L67</f>
        <v>0</v>
      </c>
      <c r="O67" s="487" t="s">
        <v>1418</v>
      </c>
    </row>
    <row r="68" spans="1:15" x14ac:dyDescent="0.2">
      <c r="A68" s="140">
        <f>'Plant &amp; Reserve'!$A68</f>
        <v>31551</v>
      </c>
      <c r="B68" s="130" t="str">
        <f>'Plant &amp; Reserve'!$B68</f>
        <v>No. 1 SCR System</v>
      </c>
      <c r="C68" s="130"/>
      <c r="D68" s="145">
        <f>IFERROR(VLOOKUP($A68,'2021 B-7'!C:R,14,FALSE),0)</f>
        <v>4832031.0500000045</v>
      </c>
      <c r="E68" s="145">
        <f>IFERROR(VLOOKUP($A68,'2021 B-9'!C:T,16,FALSE),0)</f>
        <v>2660447.6248600176</v>
      </c>
      <c r="F68" s="130"/>
      <c r="G68" s="138">
        <f>'Proposed Rates'!$I68</f>
        <v>4.8</v>
      </c>
      <c r="H68" s="145">
        <f t="shared" si="13"/>
        <v>231937</v>
      </c>
      <c r="I68" s="130"/>
      <c r="J68" s="138">
        <f>'Proposed Rates'!$V68</f>
        <v>4</v>
      </c>
      <c r="K68" s="145">
        <f t="shared" si="14"/>
        <v>193281</v>
      </c>
      <c r="L68" s="145">
        <f>K68-H68</f>
        <v>-38656</v>
      </c>
      <c r="M68" s="852"/>
      <c r="N68" s="853">
        <f>L68-'Proposed Accrual 2020'!L68</f>
        <v>77952</v>
      </c>
      <c r="O68" s="487" t="s">
        <v>1418</v>
      </c>
    </row>
    <row r="69" spans="1:15" ht="15" x14ac:dyDescent="0.2">
      <c r="A69" s="140">
        <f>'Plant &amp; Reserve'!$A69</f>
        <v>31651</v>
      </c>
      <c r="B69" s="168" t="str">
        <f>'Plant &amp; Reserve'!$B69</f>
        <v>No. 1 SCR System</v>
      </c>
      <c r="C69" s="130"/>
      <c r="D69" s="172">
        <f>IFERROR(VLOOKUP($A69,'2021 B-7'!C:R,14,FALSE),0)</f>
        <v>-1.1641532182693481E-10</v>
      </c>
      <c r="E69" s="172">
        <f>IFERROR(VLOOKUP($A69,'2021 B-9'!C:T,16,FALSE),0)</f>
        <v>-1.8159999162890017E-2</v>
      </c>
      <c r="F69" s="130"/>
      <c r="G69" s="170">
        <f>'Proposed Rates'!$I69</f>
        <v>4.0999999999999996</v>
      </c>
      <c r="H69" s="172">
        <f t="shared" si="13"/>
        <v>0</v>
      </c>
      <c r="I69" s="130"/>
      <c r="J69" s="170">
        <f>'Proposed Rates'!$V69</f>
        <v>4</v>
      </c>
      <c r="K69" s="171">
        <f t="shared" si="14"/>
        <v>0</v>
      </c>
      <c r="L69" s="171">
        <f>K69-H69</f>
        <v>0</v>
      </c>
      <c r="M69" s="852"/>
      <c r="N69" s="853">
        <f>L69-'Proposed Accrual 2020'!L69</f>
        <v>879</v>
      </c>
      <c r="O69" s="487" t="s">
        <v>1418</v>
      </c>
    </row>
    <row r="70" spans="1:15" x14ac:dyDescent="0.2">
      <c r="A70" s="140"/>
      <c r="B70" s="128" t="s">
        <v>75</v>
      </c>
      <c r="C70" s="130"/>
      <c r="D70" s="173">
        <f>SUM(D65:D69)</f>
        <v>12718447.360000022</v>
      </c>
      <c r="E70" s="173">
        <f>SUM(E65:E69)</f>
        <v>6755256.3919200469</v>
      </c>
      <c r="F70" s="130"/>
      <c r="G70" s="177">
        <f>'Proposed Rates'!$I70</f>
        <v>4.3</v>
      </c>
      <c r="H70" s="173">
        <f>SUM(H65:H69)</f>
        <v>570708</v>
      </c>
      <c r="I70" s="130"/>
      <c r="J70" s="177">
        <f>'Proposed Rates'!$V70</f>
        <v>4.0999999999999996</v>
      </c>
      <c r="K70" s="173">
        <f>SUM(K65:K69)</f>
        <v>531880</v>
      </c>
      <c r="L70" s="173">
        <f>SUM(L65:L69)</f>
        <v>-38828</v>
      </c>
      <c r="M70" s="852"/>
      <c r="N70" s="853">
        <f>L70-'Proposed Accrual 2020'!L70</f>
        <v>101796</v>
      </c>
      <c r="O70" s="487" t="s">
        <v>1418</v>
      </c>
    </row>
    <row r="71" spans="1:15" x14ac:dyDescent="0.2">
      <c r="A71" s="140"/>
      <c r="B71" s="130"/>
      <c r="C71" s="130"/>
      <c r="D71" s="145"/>
      <c r="E71" s="145"/>
      <c r="F71" s="130"/>
      <c r="G71" s="138"/>
      <c r="H71" s="145"/>
      <c r="I71" s="130"/>
      <c r="J71" s="138"/>
      <c r="K71" s="145"/>
      <c r="L71" s="145"/>
      <c r="M71" s="130"/>
      <c r="N71" s="853">
        <f>L71-'Proposed Accrual 2020'!L71</f>
        <v>0</v>
      </c>
      <c r="O71" s="487"/>
    </row>
    <row r="72" spans="1:15" x14ac:dyDescent="0.2">
      <c r="A72" s="140">
        <f>'Plant &amp; Reserve'!$A72</f>
        <v>31152</v>
      </c>
      <c r="B72" s="130" t="str">
        <f>'Plant &amp; Reserve'!$B72</f>
        <v>No. 2 SCR System</v>
      </c>
      <c r="C72" s="130"/>
      <c r="D72" s="145">
        <f>IFERROR(VLOOKUP($A72,'2021 B-7'!C:R,14,FALSE),0)</f>
        <v>3.7252902984619141E-9</v>
      </c>
      <c r="E72" s="145">
        <f>IFERROR(VLOOKUP($A72,'2021 B-9'!C:T,16,FALSE),0)</f>
        <v>-6.4499996602535248E-2</v>
      </c>
      <c r="F72" s="130"/>
      <c r="G72" s="138">
        <f>'Proposed Rates'!$I72</f>
        <v>3.5</v>
      </c>
      <c r="H72" s="145">
        <f t="shared" ref="H72:H75" si="15">ROUND(($D72*G72)/100,0)</f>
        <v>0</v>
      </c>
      <c r="I72" s="130"/>
      <c r="J72" s="138">
        <f>'Proposed Rates'!$V72</f>
        <v>3.5</v>
      </c>
      <c r="K72" s="145">
        <f t="shared" ref="K72:K75" si="16">ROUND(($D72*J72)/100,0)</f>
        <v>0</v>
      </c>
      <c r="L72" s="145">
        <f>K72-H72</f>
        <v>0</v>
      </c>
      <c r="M72" s="852"/>
      <c r="N72" s="853">
        <f>L72-'Proposed Accrual 2020'!L72</f>
        <v>0</v>
      </c>
      <c r="O72" s="487" t="s">
        <v>1418</v>
      </c>
    </row>
    <row r="73" spans="1:15" x14ac:dyDescent="0.2">
      <c r="A73" s="140">
        <f>'Plant &amp; Reserve'!$A73</f>
        <v>31252</v>
      </c>
      <c r="B73" s="130" t="str">
        <f>'Plant &amp; Reserve'!$B73</f>
        <v>No. 2 SCR System</v>
      </c>
      <c r="C73" s="130"/>
      <c r="D73" s="145">
        <f>IFERROR(VLOOKUP($A73,'2021 B-7'!C:R,14,FALSE),0)</f>
        <v>5.9604644775390625E-8</v>
      </c>
      <c r="E73" s="145">
        <f>IFERROR(VLOOKUP($A73,'2021 B-9'!C:T,16,FALSE),0)</f>
        <v>-0.1459999606013298</v>
      </c>
      <c r="F73" s="130"/>
      <c r="G73" s="138">
        <f>'Proposed Rates'!$I73</f>
        <v>4</v>
      </c>
      <c r="H73" s="145">
        <f t="shared" si="15"/>
        <v>0</v>
      </c>
      <c r="I73" s="130"/>
      <c r="J73" s="138">
        <f>'Proposed Rates'!$V73</f>
        <v>4.2</v>
      </c>
      <c r="K73" s="145">
        <f t="shared" si="16"/>
        <v>0</v>
      </c>
      <c r="L73" s="145">
        <f>K73-H73</f>
        <v>0</v>
      </c>
      <c r="M73" s="852"/>
      <c r="N73" s="853">
        <f>L73-'Proposed Accrual 2020'!L73</f>
        <v>-102521</v>
      </c>
      <c r="O73" s="487" t="s">
        <v>1418</v>
      </c>
    </row>
    <row r="74" spans="1:15" x14ac:dyDescent="0.2">
      <c r="A74" s="140">
        <f>'Plant &amp; Reserve'!$A74</f>
        <v>31552</v>
      </c>
      <c r="B74" s="130" t="str">
        <f>'Plant &amp; Reserve'!$B74</f>
        <v>No. 2 SCR System</v>
      </c>
      <c r="C74" s="130"/>
      <c r="D74" s="145">
        <f>IFERROR(VLOOKUP($A74,'2021 B-7'!C:R,14,FALSE),0)</f>
        <v>-2.7939677238464355E-8</v>
      </c>
      <c r="E74" s="145">
        <f>IFERROR(VLOOKUP($A74,'2021 B-9'!C:T,16,FALSE),0)</f>
        <v>-0.11877002008259296</v>
      </c>
      <c r="F74" s="130"/>
      <c r="G74" s="138">
        <f>'Proposed Rates'!$I74</f>
        <v>4.0999999999999996</v>
      </c>
      <c r="H74" s="145">
        <f t="shared" si="15"/>
        <v>0</v>
      </c>
      <c r="I74" s="130"/>
      <c r="J74" s="138">
        <f>'Proposed Rates'!$V74</f>
        <v>3.7</v>
      </c>
      <c r="K74" s="145">
        <f t="shared" si="16"/>
        <v>0</v>
      </c>
      <c r="L74" s="145">
        <f>K74-H74</f>
        <v>0</v>
      </c>
      <c r="M74" s="852"/>
      <c r="N74" s="853">
        <f>L74-'Proposed Accrual 2020'!L74</f>
        <v>63804</v>
      </c>
      <c r="O74" s="487" t="s">
        <v>1418</v>
      </c>
    </row>
    <row r="75" spans="1:15" ht="15" x14ac:dyDescent="0.2">
      <c r="A75" s="140">
        <f>'Plant &amp; Reserve'!$A75</f>
        <v>31652</v>
      </c>
      <c r="B75" s="168" t="str">
        <f>'Plant &amp; Reserve'!$B75</f>
        <v>No. 2 SCR System</v>
      </c>
      <c r="C75" s="130"/>
      <c r="D75" s="172">
        <f>IFERROR(VLOOKUP($A75,'2021 B-7'!C:R,14,FALSE),0)</f>
        <v>-1.1641532182693481E-10</v>
      </c>
      <c r="E75" s="172">
        <f>IFERROR(VLOOKUP($A75,'2021 B-9'!C:T,16,FALSE),0)</f>
        <v>-9.5700005767866969E-3</v>
      </c>
      <c r="F75" s="130"/>
      <c r="G75" s="170">
        <f>'Proposed Rates'!$I75</f>
        <v>3.7</v>
      </c>
      <c r="H75" s="172">
        <f t="shared" si="15"/>
        <v>0</v>
      </c>
      <c r="I75" s="130"/>
      <c r="J75" s="170">
        <f>'Proposed Rates'!$V75</f>
        <v>3.4</v>
      </c>
      <c r="K75" s="171">
        <f t="shared" si="16"/>
        <v>0</v>
      </c>
      <c r="L75" s="171">
        <f>K75-H75</f>
        <v>0</v>
      </c>
      <c r="M75" s="852"/>
      <c r="N75" s="853">
        <f>L75-'Proposed Accrual 2020'!L75</f>
        <v>2876</v>
      </c>
      <c r="O75" s="487" t="s">
        <v>1418</v>
      </c>
    </row>
    <row r="76" spans="1:15" x14ac:dyDescent="0.2">
      <c r="A76" s="140"/>
      <c r="B76" s="128" t="s">
        <v>75</v>
      </c>
      <c r="C76" s="130"/>
      <c r="D76" s="173">
        <f>SUM(D71:D75)</f>
        <v>3.5273842513561249E-8</v>
      </c>
      <c r="E76" s="173">
        <f>SUM(E71:E75)</f>
        <v>-0.33883997786324471</v>
      </c>
      <c r="F76" s="130"/>
      <c r="G76" s="177">
        <f>'Proposed Rates'!$I76</f>
        <v>3.9</v>
      </c>
      <c r="H76" s="173">
        <f>SUM(H71:H75)</f>
        <v>0</v>
      </c>
      <c r="I76" s="130"/>
      <c r="J76" s="177">
        <f>'Proposed Rates'!$V76</f>
        <v>3.8</v>
      </c>
      <c r="K76" s="173">
        <f>SUM(K71:K75)</f>
        <v>0</v>
      </c>
      <c r="L76" s="173">
        <f>SUM(L71:L75)</f>
        <v>0</v>
      </c>
      <c r="M76" s="852"/>
      <c r="N76" s="853">
        <f>L76-'Proposed Accrual 2020'!L76</f>
        <v>-35841</v>
      </c>
      <c r="O76" s="487" t="s">
        <v>1418</v>
      </c>
    </row>
    <row r="77" spans="1:15" x14ac:dyDescent="0.2">
      <c r="A77" s="140"/>
      <c r="B77" s="130"/>
      <c r="C77" s="130"/>
      <c r="D77" s="145"/>
      <c r="E77" s="145"/>
      <c r="F77" s="130"/>
      <c r="G77" s="138"/>
      <c r="H77" s="145"/>
      <c r="I77" s="130"/>
      <c r="J77" s="138"/>
      <c r="K77" s="145"/>
      <c r="L77" s="145"/>
      <c r="M77" s="130"/>
      <c r="N77" s="853">
        <f>L77-'Proposed Accrual 2020'!L77</f>
        <v>0</v>
      </c>
      <c r="O77" s="487"/>
    </row>
    <row r="78" spans="1:15" x14ac:dyDescent="0.2">
      <c r="A78" s="140">
        <f>'Plant &amp; Reserve'!$A78</f>
        <v>31153</v>
      </c>
      <c r="B78" s="130" t="str">
        <f>'Plant &amp; Reserve'!$B78</f>
        <v>No. 3 SCR System</v>
      </c>
      <c r="C78" s="130"/>
      <c r="D78" s="145">
        <f>IFERROR(VLOOKUP($A78,'2021 B-7'!C:R,14,FALSE),0)</f>
        <v>-3.7252902984619141E-9</v>
      </c>
      <c r="E78" s="145">
        <f>IFERROR(VLOOKUP($A78,'2021 B-9'!C:T,16,FALSE),0)</f>
        <v>0.17116997390985489</v>
      </c>
      <c r="F78" s="130"/>
      <c r="G78" s="138">
        <f>'Proposed Rates'!$I78</f>
        <v>3.1</v>
      </c>
      <c r="H78" s="145">
        <f t="shared" ref="H78:H81" si="17">ROUND(($D78*G78)/100,0)</f>
        <v>0</v>
      </c>
      <c r="I78" s="130"/>
      <c r="J78" s="138">
        <f>'Proposed Rates'!$V78</f>
        <v>3.1</v>
      </c>
      <c r="K78" s="145">
        <f t="shared" ref="K78:K81" si="18">ROUND(($D78*J78)/100,0)</f>
        <v>0</v>
      </c>
      <c r="L78" s="145">
        <f>K78-H78</f>
        <v>0</v>
      </c>
      <c r="M78" s="852"/>
      <c r="N78" s="853">
        <f>L78-'Proposed Accrual 2020'!L78</f>
        <v>0</v>
      </c>
      <c r="O78" s="487" t="s">
        <v>1418</v>
      </c>
    </row>
    <row r="79" spans="1:15" x14ac:dyDescent="0.2">
      <c r="A79" s="140">
        <f>'Plant &amp; Reserve'!$A79</f>
        <v>31253</v>
      </c>
      <c r="B79" s="130" t="str">
        <f>'Plant &amp; Reserve'!$B79</f>
        <v>No. 3 SCR System</v>
      </c>
      <c r="C79" s="130"/>
      <c r="D79" s="145">
        <f>IFERROR(VLOOKUP($A79,'2021 B-7'!C:R,14,FALSE),0)</f>
        <v>0</v>
      </c>
      <c r="E79" s="145">
        <f>IFERROR(VLOOKUP($A79,'2021 B-9'!C:T,16,FALSE),0)</f>
        <v>0.22432996705174446</v>
      </c>
      <c r="F79" s="130"/>
      <c r="G79" s="138">
        <f>'Proposed Rates'!$I79</f>
        <v>3.9</v>
      </c>
      <c r="H79" s="145">
        <f t="shared" si="17"/>
        <v>0</v>
      </c>
      <c r="I79" s="130"/>
      <c r="J79" s="138">
        <f>'Proposed Rates'!$V79</f>
        <v>3.5</v>
      </c>
      <c r="K79" s="145">
        <f t="shared" si="18"/>
        <v>0</v>
      </c>
      <c r="L79" s="145">
        <f>K79-H79</f>
        <v>0</v>
      </c>
      <c r="M79" s="852"/>
      <c r="N79" s="853">
        <f>L79-'Proposed Accrual 2020'!L79</f>
        <v>176160</v>
      </c>
      <c r="O79" s="487" t="s">
        <v>1418</v>
      </c>
    </row>
    <row r="80" spans="1:15" x14ac:dyDescent="0.2">
      <c r="A80" s="140">
        <f>'Plant &amp; Reserve'!$A80</f>
        <v>31553</v>
      </c>
      <c r="B80" s="130" t="str">
        <f>'Plant &amp; Reserve'!$B80</f>
        <v>No. 3 SCR System</v>
      </c>
      <c r="C80" s="130"/>
      <c r="D80" s="145">
        <f>IFERROR(VLOOKUP($A80,'2021 B-7'!C:R,14,FALSE),0)</f>
        <v>1.862645149230957E-9</v>
      </c>
      <c r="E80" s="145">
        <f>IFERROR(VLOOKUP($A80,'2021 B-9'!C:T,16,FALSE),0)</f>
        <v>2.4100012145936489E-2</v>
      </c>
      <c r="F80" s="130"/>
      <c r="G80" s="138">
        <f>'Proposed Rates'!$I80</f>
        <v>4</v>
      </c>
      <c r="H80" s="145">
        <f t="shared" si="17"/>
        <v>0</v>
      </c>
      <c r="I80" s="130"/>
      <c r="J80" s="138">
        <f>'Proposed Rates'!$V80</f>
        <v>3.2</v>
      </c>
      <c r="K80" s="145">
        <f t="shared" si="18"/>
        <v>0</v>
      </c>
      <c r="L80" s="145">
        <f>K80-H80</f>
        <v>0</v>
      </c>
      <c r="M80" s="852"/>
      <c r="N80" s="853">
        <f>L80-'Proposed Accrual 2020'!L80</f>
        <v>110091</v>
      </c>
      <c r="O80" s="487" t="s">
        <v>1418</v>
      </c>
    </row>
    <row r="81" spans="1:15" ht="15" x14ac:dyDescent="0.2">
      <c r="A81" s="140">
        <f>'Plant &amp; Reserve'!$A81</f>
        <v>31653</v>
      </c>
      <c r="B81" s="168" t="str">
        <f>'Plant &amp; Reserve'!$B81</f>
        <v>No. 3 SCR System</v>
      </c>
      <c r="C81" s="130"/>
      <c r="D81" s="172">
        <f>IFERROR(VLOOKUP($A81,'2021 B-7'!C:R,14,FALSE),0)</f>
        <v>0</v>
      </c>
      <c r="E81" s="172">
        <f>IFERROR(VLOOKUP($A81,'2021 B-9'!C:T,16,FALSE),0)</f>
        <v>-1.5660001430660486E-2</v>
      </c>
      <c r="F81" s="130"/>
      <c r="G81" s="170">
        <f>'Proposed Rates'!$I81</f>
        <v>3.4</v>
      </c>
      <c r="H81" s="172">
        <f t="shared" si="17"/>
        <v>0</v>
      </c>
      <c r="I81" s="130"/>
      <c r="J81" s="170">
        <f>'Proposed Rates'!$V81</f>
        <v>2.9</v>
      </c>
      <c r="K81" s="171">
        <f t="shared" si="18"/>
        <v>0</v>
      </c>
      <c r="L81" s="171">
        <f>K81-H81</f>
        <v>0</v>
      </c>
      <c r="M81" s="852"/>
      <c r="N81" s="853">
        <f>L81-'Proposed Accrual 2020'!L81</f>
        <v>4123</v>
      </c>
      <c r="O81" s="487" t="s">
        <v>1418</v>
      </c>
    </row>
    <row r="82" spans="1:15" x14ac:dyDescent="0.2">
      <c r="A82" s="140"/>
      <c r="B82" s="128" t="s">
        <v>75</v>
      </c>
      <c r="C82" s="130"/>
      <c r="D82" s="173">
        <f>SUM(D77:D81)</f>
        <v>-1.862645149230957E-9</v>
      </c>
      <c r="E82" s="173">
        <f>SUM(E77:E81)</f>
        <v>0.40393995167687535</v>
      </c>
      <c r="F82" s="130"/>
      <c r="G82" s="177">
        <f>'Proposed Rates'!$I82</f>
        <v>3.6</v>
      </c>
      <c r="H82" s="173">
        <f>SUM(H77:H81)</f>
        <v>0</v>
      </c>
      <c r="I82" s="130"/>
      <c r="J82" s="177">
        <f>'Proposed Rates'!$V82</f>
        <v>3.3</v>
      </c>
      <c r="K82" s="173">
        <f>SUM(K77:K81)</f>
        <v>0</v>
      </c>
      <c r="L82" s="173">
        <f>SUM(L77:L81)</f>
        <v>0</v>
      </c>
      <c r="M82" s="852"/>
      <c r="N82" s="853">
        <f>L82-'Proposed Accrual 2020'!L82</f>
        <v>290374</v>
      </c>
      <c r="O82" s="487" t="s">
        <v>1418</v>
      </c>
    </row>
    <row r="83" spans="1:15" x14ac:dyDescent="0.2">
      <c r="A83" s="140"/>
      <c r="B83" s="130"/>
      <c r="C83" s="130"/>
      <c r="D83" s="145"/>
      <c r="E83" s="145"/>
      <c r="F83" s="130"/>
      <c r="G83" s="138"/>
      <c r="H83" s="145"/>
      <c r="I83" s="130"/>
      <c r="J83" s="138"/>
      <c r="K83" s="145"/>
      <c r="L83" s="145"/>
      <c r="M83" s="130"/>
      <c r="N83" s="853">
        <f>L83-'Proposed Accrual 2020'!L83</f>
        <v>0</v>
      </c>
      <c r="O83" s="487"/>
    </row>
    <row r="84" spans="1:15" x14ac:dyDescent="0.2">
      <c r="A84" s="140">
        <f>'Plant &amp; Reserve'!$A84</f>
        <v>31154</v>
      </c>
      <c r="B84" s="130" t="str">
        <f>'Plant &amp; Reserve'!$B84</f>
        <v>No. 4 SCR System</v>
      </c>
      <c r="C84" s="130"/>
      <c r="D84" s="145">
        <f>IFERROR(VLOOKUP($A84,'2021 B-7'!C:R,14,FALSE),0)</f>
        <v>16857249.890000001</v>
      </c>
      <c r="E84" s="145">
        <f>IFERROR(VLOOKUP($A84,'2021 B-9'!C:T,16,FALSE),0)</f>
        <v>5874176.9973600004</v>
      </c>
      <c r="F84" s="130"/>
      <c r="G84" s="138">
        <f>'Proposed Rates'!$I84</f>
        <v>2.4</v>
      </c>
      <c r="H84" s="145">
        <f t="shared" ref="H84:H87" si="19">ROUND(($D84*G84)/100,0)</f>
        <v>404574</v>
      </c>
      <c r="I84" s="130"/>
      <c r="J84" s="138">
        <f>'Proposed Rates'!$V84</f>
        <v>2.8</v>
      </c>
      <c r="K84" s="145">
        <f t="shared" ref="K84:K87" si="20">ROUND(($D84*J84)/100,0)</f>
        <v>472003</v>
      </c>
      <c r="L84" s="145">
        <f>K84-H84</f>
        <v>67429</v>
      </c>
      <c r="M84" s="852"/>
      <c r="N84" s="853">
        <f>L84-'Proposed Accrual 2020'!L84</f>
        <v>0</v>
      </c>
      <c r="O84" s="487"/>
    </row>
    <row r="85" spans="1:15" x14ac:dyDescent="0.2">
      <c r="A85" s="140">
        <f>'Plant &amp; Reserve'!$A85</f>
        <v>31254</v>
      </c>
      <c r="B85" s="130" t="str">
        <f>'Plant &amp; Reserve'!$B85</f>
        <v>No. 4 SCR System</v>
      </c>
      <c r="C85" s="130"/>
      <c r="D85" s="145">
        <f>IFERROR(VLOOKUP($A85,'2021 B-7'!C:R,14,FALSE),0)</f>
        <v>30373191.169999998</v>
      </c>
      <c r="E85" s="145">
        <f>IFERROR(VLOOKUP($A85,'2021 B-9'!C:T,16,FALSE),0)</f>
        <v>10398172.884459987</v>
      </c>
      <c r="F85" s="130"/>
      <c r="G85" s="138">
        <f>'Proposed Rates'!$I85</f>
        <v>3.8</v>
      </c>
      <c r="H85" s="145">
        <f t="shared" si="19"/>
        <v>1154181</v>
      </c>
      <c r="I85" s="130"/>
      <c r="J85" s="138">
        <f>'Proposed Rates'!$V85</f>
        <v>3.6</v>
      </c>
      <c r="K85" s="145">
        <f t="shared" si="20"/>
        <v>1093435</v>
      </c>
      <c r="L85" s="145">
        <f>K85-H85</f>
        <v>-60746</v>
      </c>
      <c r="M85" s="852"/>
      <c r="N85" s="853">
        <f>L85-'Proposed Accrual 2020'!L85</f>
        <v>0</v>
      </c>
      <c r="O85" s="487"/>
    </row>
    <row r="86" spans="1:15" x14ac:dyDescent="0.2">
      <c r="A86" s="140">
        <f>'Plant &amp; Reserve'!$A86</f>
        <v>31554</v>
      </c>
      <c r="B86" s="130" t="str">
        <f>'Plant &amp; Reserve'!$B86</f>
        <v>No. 4 SCR System</v>
      </c>
      <c r="C86" s="130"/>
      <c r="D86" s="145">
        <f>IFERROR(VLOOKUP($A86,'2021 B-7'!C:R,14,FALSE),0)</f>
        <v>10642026.83</v>
      </c>
      <c r="E86" s="145">
        <f>IFERROR(VLOOKUP($A86,'2021 B-9'!C:T,16,FALSE),0)</f>
        <v>6026355.4063699851</v>
      </c>
      <c r="F86" s="130"/>
      <c r="G86" s="138">
        <f>'Proposed Rates'!$I86</f>
        <v>3.9</v>
      </c>
      <c r="H86" s="145">
        <f t="shared" si="19"/>
        <v>415039</v>
      </c>
      <c r="I86" s="130"/>
      <c r="J86" s="138">
        <f>'Proposed Rates'!$V86</f>
        <v>2.8</v>
      </c>
      <c r="K86" s="145">
        <f t="shared" si="20"/>
        <v>297977</v>
      </c>
      <c r="L86" s="145">
        <f>K86-H86</f>
        <v>-117062</v>
      </c>
      <c r="M86" s="852"/>
      <c r="N86" s="853">
        <f>L86-'Proposed Accrual 2020'!L86</f>
        <v>0</v>
      </c>
      <c r="O86" s="487"/>
    </row>
    <row r="87" spans="1:15" ht="15" x14ac:dyDescent="0.2">
      <c r="A87" s="140">
        <f>'Plant &amp; Reserve'!$A87</f>
        <v>31654</v>
      </c>
      <c r="B87" s="168" t="str">
        <f>'Plant &amp; Reserve'!$B87</f>
        <v>No. 4 SCR System</v>
      </c>
      <c r="C87" s="130"/>
      <c r="D87" s="172">
        <f>IFERROR(VLOOKUP($A87,'2021 B-7'!C:R,14,FALSE),0)</f>
        <v>687934.36</v>
      </c>
      <c r="E87" s="172">
        <f>IFERROR(VLOOKUP($A87,'2021 B-9'!C:T,16,FALSE),0)</f>
        <v>327997.11388000072</v>
      </c>
      <c r="F87" s="130"/>
      <c r="G87" s="170">
        <f>'Proposed Rates'!$I87</f>
        <v>3.3</v>
      </c>
      <c r="H87" s="172">
        <f t="shared" si="19"/>
        <v>22702</v>
      </c>
      <c r="I87" s="130"/>
      <c r="J87" s="170">
        <f>'Proposed Rates'!$V87</f>
        <v>2.4</v>
      </c>
      <c r="K87" s="171">
        <f t="shared" si="20"/>
        <v>16510</v>
      </c>
      <c r="L87" s="171">
        <f>K87-H87</f>
        <v>-6192</v>
      </c>
      <c r="M87" s="852"/>
      <c r="N87" s="853">
        <f>L87-'Proposed Accrual 2020'!L87</f>
        <v>0</v>
      </c>
      <c r="O87" s="487"/>
    </row>
    <row r="88" spans="1:15" x14ac:dyDescent="0.2">
      <c r="A88" s="140"/>
      <c r="B88" s="128" t="s">
        <v>75</v>
      </c>
      <c r="C88" s="130"/>
      <c r="D88" s="173">
        <f>SUM(D83:D87)</f>
        <v>58560402.25</v>
      </c>
      <c r="E88" s="173">
        <f>SUM(E83:E87)</f>
        <v>22626702.402069975</v>
      </c>
      <c r="F88" s="130"/>
      <c r="G88" s="177">
        <f>'Proposed Rates'!$I88</f>
        <v>3.3</v>
      </c>
      <c r="H88" s="173">
        <f>SUM(H83:H87)</f>
        <v>1996496</v>
      </c>
      <c r="I88" s="130"/>
      <c r="J88" s="177">
        <f>'Proposed Rates'!$V88</f>
        <v>3.2</v>
      </c>
      <c r="K88" s="173">
        <f>SUM(K83:K87)</f>
        <v>1879925</v>
      </c>
      <c r="L88" s="173">
        <f>SUM(L83:L87)</f>
        <v>-116571</v>
      </c>
      <c r="M88" s="852"/>
      <c r="N88" s="853">
        <f>L88-'Proposed Accrual 2020'!L88</f>
        <v>0</v>
      </c>
      <c r="O88" s="487"/>
    </row>
    <row r="89" spans="1:15" x14ac:dyDescent="0.2">
      <c r="A89" s="140"/>
      <c r="B89" s="130"/>
      <c r="C89" s="130"/>
      <c r="D89" s="145"/>
      <c r="E89" s="145"/>
      <c r="F89" s="130"/>
      <c r="G89" s="138"/>
      <c r="H89" s="145"/>
      <c r="I89" s="130"/>
      <c r="J89" s="138"/>
      <c r="K89" s="145"/>
      <c r="L89" s="145"/>
      <c r="M89" s="130"/>
      <c r="N89" s="853">
        <f>L89-'Proposed Accrual 2020'!L89</f>
        <v>0</v>
      </c>
      <c r="O89" s="487"/>
    </row>
    <row r="90" spans="1:15" x14ac:dyDescent="0.2">
      <c r="A90" s="140">
        <f>'Plant &amp; Reserve'!$A90</f>
        <v>31647</v>
      </c>
      <c r="B90" s="130" t="str">
        <f>'Plant &amp; Reserve'!$B90</f>
        <v>Big Bend Amortizable Tools</v>
      </c>
      <c r="C90" s="130"/>
      <c r="D90" s="145">
        <f>IFERROR(VLOOKUP($A90,'2021 B-7'!C:R,14,FALSE),0)</f>
        <v>1099923.8599999999</v>
      </c>
      <c r="E90" s="145">
        <f>IFERROR(VLOOKUP($A90,'2021 B-9'!C:T,16,FALSE),0)</f>
        <v>840407.80588500178</v>
      </c>
      <c r="F90" s="130"/>
      <c r="G90" s="138">
        <f>'Proposed Rates'!$I90</f>
        <v>14.3</v>
      </c>
      <c r="H90" s="145">
        <f t="shared" ref="H90" si="21">ROUND(($D90*G90)/100,0)</f>
        <v>157289</v>
      </c>
      <c r="I90" s="130"/>
      <c r="J90" s="138">
        <f>'Proposed Rates'!$V90</f>
        <v>14.3</v>
      </c>
      <c r="K90" s="145">
        <f t="shared" ref="K90" si="22">ROUND(($D90*J90)/100,0)</f>
        <v>157289</v>
      </c>
      <c r="L90" s="145">
        <f>K90-H90</f>
        <v>0</v>
      </c>
      <c r="M90" s="852"/>
      <c r="N90" s="853">
        <f>L90-'Proposed Accrual 2020'!L90</f>
        <v>0</v>
      </c>
      <c r="O90" s="487"/>
    </row>
    <row r="91" spans="1:15" x14ac:dyDescent="0.2">
      <c r="A91" s="134"/>
      <c r="B91" s="130"/>
      <c r="C91" s="130"/>
      <c r="D91" s="145"/>
      <c r="E91" s="145"/>
      <c r="F91" s="130"/>
      <c r="G91" s="138"/>
      <c r="H91" s="145"/>
      <c r="I91" s="130"/>
      <c r="J91" s="130"/>
      <c r="K91" s="130"/>
      <c r="L91" s="130"/>
      <c r="M91" s="852"/>
      <c r="N91" s="853">
        <f>L91-'Proposed Accrual 2020'!L91</f>
        <v>0</v>
      </c>
      <c r="O91" s="487"/>
    </row>
    <row r="92" spans="1:15" x14ac:dyDescent="0.2">
      <c r="A92" s="140">
        <f>'Plant &amp; Reserve'!$A92</f>
        <v>31247</v>
      </c>
      <c r="B92" s="130" t="str">
        <f>'Plant &amp; Reserve'!$B92</f>
        <v>Big Bend Fuel Clause</v>
      </c>
      <c r="C92" s="130"/>
      <c r="D92" s="145">
        <f>IFERROR(VLOOKUP($A92,'2021 B-7'!C:R,14,FALSE),0)</f>
        <v>10146046.359999999</v>
      </c>
      <c r="E92" s="145">
        <f>IFERROR(VLOOKUP($A92,'2021 B-9'!C:T,16,FALSE),0)</f>
        <v>10146046.360000003</v>
      </c>
      <c r="F92" s="130"/>
      <c r="G92" s="138">
        <f>'Proposed Rates'!$I92</f>
        <v>20</v>
      </c>
      <c r="H92" s="145">
        <f t="shared" ref="H92" si="23">ROUND(($D92*G92)/100,0)</f>
        <v>2029209</v>
      </c>
      <c r="I92" s="130"/>
      <c r="J92" s="138">
        <f>'Proposed Rates'!$V92</f>
        <v>20</v>
      </c>
      <c r="K92" s="145">
        <f t="shared" ref="K92" si="24">ROUND(($D92*J92)/100,0)</f>
        <v>2029209</v>
      </c>
      <c r="L92" s="145">
        <f>K92-H92</f>
        <v>0</v>
      </c>
      <c r="M92" s="852"/>
      <c r="N92" s="853">
        <f>L92-'Proposed Accrual 2020'!L92</f>
        <v>0</v>
      </c>
      <c r="O92" s="487"/>
    </row>
    <row r="93" spans="1:15" ht="13.5" thickBot="1" x14ac:dyDescent="0.25">
      <c r="A93" s="493"/>
      <c r="B93" s="493"/>
      <c r="C93" s="130"/>
      <c r="D93" s="182"/>
      <c r="E93" s="182"/>
      <c r="F93" s="130"/>
      <c r="G93" s="493"/>
      <c r="H93" s="493"/>
      <c r="I93" s="130"/>
      <c r="J93" s="493"/>
      <c r="K93" s="493"/>
      <c r="L93" s="493"/>
      <c r="M93" s="130"/>
      <c r="N93" s="853">
        <f>L93-'Proposed Accrual 2020'!L93</f>
        <v>0</v>
      </c>
      <c r="O93" s="487"/>
    </row>
    <row r="94" spans="1:15" ht="19.5" customHeight="1" thickTop="1" thickBot="1" x14ac:dyDescent="0.25">
      <c r="A94" s="494"/>
      <c r="B94" s="384"/>
      <c r="C94" s="130"/>
      <c r="D94" s="186">
        <f>SUM(D24,D31,D38,D45,D52,D64,D58,D70,D76,D82,D88,D90,D92)</f>
        <v>1333211295.0539999</v>
      </c>
      <c r="E94" s="186">
        <f>SUM(E24,E31,E38,E45,E52,E64,E58,E70,E76,E82,E88,E90,E92)</f>
        <v>393547741.2970565</v>
      </c>
      <c r="F94" s="130"/>
      <c r="G94" s="826">
        <f>IF($D94=0,0,H94/$D94*100)</f>
        <v>3.1143041732419676</v>
      </c>
      <c r="H94" s="186">
        <f>SUM(H24,H31,H38,H45,H52,H64,H58,H70,H76,H82,H88,H90,H92)</f>
        <v>41520255</v>
      </c>
      <c r="I94" s="130"/>
      <c r="J94" s="826">
        <f>IF($D94=0,0,K94/$D94*100)</f>
        <v>3.4990410877152462</v>
      </c>
      <c r="K94" s="186">
        <f>SUM(K24,K31,K38,K45,K52,K64,K58,K70,K76,K82,K88,K90,K92)</f>
        <v>46649611</v>
      </c>
      <c r="L94" s="186">
        <f>SUM(L24,L31,L38,L45,L52,L64,L58,L70,L76,L82,L88,L90,L92)</f>
        <v>5129356</v>
      </c>
      <c r="M94" s="130"/>
      <c r="N94" s="853">
        <f>L94-'Proposed Accrual 2020'!L94</f>
        <v>-3594236</v>
      </c>
      <c r="O94" s="487"/>
    </row>
    <row r="95" spans="1:15" ht="13.5" thickTop="1" x14ac:dyDescent="0.2">
      <c r="A95" s="140"/>
      <c r="B95" s="800"/>
      <c r="C95" s="130"/>
      <c r="D95" s="145"/>
      <c r="E95" s="145"/>
      <c r="F95" s="130"/>
      <c r="G95" s="138"/>
      <c r="H95" s="145"/>
      <c r="I95" s="130"/>
      <c r="J95" s="138"/>
      <c r="K95" s="145"/>
      <c r="L95" s="145"/>
      <c r="M95" s="130"/>
      <c r="N95" s="853">
        <f>L95-'Proposed Accrual 2020'!L95</f>
        <v>0</v>
      </c>
      <c r="O95" s="487"/>
    </row>
    <row r="96" spans="1:15" ht="13.5" thickBot="1" x14ac:dyDescent="0.25">
      <c r="A96" s="187"/>
      <c r="B96" s="801"/>
      <c r="C96" s="130"/>
      <c r="D96" s="188"/>
      <c r="E96" s="188"/>
      <c r="F96" s="130"/>
      <c r="G96" s="188"/>
      <c r="H96" s="188"/>
      <c r="I96" s="130"/>
      <c r="J96" s="188"/>
      <c r="K96" s="188"/>
      <c r="L96" s="188"/>
      <c r="M96" s="130"/>
      <c r="N96" s="853">
        <f>L96-'Proposed Accrual 2020'!L96</f>
        <v>0</v>
      </c>
      <c r="O96" s="487"/>
    </row>
    <row r="97" spans="1:15" ht="19.5" customHeight="1" thickTop="1" thickBot="1" x14ac:dyDescent="0.25">
      <c r="A97" s="802"/>
      <c r="B97" s="802"/>
      <c r="C97" s="130"/>
      <c r="D97" s="192">
        <f>D94</f>
        <v>1333211295.0539999</v>
      </c>
      <c r="E97" s="192">
        <f>E94</f>
        <v>393547741.2970565</v>
      </c>
      <c r="F97" s="130"/>
      <c r="G97" s="827">
        <f>IF($D97=0,0,H97/$D97*100)</f>
        <v>3.1143041732419676</v>
      </c>
      <c r="H97" s="192">
        <f>H94</f>
        <v>41520255</v>
      </c>
      <c r="I97" s="130"/>
      <c r="J97" s="827">
        <f>IF($D97=0,0,K97/$D97*100)</f>
        <v>3.4990410877152462</v>
      </c>
      <c r="K97" s="192">
        <f>K94</f>
        <v>46649611</v>
      </c>
      <c r="L97" s="192">
        <f>L94</f>
        <v>5129356</v>
      </c>
      <c r="M97" s="130"/>
      <c r="N97" s="853">
        <f>L97-'Proposed Accrual 2020'!L97</f>
        <v>-3594236</v>
      </c>
      <c r="O97" s="487"/>
    </row>
    <row r="98" spans="1:15" ht="13.5" thickTop="1" x14ac:dyDescent="0.2">
      <c r="A98" s="140"/>
      <c r="B98" s="130"/>
      <c r="C98" s="130"/>
      <c r="D98" s="145"/>
      <c r="E98" s="145"/>
      <c r="F98" s="130"/>
      <c r="G98" s="138"/>
      <c r="H98" s="145"/>
      <c r="I98" s="130"/>
      <c r="J98" s="138"/>
      <c r="K98" s="145"/>
      <c r="L98" s="145"/>
      <c r="M98" s="130"/>
      <c r="N98" s="853">
        <f>L98-'Proposed Accrual 2020'!L98</f>
        <v>0</v>
      </c>
      <c r="O98" s="487"/>
    </row>
    <row r="99" spans="1:15" x14ac:dyDescent="0.2">
      <c r="A99" s="140"/>
      <c r="B99" s="144" t="s">
        <v>63</v>
      </c>
      <c r="C99" s="130"/>
      <c r="D99" s="145"/>
      <c r="E99" s="145"/>
      <c r="F99" s="130"/>
      <c r="G99" s="138" t="s">
        <v>60</v>
      </c>
      <c r="H99" s="145"/>
      <c r="I99" s="130"/>
      <c r="J99" s="138"/>
      <c r="K99" s="145"/>
      <c r="L99" s="145"/>
      <c r="M99" s="130"/>
      <c r="N99" s="853">
        <f>L99-'Proposed Accrual 2020'!L99</f>
        <v>0</v>
      </c>
      <c r="O99" s="487"/>
    </row>
    <row r="100" spans="1:15" x14ac:dyDescent="0.2">
      <c r="A100" s="140"/>
      <c r="B100" s="130"/>
      <c r="C100" s="130"/>
      <c r="D100" s="145"/>
      <c r="E100" s="145"/>
      <c r="F100" s="130"/>
      <c r="G100" s="138" t="s">
        <v>60</v>
      </c>
      <c r="H100" s="145"/>
      <c r="I100" s="130"/>
      <c r="J100" s="138"/>
      <c r="K100" s="145"/>
      <c r="L100" s="145"/>
      <c r="M100" s="130"/>
      <c r="N100" s="853">
        <f>L100-'Proposed Accrual 2020'!L100</f>
        <v>0</v>
      </c>
      <c r="O100" s="487"/>
    </row>
    <row r="101" spans="1:15" x14ac:dyDescent="0.2">
      <c r="A101" s="140"/>
      <c r="B101" s="144" t="s">
        <v>59</v>
      </c>
      <c r="C101" s="130"/>
      <c r="D101" s="145"/>
      <c r="E101" s="145"/>
      <c r="F101" s="130"/>
      <c r="G101" s="138"/>
      <c r="H101" s="145"/>
      <c r="I101" s="130"/>
      <c r="J101" s="138"/>
      <c r="K101" s="145"/>
      <c r="L101" s="145"/>
      <c r="M101" s="130"/>
      <c r="N101" s="853">
        <f>L101-'Proposed Accrual 2020'!L101</f>
        <v>0</v>
      </c>
      <c r="O101" s="487"/>
    </row>
    <row r="102" spans="1:15" x14ac:dyDescent="0.2">
      <c r="A102" s="140"/>
      <c r="B102" s="130"/>
      <c r="C102" s="130"/>
      <c r="D102" s="145"/>
      <c r="E102" s="145"/>
      <c r="F102" s="130"/>
      <c r="G102" s="138"/>
      <c r="H102" s="145"/>
      <c r="I102" s="130"/>
      <c r="J102" s="138"/>
      <c r="K102" s="145"/>
      <c r="L102" s="145"/>
      <c r="M102" s="130"/>
      <c r="N102" s="853">
        <f>L102-'Proposed Accrual 2020'!L102</f>
        <v>0</v>
      </c>
      <c r="O102" s="487"/>
    </row>
    <row r="103" spans="1:15" x14ac:dyDescent="0.2">
      <c r="A103" s="140">
        <f>'Plant &amp; Reserve'!$A103</f>
        <v>34144</v>
      </c>
      <c r="B103" s="130" t="str">
        <f>'Plant &amp; Reserve'!$B103</f>
        <v>BB CT No. 4</v>
      </c>
      <c r="C103" s="130"/>
      <c r="D103" s="145">
        <f>IFERROR(VLOOKUP($A103,'2021 B-7'!C:R,14,FALSE),0)</f>
        <v>3311083.09</v>
      </c>
      <c r="E103" s="145">
        <f>IFERROR(VLOOKUP($A103,'2021 B-9'!C:T,16,FALSE),0)</f>
        <v>691207.38034000061</v>
      </c>
      <c r="F103" s="130"/>
      <c r="G103" s="138">
        <f>'Proposed Rates'!$I103</f>
        <v>2.6</v>
      </c>
      <c r="H103" s="145">
        <f t="shared" ref="H103:H107" si="25">ROUND(($D103*G103)/100,0)</f>
        <v>86088</v>
      </c>
      <c r="I103" s="130"/>
      <c r="J103" s="138">
        <f>'Proposed Rates'!$V103</f>
        <v>3.6</v>
      </c>
      <c r="K103" s="145">
        <f t="shared" ref="K103:K107" si="26">ROUND(($D103*J103)/100,0)</f>
        <v>119199</v>
      </c>
      <c r="L103" s="145">
        <f>K103-H103</f>
        <v>33111</v>
      </c>
      <c r="M103" s="852"/>
      <c r="N103" s="853">
        <f>L103-'Proposed Accrual 2020'!L103</f>
        <v>0</v>
      </c>
      <c r="O103" s="487"/>
    </row>
    <row r="104" spans="1:15" x14ac:dyDescent="0.2">
      <c r="A104" s="140">
        <f>'Plant &amp; Reserve'!$A104</f>
        <v>34244</v>
      </c>
      <c r="B104" s="130" t="str">
        <f>'Plant &amp; Reserve'!$B104</f>
        <v>BB CT No. 4</v>
      </c>
      <c r="C104" s="130"/>
      <c r="D104" s="145">
        <f>IFERROR(VLOOKUP($A104,'2021 B-7'!C:R,14,FALSE),0)</f>
        <v>2353181.4699999997</v>
      </c>
      <c r="E104" s="145">
        <f>IFERROR(VLOOKUP($A104,'2021 B-9'!C:T,16,FALSE),0)</f>
        <v>833469.00292000198</v>
      </c>
      <c r="F104" s="130"/>
      <c r="G104" s="138">
        <f>'Proposed Rates'!$I104</f>
        <v>3.6</v>
      </c>
      <c r="H104" s="145">
        <f t="shared" si="25"/>
        <v>84715</v>
      </c>
      <c r="I104" s="130"/>
      <c r="J104" s="138">
        <f>'Proposed Rates'!$V104</f>
        <v>2.6</v>
      </c>
      <c r="K104" s="145">
        <f t="shared" si="26"/>
        <v>61183</v>
      </c>
      <c r="L104" s="145">
        <f>K104-H104</f>
        <v>-23532</v>
      </c>
      <c r="M104" s="852"/>
      <c r="N104" s="853">
        <f>L104-'Proposed Accrual 2020'!L104</f>
        <v>0</v>
      </c>
      <c r="O104" s="487"/>
    </row>
    <row r="105" spans="1:15" x14ac:dyDescent="0.2">
      <c r="A105" s="140">
        <f>'Plant &amp; Reserve'!$A105</f>
        <v>34344</v>
      </c>
      <c r="B105" s="130" t="str">
        <f>'Plant &amp; Reserve'!$B105</f>
        <v>BB CT No. 4</v>
      </c>
      <c r="C105" s="130"/>
      <c r="D105" s="145">
        <f>IFERROR(VLOOKUP($A105,'2021 B-7'!C:R,14,FALSE),0)</f>
        <v>19816850.59</v>
      </c>
      <c r="E105" s="145">
        <f>IFERROR(VLOOKUP($A105,'2021 B-9'!C:T,16,FALSE),0)</f>
        <v>9693733.043600006</v>
      </c>
      <c r="F105" s="130"/>
      <c r="G105" s="138">
        <f>'Proposed Rates'!$I105</f>
        <v>4</v>
      </c>
      <c r="H105" s="145">
        <f t="shared" si="25"/>
        <v>792674</v>
      </c>
      <c r="I105" s="130"/>
      <c r="J105" s="138">
        <f>'Proposed Rates'!$V105</f>
        <v>3.1</v>
      </c>
      <c r="K105" s="145">
        <f t="shared" si="26"/>
        <v>614322</v>
      </c>
      <c r="L105" s="145">
        <f>K105-H105</f>
        <v>-178352</v>
      </c>
      <c r="M105" s="852"/>
      <c r="N105" s="853">
        <f>L105-'Proposed Accrual 2020'!L105</f>
        <v>0</v>
      </c>
      <c r="O105" s="487"/>
    </row>
    <row r="106" spans="1:15" x14ac:dyDescent="0.2">
      <c r="A106" s="140">
        <f>'Plant &amp; Reserve'!$A106</f>
        <v>34544</v>
      </c>
      <c r="B106" s="130" t="str">
        <f>'Plant &amp; Reserve'!$B106</f>
        <v>BB CT No. 4</v>
      </c>
      <c r="C106" s="130"/>
      <c r="D106" s="145">
        <f>IFERROR(VLOOKUP($A106,'2021 B-7'!C:R,14,FALSE),0)</f>
        <v>15324704.390000001</v>
      </c>
      <c r="E106" s="145">
        <f>IFERROR(VLOOKUP($A106,'2021 B-9'!C:T,16,FALSE),0)</f>
        <v>6437523.1255999953</v>
      </c>
      <c r="F106" s="130"/>
      <c r="G106" s="138">
        <f>'Proposed Rates'!$I106</f>
        <v>4</v>
      </c>
      <c r="H106" s="145">
        <f t="shared" si="25"/>
        <v>612988</v>
      </c>
      <c r="I106" s="130"/>
      <c r="J106" s="138">
        <f>'Proposed Rates'!$V106</f>
        <v>2.8</v>
      </c>
      <c r="K106" s="145">
        <f t="shared" si="26"/>
        <v>429092</v>
      </c>
      <c r="L106" s="145">
        <f>K106-H106</f>
        <v>-183896</v>
      </c>
      <c r="M106" s="852"/>
      <c r="N106" s="853">
        <f>L106-'Proposed Accrual 2020'!L106</f>
        <v>0</v>
      </c>
      <c r="O106" s="487"/>
    </row>
    <row r="107" spans="1:15" ht="15" x14ac:dyDescent="0.2">
      <c r="A107" s="140">
        <f>'Plant &amp; Reserve'!$A107</f>
        <v>34644</v>
      </c>
      <c r="B107" s="168" t="str">
        <f>'Plant &amp; Reserve'!$B107</f>
        <v>BB CT No. 4</v>
      </c>
      <c r="C107" s="130"/>
      <c r="D107" s="172">
        <f>IFERROR(VLOOKUP($A107,'2021 B-7'!C:R,14,FALSE),0)</f>
        <v>510664.71</v>
      </c>
      <c r="E107" s="172">
        <f>IFERROR(VLOOKUP($A107,'2021 B-9'!C:T,16,FALSE),0)</f>
        <v>208558.8884</v>
      </c>
      <c r="F107" s="130"/>
      <c r="G107" s="170">
        <f>'Proposed Rates'!$I107</f>
        <v>4</v>
      </c>
      <c r="H107" s="172">
        <f t="shared" si="25"/>
        <v>20427</v>
      </c>
      <c r="I107" s="130"/>
      <c r="J107" s="170">
        <f>'Proposed Rates'!$V107</f>
        <v>2.9</v>
      </c>
      <c r="K107" s="171">
        <f t="shared" si="26"/>
        <v>14809</v>
      </c>
      <c r="L107" s="171">
        <f>K107-H107</f>
        <v>-5618</v>
      </c>
      <c r="M107" s="852"/>
      <c r="N107" s="853">
        <f>L107-'Proposed Accrual 2020'!L107</f>
        <v>0</v>
      </c>
      <c r="O107" s="487"/>
    </row>
    <row r="108" spans="1:15" x14ac:dyDescent="0.2">
      <c r="A108" s="134"/>
      <c r="B108" s="128" t="s">
        <v>75</v>
      </c>
      <c r="C108" s="130"/>
      <c r="D108" s="173">
        <f>SUM(D103:D107)</f>
        <v>41316484.25</v>
      </c>
      <c r="E108" s="173">
        <f>SUM(E103:E107)</f>
        <v>17864491.440860003</v>
      </c>
      <c r="F108" s="130"/>
      <c r="G108" s="177">
        <f>'Proposed Rates'!$I108</f>
        <v>3</v>
      </c>
      <c r="H108" s="173">
        <f>SUM(H103:H107)</f>
        <v>1596892</v>
      </c>
      <c r="I108" s="130"/>
      <c r="J108" s="177">
        <f>'Proposed Rates'!$V108</f>
        <v>3</v>
      </c>
      <c r="K108" s="173">
        <f>SUM(K103:K107)</f>
        <v>1238605</v>
      </c>
      <c r="L108" s="173">
        <f>SUM(L103:L107)</f>
        <v>-358287</v>
      </c>
      <c r="M108" s="852"/>
      <c r="N108" s="853">
        <f>L108-'Proposed Accrual 2020'!L108</f>
        <v>0</v>
      </c>
      <c r="O108" s="487"/>
    </row>
    <row r="109" spans="1:15" x14ac:dyDescent="0.2">
      <c r="A109" s="140"/>
      <c r="B109" s="130"/>
      <c r="C109" s="130"/>
      <c r="D109" s="145"/>
      <c r="E109" s="145"/>
      <c r="F109" s="130"/>
      <c r="G109" s="138"/>
      <c r="H109" s="145"/>
      <c r="I109" s="130"/>
      <c r="J109" s="138"/>
      <c r="K109" s="145"/>
      <c r="L109" s="145"/>
      <c r="M109" s="130"/>
      <c r="N109" s="853">
        <f>L109-'Proposed Accrual 2020'!L109</f>
        <v>0</v>
      </c>
      <c r="O109" s="487"/>
    </row>
    <row r="110" spans="1:15" x14ac:dyDescent="0.2">
      <c r="A110" s="140">
        <f>'Plant &amp; Reserve'!$A110</f>
        <v>34145</v>
      </c>
      <c r="B110" s="130" t="str">
        <f>'Plant &amp; Reserve'!$B110</f>
        <v>BB CT No. 5</v>
      </c>
      <c r="C110" s="130"/>
      <c r="D110" s="145">
        <f>IFERROR(VLOOKUP($A110,'2021 B-7'!C:R,14,FALSE),0)</f>
        <v>0</v>
      </c>
      <c r="E110" s="145">
        <f>IFERROR(VLOOKUP($A110,'2021 B-9'!C:T,16,FALSE),0)</f>
        <v>0</v>
      </c>
      <c r="F110" s="130"/>
      <c r="G110" s="138">
        <f>J110</f>
        <v>2.9</v>
      </c>
      <c r="H110" s="145">
        <f t="shared" ref="H110:H114" si="27">ROUND(($D110*G110)/100,0)</f>
        <v>0</v>
      </c>
      <c r="I110" s="130"/>
      <c r="J110" s="138">
        <f>'Proposed Rates'!$V110</f>
        <v>2.9</v>
      </c>
      <c r="K110" s="145">
        <f t="shared" ref="K110:K114" si="28">ROUND(($D110*J110)/100,0)</f>
        <v>0</v>
      </c>
      <c r="L110" s="145">
        <f>K110-H110</f>
        <v>0</v>
      </c>
      <c r="M110" s="852"/>
      <c r="N110" s="853">
        <f>L110-'Proposed Accrual 2020'!L110</f>
        <v>0</v>
      </c>
      <c r="O110" s="487"/>
    </row>
    <row r="111" spans="1:15" x14ac:dyDescent="0.2">
      <c r="A111" s="140">
        <f>'Plant &amp; Reserve'!$A111</f>
        <v>34245</v>
      </c>
      <c r="B111" s="130" t="str">
        <f>'Plant &amp; Reserve'!$B111</f>
        <v>BB CT No. 5</v>
      </c>
      <c r="C111" s="130"/>
      <c r="D111" s="145">
        <f>IFERROR(VLOOKUP($A111,'2021 B-7'!C:R,14,FALSE),0)</f>
        <v>0</v>
      </c>
      <c r="E111" s="145">
        <f>IFERROR(VLOOKUP($A111,'2021 B-9'!C:T,16,FALSE),0)</f>
        <v>0</v>
      </c>
      <c r="F111" s="130"/>
      <c r="G111" s="138">
        <f t="shared" ref="G111:G115" si="29">J111</f>
        <v>2.9</v>
      </c>
      <c r="H111" s="145">
        <f t="shared" si="27"/>
        <v>0</v>
      </c>
      <c r="I111" s="130"/>
      <c r="J111" s="138">
        <f>'Proposed Rates'!$V111</f>
        <v>2.9</v>
      </c>
      <c r="K111" s="145">
        <f t="shared" si="28"/>
        <v>0</v>
      </c>
      <c r="L111" s="145">
        <f>K111-H111</f>
        <v>0</v>
      </c>
      <c r="M111" s="852"/>
      <c r="N111" s="853">
        <f>L111-'Proposed Accrual 2020'!L111</f>
        <v>0</v>
      </c>
      <c r="O111" s="487"/>
    </row>
    <row r="112" spans="1:15" x14ac:dyDescent="0.2">
      <c r="A112" s="140">
        <f>'Plant &amp; Reserve'!$A112</f>
        <v>34345</v>
      </c>
      <c r="B112" s="130" t="str">
        <f>'Plant &amp; Reserve'!$B112</f>
        <v>BB CT No. 5</v>
      </c>
      <c r="C112" s="130"/>
      <c r="D112" s="145">
        <f>IFERROR(VLOOKUP($A112,'2021 B-7'!C:R,14,FALSE),0)</f>
        <v>204876682.49999997</v>
      </c>
      <c r="E112" s="145">
        <f>IFERROR(VLOOKUP($A112,'2021 B-9'!C:T,16,FALSE),0)</f>
        <v>0</v>
      </c>
      <c r="F112" s="130"/>
      <c r="G112" s="138">
        <f t="shared" si="29"/>
        <v>2.9</v>
      </c>
      <c r="H112" s="145">
        <f t="shared" si="27"/>
        <v>5941424</v>
      </c>
      <c r="I112" s="130"/>
      <c r="J112" s="138">
        <f>'Proposed Rates'!$V112</f>
        <v>2.9</v>
      </c>
      <c r="K112" s="145">
        <f t="shared" si="28"/>
        <v>5941424</v>
      </c>
      <c r="L112" s="145">
        <f>K112-H112</f>
        <v>0</v>
      </c>
      <c r="M112" s="852"/>
      <c r="N112" s="853">
        <f>L112-'Proposed Accrual 2020'!L112</f>
        <v>0</v>
      </c>
      <c r="O112" s="487" t="s">
        <v>1440</v>
      </c>
    </row>
    <row r="113" spans="1:15" x14ac:dyDescent="0.2">
      <c r="A113" s="140">
        <f>'Plant &amp; Reserve'!$A113</f>
        <v>34545</v>
      </c>
      <c r="B113" s="130" t="str">
        <f>'Plant &amp; Reserve'!$B113</f>
        <v>BB CT No. 5</v>
      </c>
      <c r="C113" s="130"/>
      <c r="D113" s="145">
        <f>IFERROR(VLOOKUP($A113,'2021 B-7'!C:R,14,FALSE),0)</f>
        <v>0</v>
      </c>
      <c r="E113" s="145">
        <f>IFERROR(VLOOKUP($A113,'2021 B-9'!C:T,16,FALSE),0)</f>
        <v>0</v>
      </c>
      <c r="F113" s="130"/>
      <c r="G113" s="138">
        <f t="shared" si="29"/>
        <v>2.9</v>
      </c>
      <c r="H113" s="145">
        <f t="shared" si="27"/>
        <v>0</v>
      </c>
      <c r="I113" s="130"/>
      <c r="J113" s="138">
        <f>'Proposed Rates'!$V113</f>
        <v>2.9</v>
      </c>
      <c r="K113" s="145">
        <f t="shared" si="28"/>
        <v>0</v>
      </c>
      <c r="L113" s="145">
        <f>K113-H113</f>
        <v>0</v>
      </c>
      <c r="M113" s="852"/>
      <c r="N113" s="853">
        <f>L113-'Proposed Accrual 2020'!L113</f>
        <v>0</v>
      </c>
      <c r="O113" s="487"/>
    </row>
    <row r="114" spans="1:15" ht="15" x14ac:dyDescent="0.2">
      <c r="A114" s="140">
        <f>'Plant &amp; Reserve'!$A114</f>
        <v>34645</v>
      </c>
      <c r="B114" s="168" t="str">
        <f>'Plant &amp; Reserve'!$B114</f>
        <v>BB CT No. 5</v>
      </c>
      <c r="C114" s="130"/>
      <c r="D114" s="172">
        <f>IFERROR(VLOOKUP($A114,'2021 B-7'!C:R,14,FALSE),0)</f>
        <v>0</v>
      </c>
      <c r="E114" s="172">
        <f>IFERROR(VLOOKUP($A114,'2021 B-9'!C:T,16,FALSE),0)</f>
        <v>0</v>
      </c>
      <c r="F114" s="130"/>
      <c r="G114" s="170">
        <f t="shared" si="29"/>
        <v>2.9</v>
      </c>
      <c r="H114" s="172">
        <f t="shared" si="27"/>
        <v>0</v>
      </c>
      <c r="I114" s="130"/>
      <c r="J114" s="170">
        <f>'Proposed Rates'!$V114</f>
        <v>2.9</v>
      </c>
      <c r="K114" s="171">
        <f t="shared" si="28"/>
        <v>0</v>
      </c>
      <c r="L114" s="171">
        <f>K114-H114</f>
        <v>0</v>
      </c>
      <c r="M114" s="852"/>
      <c r="N114" s="853">
        <f>L114-'Proposed Accrual 2020'!L114</f>
        <v>0</v>
      </c>
      <c r="O114" s="487"/>
    </row>
    <row r="115" spans="1:15" x14ac:dyDescent="0.2">
      <c r="A115" s="134"/>
      <c r="B115" s="128" t="s">
        <v>75</v>
      </c>
      <c r="C115" s="130"/>
      <c r="D115" s="173">
        <f>SUM(D110:D114)</f>
        <v>204876682.49999997</v>
      </c>
      <c r="E115" s="173">
        <f>SUM(E110:E114)</f>
        <v>0</v>
      </c>
      <c r="F115" s="130"/>
      <c r="G115" s="177">
        <f t="shared" si="29"/>
        <v>2.9</v>
      </c>
      <c r="H115" s="173">
        <f>SUM(H110:H114)</f>
        <v>5941424</v>
      </c>
      <c r="I115" s="130"/>
      <c r="J115" s="177">
        <f>'Proposed Rates'!$V115</f>
        <v>2.9</v>
      </c>
      <c r="K115" s="173">
        <f>SUM(K110:K114)</f>
        <v>5941424</v>
      </c>
      <c r="L115" s="173">
        <f>SUM(L110:L114)</f>
        <v>0</v>
      </c>
      <c r="M115" s="852"/>
      <c r="N115" s="853">
        <f>L115-'Proposed Accrual 2020'!L115</f>
        <v>0</v>
      </c>
      <c r="O115" s="487" t="s">
        <v>1440</v>
      </c>
    </row>
    <row r="116" spans="1:15" x14ac:dyDescent="0.2">
      <c r="A116" s="140"/>
      <c r="B116" s="130"/>
      <c r="C116" s="130"/>
      <c r="D116" s="145"/>
      <c r="E116" s="145"/>
      <c r="F116" s="130"/>
      <c r="G116" s="138"/>
      <c r="H116" s="145"/>
      <c r="I116" s="130"/>
      <c r="J116" s="138"/>
      <c r="K116" s="145"/>
      <c r="L116" s="145"/>
      <c r="M116" s="130"/>
      <c r="N116" s="853">
        <f>L116-'Proposed Accrual 2020'!L116</f>
        <v>0</v>
      </c>
      <c r="O116" s="487"/>
    </row>
    <row r="117" spans="1:15" x14ac:dyDescent="0.2">
      <c r="A117" s="140">
        <f>'Plant &amp; Reserve'!$A117</f>
        <v>34146</v>
      </c>
      <c r="B117" s="130" t="str">
        <f>'Plant &amp; Reserve'!$B117</f>
        <v>BB CT No. 6</v>
      </c>
      <c r="C117" s="130"/>
      <c r="D117" s="145">
        <f>IFERROR(VLOOKUP($A117,'2021 B-7'!C:R,14,FALSE),0)</f>
        <v>0</v>
      </c>
      <c r="E117" s="145">
        <f>IFERROR(VLOOKUP($A117,'2021 B-9'!C:T,16,FALSE),0)</f>
        <v>0</v>
      </c>
      <c r="F117" s="130"/>
      <c r="G117" s="138">
        <f>J117</f>
        <v>2.9</v>
      </c>
      <c r="H117" s="145">
        <f t="shared" ref="H117:H121" si="30">ROUND(($D117*G117)/100,0)</f>
        <v>0</v>
      </c>
      <c r="I117" s="130"/>
      <c r="J117" s="138">
        <f>'Proposed Rates'!$V117</f>
        <v>2.9</v>
      </c>
      <c r="K117" s="145">
        <f t="shared" ref="K117:K121" si="31">ROUND(($D117*J117)/100,0)</f>
        <v>0</v>
      </c>
      <c r="L117" s="145">
        <f>K117-H117</f>
        <v>0</v>
      </c>
      <c r="M117" s="852"/>
      <c r="N117" s="853">
        <f>L117-'Proposed Accrual 2020'!L117</f>
        <v>0</v>
      </c>
      <c r="O117" s="487"/>
    </row>
    <row r="118" spans="1:15" x14ac:dyDescent="0.2">
      <c r="A118" s="140">
        <f>'Plant &amp; Reserve'!$A118</f>
        <v>34246</v>
      </c>
      <c r="B118" s="130" t="str">
        <f>'Plant &amp; Reserve'!$B118</f>
        <v>BB CT No. 6</v>
      </c>
      <c r="C118" s="130"/>
      <c r="D118" s="145">
        <f>IFERROR(VLOOKUP($A118,'2021 B-7'!C:R,14,FALSE),0)</f>
        <v>0</v>
      </c>
      <c r="E118" s="145">
        <f>IFERROR(VLOOKUP($A118,'2021 B-9'!C:T,16,FALSE),0)</f>
        <v>0</v>
      </c>
      <c r="F118" s="130"/>
      <c r="G118" s="138">
        <f t="shared" ref="G118:G122" si="32">J118</f>
        <v>2.9</v>
      </c>
      <c r="H118" s="145">
        <f t="shared" si="30"/>
        <v>0</v>
      </c>
      <c r="I118" s="130"/>
      <c r="J118" s="138">
        <f>'Proposed Rates'!$V118</f>
        <v>2.9</v>
      </c>
      <c r="K118" s="145">
        <f t="shared" si="31"/>
        <v>0</v>
      </c>
      <c r="L118" s="145">
        <f>K118-H118</f>
        <v>0</v>
      </c>
      <c r="M118" s="852"/>
      <c r="N118" s="853">
        <f>L118-'Proposed Accrual 2020'!L118</f>
        <v>0</v>
      </c>
      <c r="O118" s="487"/>
    </row>
    <row r="119" spans="1:15" x14ac:dyDescent="0.2">
      <c r="A119" s="140">
        <f>'Plant &amp; Reserve'!$A119</f>
        <v>34346</v>
      </c>
      <c r="B119" s="130" t="str">
        <f>'Plant &amp; Reserve'!$B119</f>
        <v>BB CT No. 6</v>
      </c>
      <c r="C119" s="130"/>
      <c r="D119" s="145">
        <f>IFERROR(VLOOKUP($A119,'2021 B-7'!C:R,14,FALSE),0)</f>
        <v>136821119.33000001</v>
      </c>
      <c r="E119" s="145">
        <f>IFERROR(VLOOKUP($A119,'2021 B-9'!C:T,16,FALSE),0)</f>
        <v>0</v>
      </c>
      <c r="F119" s="130"/>
      <c r="G119" s="138">
        <f t="shared" si="32"/>
        <v>2.9</v>
      </c>
      <c r="H119" s="145">
        <f t="shared" si="30"/>
        <v>3967812</v>
      </c>
      <c r="I119" s="130"/>
      <c r="J119" s="138">
        <f>'Proposed Rates'!$V119</f>
        <v>2.9</v>
      </c>
      <c r="K119" s="145">
        <f t="shared" si="31"/>
        <v>3967812</v>
      </c>
      <c r="L119" s="145">
        <f>K119-H119</f>
        <v>0</v>
      </c>
      <c r="M119" s="852"/>
      <c r="N119" s="853">
        <f>L119-'Proposed Accrual 2020'!L119</f>
        <v>0</v>
      </c>
      <c r="O119" s="487" t="s">
        <v>1440</v>
      </c>
    </row>
    <row r="120" spans="1:15" x14ac:dyDescent="0.2">
      <c r="A120" s="140">
        <f>'Plant &amp; Reserve'!$A120</f>
        <v>34546</v>
      </c>
      <c r="B120" s="130" t="str">
        <f>'Plant &amp; Reserve'!$B120</f>
        <v>BB CT No. 6</v>
      </c>
      <c r="C120" s="130"/>
      <c r="D120" s="145">
        <f>IFERROR(VLOOKUP($A120,'2021 B-7'!C:R,14,FALSE),0)</f>
        <v>0</v>
      </c>
      <c r="E120" s="145">
        <f>IFERROR(VLOOKUP($A120,'2021 B-9'!C:T,16,FALSE),0)</f>
        <v>0</v>
      </c>
      <c r="F120" s="130"/>
      <c r="G120" s="138">
        <f t="shared" si="32"/>
        <v>2.9</v>
      </c>
      <c r="H120" s="145">
        <f t="shared" si="30"/>
        <v>0</v>
      </c>
      <c r="I120" s="130"/>
      <c r="J120" s="138">
        <f>'Proposed Rates'!$V120</f>
        <v>2.9</v>
      </c>
      <c r="K120" s="145">
        <f t="shared" si="31"/>
        <v>0</v>
      </c>
      <c r="L120" s="145">
        <f>K120-H120</f>
        <v>0</v>
      </c>
      <c r="M120" s="852"/>
      <c r="N120" s="853">
        <f>L120-'Proposed Accrual 2020'!L120</f>
        <v>0</v>
      </c>
      <c r="O120" s="487"/>
    </row>
    <row r="121" spans="1:15" ht="15" x14ac:dyDescent="0.2">
      <c r="A121" s="140">
        <f>'Plant &amp; Reserve'!$A121</f>
        <v>34646</v>
      </c>
      <c r="B121" s="168" t="str">
        <f>'Plant &amp; Reserve'!$B121</f>
        <v>BB CT No. 6</v>
      </c>
      <c r="C121" s="130"/>
      <c r="D121" s="172">
        <f>IFERROR(VLOOKUP($A121,'2021 B-7'!C:R,14,FALSE),0)</f>
        <v>0</v>
      </c>
      <c r="E121" s="172">
        <f>IFERROR(VLOOKUP($A121,'2021 B-9'!C:T,16,FALSE),0)</f>
        <v>0</v>
      </c>
      <c r="F121" s="130"/>
      <c r="G121" s="170">
        <f t="shared" si="32"/>
        <v>2.9</v>
      </c>
      <c r="H121" s="172">
        <f t="shared" si="30"/>
        <v>0</v>
      </c>
      <c r="I121" s="130"/>
      <c r="J121" s="170">
        <f>'Proposed Rates'!$V121</f>
        <v>2.9</v>
      </c>
      <c r="K121" s="171">
        <f t="shared" si="31"/>
        <v>0</v>
      </c>
      <c r="L121" s="171">
        <f>K121-H121</f>
        <v>0</v>
      </c>
      <c r="M121" s="852"/>
      <c r="N121" s="853">
        <f>L121-'Proposed Accrual 2020'!L121</f>
        <v>0</v>
      </c>
      <c r="O121" s="487"/>
    </row>
    <row r="122" spans="1:15" x14ac:dyDescent="0.2">
      <c r="A122" s="134"/>
      <c r="B122" s="128" t="s">
        <v>75</v>
      </c>
      <c r="C122" s="130"/>
      <c r="D122" s="173">
        <f>SUM(D117:D121)</f>
        <v>136821119.33000001</v>
      </c>
      <c r="E122" s="173">
        <f>SUM(E117:E121)</f>
        <v>0</v>
      </c>
      <c r="F122" s="130"/>
      <c r="G122" s="177">
        <f t="shared" si="32"/>
        <v>2.9</v>
      </c>
      <c r="H122" s="173">
        <f>SUM(H117:H121)</f>
        <v>3967812</v>
      </c>
      <c r="I122" s="130"/>
      <c r="J122" s="177">
        <f>'Proposed Rates'!$V122</f>
        <v>2.9</v>
      </c>
      <c r="K122" s="173">
        <f>SUM(K117:K121)</f>
        <v>3967812</v>
      </c>
      <c r="L122" s="173">
        <f>SUM(L117:L121)</f>
        <v>0</v>
      </c>
      <c r="M122" s="852"/>
      <c r="N122" s="853">
        <f>L122-'Proposed Accrual 2020'!L122</f>
        <v>0</v>
      </c>
      <c r="O122" s="487" t="s">
        <v>1440</v>
      </c>
    </row>
    <row r="123" spans="1:15" x14ac:dyDescent="0.2">
      <c r="A123" s="140"/>
      <c r="B123" s="130"/>
      <c r="C123" s="130"/>
      <c r="D123" s="145"/>
      <c r="E123" s="145"/>
      <c r="F123" s="130"/>
      <c r="G123" s="138"/>
      <c r="H123" s="145"/>
      <c r="I123" s="130"/>
      <c r="J123" s="138"/>
      <c r="K123" s="145"/>
      <c r="L123" s="145"/>
      <c r="M123" s="130"/>
      <c r="N123" s="853">
        <f>L123-'Proposed Accrual 2020'!L123</f>
        <v>0</v>
      </c>
      <c r="O123" s="487"/>
    </row>
    <row r="124" spans="1:15" x14ac:dyDescent="0.2">
      <c r="A124" s="140">
        <f>'Plant &amp; Reserve'!$A124</f>
        <v>34143</v>
      </c>
      <c r="B124" s="130" t="str">
        <f>'Plant &amp; Reserve'!$B124</f>
        <v>BB CCST for CT 5-6</v>
      </c>
      <c r="C124" s="130"/>
      <c r="D124" s="145">
        <f>IFERROR(VLOOKUP($A124,'2021 B-7'!C:R,14,FALSE),0)</f>
        <v>0</v>
      </c>
      <c r="E124" s="145">
        <f>IFERROR(VLOOKUP($A124,'2021 B-9'!C:T,16,FALSE),0)</f>
        <v>0</v>
      </c>
      <c r="F124" s="130"/>
      <c r="G124" s="138">
        <f>J124</f>
        <v>2.9</v>
      </c>
      <c r="H124" s="145">
        <f t="shared" ref="H124:H128" si="33">ROUND(($D124*G124)/100,0)</f>
        <v>0</v>
      </c>
      <c r="I124" s="130"/>
      <c r="J124" s="138">
        <f>'Proposed Rates'!$V124</f>
        <v>2.9</v>
      </c>
      <c r="K124" s="145">
        <f t="shared" ref="K124:K128" si="34">ROUND(($D124*J124)/100,0)</f>
        <v>0</v>
      </c>
      <c r="L124" s="145">
        <f>K124-H124</f>
        <v>0</v>
      </c>
      <c r="M124" s="852"/>
      <c r="N124" s="853">
        <f>L124-'Proposed Accrual 2020'!L124</f>
        <v>0</v>
      </c>
      <c r="O124" s="487"/>
    </row>
    <row r="125" spans="1:15" x14ac:dyDescent="0.2">
      <c r="A125" s="140">
        <f>'Plant &amp; Reserve'!$A125</f>
        <v>34243</v>
      </c>
      <c r="B125" s="130" t="str">
        <f>'Plant &amp; Reserve'!$B125</f>
        <v>BB CCST for CT 5-6</v>
      </c>
      <c r="C125" s="130"/>
      <c r="D125" s="145">
        <f>IFERROR(VLOOKUP($A125,'2021 B-7'!C:R,14,FALSE),0)</f>
        <v>0</v>
      </c>
      <c r="E125" s="145">
        <f>IFERROR(VLOOKUP($A125,'2021 B-9'!C:T,16,FALSE),0)</f>
        <v>0</v>
      </c>
      <c r="F125" s="130"/>
      <c r="G125" s="138">
        <f t="shared" ref="G125:G129" si="35">J125</f>
        <v>2.9</v>
      </c>
      <c r="H125" s="145">
        <f t="shared" si="33"/>
        <v>0</v>
      </c>
      <c r="I125" s="130"/>
      <c r="J125" s="138">
        <f>'Proposed Rates'!$V125</f>
        <v>2.9</v>
      </c>
      <c r="K125" s="145">
        <f t="shared" si="34"/>
        <v>0</v>
      </c>
      <c r="L125" s="145">
        <f>K125-H125</f>
        <v>0</v>
      </c>
      <c r="M125" s="852"/>
      <c r="N125" s="853">
        <f>L125-'Proposed Accrual 2020'!L125</f>
        <v>0</v>
      </c>
      <c r="O125" s="487"/>
    </row>
    <row r="126" spans="1:15" x14ac:dyDescent="0.2">
      <c r="A126" s="140">
        <f>'Plant &amp; Reserve'!$A126</f>
        <v>34343</v>
      </c>
      <c r="B126" s="130" t="str">
        <f>'Plant &amp; Reserve'!$B126</f>
        <v>BB CCST for CT 5-6</v>
      </c>
      <c r="C126" s="130"/>
      <c r="D126" s="145">
        <f>IFERROR(VLOOKUP($A126,'2021 B-7'!C:R,14,FALSE),0)</f>
        <v>10412606.623999998</v>
      </c>
      <c r="E126" s="145">
        <f>IFERROR(VLOOKUP($A126,'2021 B-9'!C:T,16,FALSE),0)</f>
        <v>-2603151.6560000004</v>
      </c>
      <c r="F126" s="130"/>
      <c r="G126" s="138">
        <f t="shared" si="35"/>
        <v>2.9</v>
      </c>
      <c r="H126" s="145">
        <f t="shared" si="33"/>
        <v>301966</v>
      </c>
      <c r="I126" s="130"/>
      <c r="J126" s="138">
        <f>'Proposed Rates'!$V126</f>
        <v>2.9</v>
      </c>
      <c r="K126" s="145">
        <f t="shared" si="34"/>
        <v>301966</v>
      </c>
      <c r="L126" s="145">
        <f>K126-H126</f>
        <v>0</v>
      </c>
      <c r="M126" s="852"/>
      <c r="N126" s="853">
        <f>L126-'Proposed Accrual 2020'!L126</f>
        <v>0</v>
      </c>
      <c r="O126" s="487" t="s">
        <v>1440</v>
      </c>
    </row>
    <row r="127" spans="1:15" x14ac:dyDescent="0.2">
      <c r="A127" s="140">
        <f>'Plant &amp; Reserve'!$A127</f>
        <v>34543</v>
      </c>
      <c r="B127" s="130" t="str">
        <f>'Plant &amp; Reserve'!$B127</f>
        <v>BB CCST for CT 5-6</v>
      </c>
      <c r="C127" s="130"/>
      <c r="D127" s="145">
        <f>IFERROR(VLOOKUP($A127,'2021 B-7'!C:R,14,FALSE),0)</f>
        <v>0</v>
      </c>
      <c r="E127" s="145">
        <f>IFERROR(VLOOKUP($A127,'2021 B-9'!C:T,16,FALSE),0)</f>
        <v>0</v>
      </c>
      <c r="F127" s="130"/>
      <c r="G127" s="138">
        <f t="shared" si="35"/>
        <v>2.9</v>
      </c>
      <c r="H127" s="145">
        <f t="shared" si="33"/>
        <v>0</v>
      </c>
      <c r="I127" s="130"/>
      <c r="J127" s="138">
        <f>'Proposed Rates'!$V127</f>
        <v>2.9</v>
      </c>
      <c r="K127" s="145">
        <f t="shared" si="34"/>
        <v>0</v>
      </c>
      <c r="L127" s="145">
        <f>K127-H127</f>
        <v>0</v>
      </c>
      <c r="M127" s="852"/>
      <c r="N127" s="853">
        <f>L127-'Proposed Accrual 2020'!L127</f>
        <v>0</v>
      </c>
      <c r="O127" s="487"/>
    </row>
    <row r="128" spans="1:15" ht="15" x14ac:dyDescent="0.2">
      <c r="A128" s="140">
        <f>'Plant &amp; Reserve'!$A128</f>
        <v>34643</v>
      </c>
      <c r="B128" s="168" t="str">
        <f>'Plant &amp; Reserve'!$B128</f>
        <v>BB CCST for CT 5-6</v>
      </c>
      <c r="C128" s="130"/>
      <c r="D128" s="172">
        <f>IFERROR(VLOOKUP($A128,'2021 B-7'!C:R,14,FALSE),0)</f>
        <v>0</v>
      </c>
      <c r="E128" s="172">
        <f>IFERROR(VLOOKUP($A128,'2021 B-9'!C:T,16,FALSE),0)</f>
        <v>0</v>
      </c>
      <c r="F128" s="130"/>
      <c r="G128" s="170">
        <f t="shared" si="35"/>
        <v>2.9</v>
      </c>
      <c r="H128" s="172">
        <f t="shared" si="33"/>
        <v>0</v>
      </c>
      <c r="I128" s="130"/>
      <c r="J128" s="170">
        <f>'Proposed Rates'!$V128</f>
        <v>2.9</v>
      </c>
      <c r="K128" s="171">
        <f t="shared" si="34"/>
        <v>0</v>
      </c>
      <c r="L128" s="171">
        <f>K128-H128</f>
        <v>0</v>
      </c>
      <c r="M128" s="852"/>
      <c r="N128" s="853">
        <f>L128-'Proposed Accrual 2020'!L128</f>
        <v>0</v>
      </c>
      <c r="O128" s="487"/>
    </row>
    <row r="129" spans="1:15" x14ac:dyDescent="0.2">
      <c r="A129" s="134"/>
      <c r="B129" s="128" t="s">
        <v>75</v>
      </c>
      <c r="C129" s="130"/>
      <c r="D129" s="173">
        <f>SUM(D124:D128)</f>
        <v>10412606.623999998</v>
      </c>
      <c r="E129" s="173">
        <f>SUM(E124:E128)</f>
        <v>-2603151.6560000004</v>
      </c>
      <c r="F129" s="130"/>
      <c r="G129" s="177">
        <f t="shared" si="35"/>
        <v>2.9</v>
      </c>
      <c r="H129" s="173">
        <f>SUM(H124:H128)</f>
        <v>301966</v>
      </c>
      <c r="I129" s="130"/>
      <c r="J129" s="177">
        <f>'Proposed Rates'!$V129</f>
        <v>2.9</v>
      </c>
      <c r="K129" s="173">
        <f>SUM(K124:K128)</f>
        <v>301966</v>
      </c>
      <c r="L129" s="173">
        <f>SUM(L124:L128)</f>
        <v>0</v>
      </c>
      <c r="M129" s="852"/>
      <c r="N129" s="853">
        <f>L129-'Proposed Accrual 2020'!L129</f>
        <v>0</v>
      </c>
      <c r="O129" s="487" t="s">
        <v>1440</v>
      </c>
    </row>
    <row r="130" spans="1:15" ht="13.5" thickBot="1" x14ac:dyDescent="0.25">
      <c r="A130" s="493"/>
      <c r="B130" s="493"/>
      <c r="C130" s="130"/>
      <c r="D130" s="182"/>
      <c r="E130" s="182"/>
      <c r="F130" s="130"/>
      <c r="G130" s="493"/>
      <c r="H130" s="493"/>
      <c r="I130" s="130"/>
      <c r="J130" s="493"/>
      <c r="K130" s="493"/>
      <c r="L130" s="493"/>
      <c r="M130" s="130"/>
      <c r="N130" s="853">
        <f>L130-'Proposed Accrual 2020'!L130</f>
        <v>0</v>
      </c>
      <c r="O130" s="487"/>
    </row>
    <row r="131" spans="1:15" ht="19.5" customHeight="1" thickTop="1" thickBot="1" x14ac:dyDescent="0.25">
      <c r="A131" s="494"/>
      <c r="B131" s="384"/>
      <c r="C131" s="130"/>
      <c r="D131" s="196">
        <f>SUM(D108,D115,D122,D129)</f>
        <v>393426892.704</v>
      </c>
      <c r="E131" s="196">
        <f>SUM(E108,E115,E122,E129)</f>
        <v>15261339.784860004</v>
      </c>
      <c r="F131" s="130"/>
      <c r="G131" s="826">
        <f>IF($D131=0,0,H131/$D131*100)</f>
        <v>3.0013438885287331</v>
      </c>
      <c r="H131" s="196">
        <f>SUM(H108,H115,H122,H129)</f>
        <v>11808094</v>
      </c>
      <c r="I131" s="130"/>
      <c r="J131" s="826">
        <f>IF($D131=0,0,K131/$D131*100)</f>
        <v>2.9102756350248828</v>
      </c>
      <c r="K131" s="196">
        <f>SUM(K108,K115,K122,K129)</f>
        <v>11449807</v>
      </c>
      <c r="L131" s="196">
        <f>SUM(L108,L115,L122,L129)</f>
        <v>-358287</v>
      </c>
      <c r="M131" s="130"/>
      <c r="N131" s="853">
        <f>L131-'Proposed Accrual 2020'!L131</f>
        <v>0</v>
      </c>
      <c r="O131" s="487"/>
    </row>
    <row r="132" spans="1:15" ht="13.5" thickTop="1" x14ac:dyDescent="0.2">
      <c r="A132" s="134"/>
      <c r="B132" s="805"/>
      <c r="C132" s="130"/>
      <c r="D132" s="145"/>
      <c r="E132" s="145"/>
      <c r="F132" s="130"/>
      <c r="G132" s="138"/>
      <c r="H132" s="145"/>
      <c r="I132" s="130"/>
      <c r="J132" s="138"/>
      <c r="K132" s="145"/>
      <c r="L132" s="145"/>
      <c r="M132" s="130"/>
      <c r="N132" s="853">
        <f>L132-'Proposed Accrual 2020'!L132</f>
        <v>0</v>
      </c>
      <c r="O132" s="487"/>
    </row>
    <row r="133" spans="1:15" x14ac:dyDescent="0.2">
      <c r="A133" s="134"/>
      <c r="B133" s="144" t="s">
        <v>62</v>
      </c>
      <c r="C133" s="130"/>
      <c r="D133" s="145"/>
      <c r="E133" s="145"/>
      <c r="F133" s="130"/>
      <c r="G133" s="138"/>
      <c r="H133" s="145"/>
      <c r="I133" s="130"/>
      <c r="J133" s="138"/>
      <c r="K133" s="145"/>
      <c r="L133" s="145"/>
      <c r="M133" s="130"/>
      <c r="N133" s="853">
        <f>L133-'Proposed Accrual 2020'!L133</f>
        <v>0</v>
      </c>
      <c r="O133" s="487"/>
    </row>
    <row r="134" spans="1:15" x14ac:dyDescent="0.2">
      <c r="A134" s="134"/>
      <c r="B134" s="130"/>
      <c r="C134" s="130"/>
      <c r="D134" s="145"/>
      <c r="E134" s="145"/>
      <c r="F134" s="130"/>
      <c r="G134" s="138"/>
      <c r="H134" s="145"/>
      <c r="I134" s="130"/>
      <c r="J134" s="138"/>
      <c r="K134" s="145"/>
      <c r="L134" s="145"/>
      <c r="M134" s="130"/>
      <c r="N134" s="853">
        <f>L134-'Proposed Accrual 2020'!L134</f>
        <v>0</v>
      </c>
      <c r="O134" s="487"/>
    </row>
    <row r="135" spans="1:15" x14ac:dyDescent="0.2">
      <c r="A135" s="140">
        <f>'Plant &amp; Reserve'!$A135</f>
        <v>34130</v>
      </c>
      <c r="B135" s="130" t="str">
        <f>'Plant &amp; Reserve'!$B135</f>
        <v>BP Common</v>
      </c>
      <c r="C135" s="130"/>
      <c r="D135" s="145">
        <f>IFERROR(VLOOKUP($A135,'2021 B-7'!C:R,14,FALSE),0)</f>
        <v>84179579.349999994</v>
      </c>
      <c r="E135" s="145">
        <f>IFERROR(VLOOKUP($A135,'2021 B-9'!C:T,16,FALSE),0)</f>
        <v>23207658.245049991</v>
      </c>
      <c r="F135" s="130"/>
      <c r="G135" s="138">
        <f>'Proposed Rates'!$I135</f>
        <v>2.2999999999999998</v>
      </c>
      <c r="H135" s="145">
        <f t="shared" ref="H135:H139" si="36">ROUND(($D135*G135)/100,0)</f>
        <v>1936130</v>
      </c>
      <c r="I135" s="130"/>
      <c r="J135" s="138">
        <f>'Proposed Rates'!$V135</f>
        <v>3.4</v>
      </c>
      <c r="K135" s="145">
        <f t="shared" ref="K135:K139" si="37">ROUND(($D135*J135)/100,0)</f>
        <v>2862106</v>
      </c>
      <c r="L135" s="145">
        <f>K135-H135</f>
        <v>925976</v>
      </c>
      <c r="M135" s="852"/>
      <c r="N135" s="853">
        <f>L135-'Proposed Accrual 2020'!L135</f>
        <v>0</v>
      </c>
      <c r="O135" s="487"/>
    </row>
    <row r="136" spans="1:15" x14ac:dyDescent="0.2">
      <c r="A136" s="140">
        <f>'Plant &amp; Reserve'!$A136</f>
        <v>34230</v>
      </c>
      <c r="B136" s="130" t="str">
        <f>'Plant &amp; Reserve'!$B136</f>
        <v>BP Common</v>
      </c>
      <c r="C136" s="130"/>
      <c r="D136" s="145">
        <f>IFERROR(VLOOKUP($A136,'2021 B-7'!C:R,14,FALSE),0)</f>
        <v>28820226.926000006</v>
      </c>
      <c r="E136" s="145">
        <f>IFERROR(VLOOKUP($A136,'2021 B-9'!C:T,16,FALSE),0)</f>
        <v>6569267.7380749993</v>
      </c>
      <c r="F136" s="130"/>
      <c r="G136" s="138">
        <f>'Proposed Rates'!$I136</f>
        <v>2.5</v>
      </c>
      <c r="H136" s="145">
        <f t="shared" si="36"/>
        <v>720506</v>
      </c>
      <c r="I136" s="130"/>
      <c r="J136" s="138">
        <f>'Proposed Rates'!$V136</f>
        <v>3</v>
      </c>
      <c r="K136" s="145">
        <f t="shared" si="37"/>
        <v>864607</v>
      </c>
      <c r="L136" s="145">
        <f>K136-H136</f>
        <v>144101</v>
      </c>
      <c r="M136" s="852"/>
      <c r="N136" s="853">
        <f>L136-'Proposed Accrual 2020'!L136</f>
        <v>30781</v>
      </c>
      <c r="O136" s="487"/>
    </row>
    <row r="137" spans="1:15" x14ac:dyDescent="0.2">
      <c r="A137" s="140">
        <f>'Plant &amp; Reserve'!$A137</f>
        <v>34330</v>
      </c>
      <c r="B137" s="130" t="str">
        <f>'Plant &amp; Reserve'!$B137</f>
        <v>BP Common</v>
      </c>
      <c r="C137" s="130"/>
      <c r="D137" s="145">
        <f>IFERROR(VLOOKUP($A137,'2021 B-7'!C:R,14,FALSE),0)</f>
        <v>45095140.425999999</v>
      </c>
      <c r="E137" s="145">
        <f>IFERROR(VLOOKUP($A137,'2021 B-9'!C:T,16,FALSE),0)</f>
        <v>13393638.637056012</v>
      </c>
      <c r="F137" s="130"/>
      <c r="G137" s="138">
        <f>'Proposed Rates'!$I137</f>
        <v>3.2</v>
      </c>
      <c r="H137" s="145">
        <f t="shared" si="36"/>
        <v>1443044</v>
      </c>
      <c r="I137" s="130"/>
      <c r="J137" s="138">
        <f>'Proposed Rates'!$V137</f>
        <v>5.5</v>
      </c>
      <c r="K137" s="145">
        <f t="shared" si="37"/>
        <v>2480233</v>
      </c>
      <c r="L137" s="145">
        <f>K137-H137</f>
        <v>1037189</v>
      </c>
      <c r="M137" s="852"/>
      <c r="N137" s="853">
        <f>L137-'Proposed Accrual 2020'!L137</f>
        <v>141594</v>
      </c>
      <c r="O137" s="487"/>
    </row>
    <row r="138" spans="1:15" x14ac:dyDescent="0.2">
      <c r="A138" s="140">
        <f>'Plant &amp; Reserve'!$A138</f>
        <v>34530</v>
      </c>
      <c r="B138" s="130" t="str">
        <f>'Plant &amp; Reserve'!$B138</f>
        <v>BP Common</v>
      </c>
      <c r="C138" s="130"/>
      <c r="D138" s="145">
        <f>IFERROR(VLOOKUP($A138,'2021 B-7'!C:R,14,FALSE),0)</f>
        <v>29294635.780000001</v>
      </c>
      <c r="E138" s="145">
        <f>IFERROR(VLOOKUP($A138,'2021 B-9'!C:T,16,FALSE),0)</f>
        <v>13721385.442759993</v>
      </c>
      <c r="F138" s="130"/>
      <c r="G138" s="138">
        <f>'Proposed Rates'!$I138</f>
        <v>4.2</v>
      </c>
      <c r="H138" s="145">
        <f t="shared" si="36"/>
        <v>1230375</v>
      </c>
      <c r="I138" s="130"/>
      <c r="J138" s="138">
        <f>'Proposed Rates'!$V138</f>
        <v>3.3</v>
      </c>
      <c r="K138" s="145">
        <f t="shared" si="37"/>
        <v>966723</v>
      </c>
      <c r="L138" s="145">
        <f>K138-H138</f>
        <v>-263652</v>
      </c>
      <c r="M138" s="852"/>
      <c r="N138" s="853">
        <f>L138-'Proposed Accrual 2020'!L138</f>
        <v>0</v>
      </c>
      <c r="O138" s="487"/>
    </row>
    <row r="139" spans="1:15" ht="15" x14ac:dyDescent="0.2">
      <c r="A139" s="140">
        <f>'Plant &amp; Reserve'!$A139</f>
        <v>34630</v>
      </c>
      <c r="B139" s="168" t="str">
        <f>'Plant &amp; Reserve'!$B139</f>
        <v>BP Common</v>
      </c>
      <c r="C139" s="130"/>
      <c r="D139" s="172">
        <f>IFERROR(VLOOKUP($A139,'2021 B-7'!C:R,14,FALSE),0)</f>
        <v>11054023.24</v>
      </c>
      <c r="E139" s="172">
        <f>IFERROR(VLOOKUP($A139,'2021 B-9'!C:T,16,FALSE),0)</f>
        <v>4265117.8836799972</v>
      </c>
      <c r="F139" s="130"/>
      <c r="G139" s="170">
        <f>'Proposed Rates'!$I139</f>
        <v>3.2</v>
      </c>
      <c r="H139" s="172">
        <f t="shared" si="36"/>
        <v>353729</v>
      </c>
      <c r="I139" s="130"/>
      <c r="J139" s="170">
        <f>'Proposed Rates'!$V139</f>
        <v>4</v>
      </c>
      <c r="K139" s="171">
        <f t="shared" si="37"/>
        <v>442161</v>
      </c>
      <c r="L139" s="171">
        <f>K139-H139</f>
        <v>88432</v>
      </c>
      <c r="M139" s="852"/>
      <c r="N139" s="853">
        <f>L139-'Proposed Accrual 2020'!L139</f>
        <v>0</v>
      </c>
      <c r="O139" s="487"/>
    </row>
    <row r="140" spans="1:15" x14ac:dyDescent="0.2">
      <c r="A140" s="134"/>
      <c r="B140" s="128" t="s">
        <v>75</v>
      </c>
      <c r="C140" s="130"/>
      <c r="D140" s="173">
        <f>SUM(D135:D139)</f>
        <v>198443605.722</v>
      </c>
      <c r="E140" s="173">
        <f>SUM(E135:E139)</f>
        <v>61157067.946620986</v>
      </c>
      <c r="F140" s="130"/>
      <c r="G140" s="177">
        <f>'Proposed Rates'!$I140</f>
        <v>2.6</v>
      </c>
      <c r="H140" s="173">
        <f>SUM(H135:H139)</f>
        <v>5683784</v>
      </c>
      <c r="I140" s="130"/>
      <c r="J140" s="177">
        <f>'Proposed Rates'!$V140</f>
        <v>3.5</v>
      </c>
      <c r="K140" s="173">
        <f>SUM(K135:K139)</f>
        <v>7615830</v>
      </c>
      <c r="L140" s="173">
        <f>SUM(L135:L139)</f>
        <v>1932046</v>
      </c>
      <c r="M140" s="852"/>
      <c r="N140" s="853">
        <f>L140-'Proposed Accrual 2020'!L140</f>
        <v>172375</v>
      </c>
      <c r="O140" s="487"/>
    </row>
    <row r="141" spans="1:15" x14ac:dyDescent="0.2">
      <c r="A141" s="134"/>
      <c r="B141" s="130"/>
      <c r="C141" s="130"/>
      <c r="D141" s="145"/>
      <c r="E141" s="145"/>
      <c r="F141" s="130"/>
      <c r="G141" s="138"/>
      <c r="H141" s="145"/>
      <c r="I141" s="130"/>
      <c r="J141" s="138"/>
      <c r="K141" s="145"/>
      <c r="L141" s="145"/>
      <c r="M141" s="130"/>
      <c r="N141" s="853">
        <f>L141-'Proposed Accrual 2020'!L141</f>
        <v>0</v>
      </c>
      <c r="O141" s="487"/>
    </row>
    <row r="142" spans="1:15" x14ac:dyDescent="0.2">
      <c r="A142" s="140">
        <f>'Plant &amp; Reserve'!$A142</f>
        <v>34131</v>
      </c>
      <c r="B142" s="130" t="str">
        <f>'Plant &amp; Reserve'!$B142</f>
        <v>BP Unit No. 1</v>
      </c>
      <c r="C142" s="130"/>
      <c r="D142" s="145">
        <f>IFERROR(VLOOKUP($A142,'2021 B-7'!C:R,14,FALSE),0)</f>
        <v>21508359.090000004</v>
      </c>
      <c r="E142" s="145">
        <f>IFERROR(VLOOKUP($A142,'2021 B-9'!C:T,16,FALSE),0)</f>
        <v>7710858.6872499939</v>
      </c>
      <c r="F142" s="130"/>
      <c r="G142" s="138">
        <f>'Proposed Rates'!$I142</f>
        <v>2.5</v>
      </c>
      <c r="H142" s="145">
        <f t="shared" ref="H142:H146" si="38">ROUND(($D142*G142)/100,0)</f>
        <v>537709</v>
      </c>
      <c r="I142" s="130"/>
      <c r="J142" s="138">
        <f>'Proposed Rates'!$V142</f>
        <v>3.6</v>
      </c>
      <c r="K142" s="145">
        <f t="shared" ref="K142:K146" si="39">ROUND(($D142*J142)/100,0)</f>
        <v>774301</v>
      </c>
      <c r="L142" s="145">
        <f>K142-H142</f>
        <v>236592</v>
      </c>
      <c r="M142" s="852"/>
      <c r="N142" s="853">
        <f>L142-'Proposed Accrual 2020'!L142</f>
        <v>0</v>
      </c>
      <c r="O142" s="487"/>
    </row>
    <row r="143" spans="1:15" x14ac:dyDescent="0.2">
      <c r="A143" s="140">
        <f>'Plant &amp; Reserve'!$A143</f>
        <v>34231</v>
      </c>
      <c r="B143" s="130" t="str">
        <f>'Plant &amp; Reserve'!$B143</f>
        <v>BP Unit No. 1</v>
      </c>
      <c r="C143" s="130"/>
      <c r="D143" s="145">
        <f>IFERROR(VLOOKUP($A143,'2021 B-7'!C:R,14,FALSE),0)</f>
        <v>81042998.602000043</v>
      </c>
      <c r="E143" s="145">
        <f>IFERROR(VLOOKUP($A143,'2021 B-9'!C:T,16,FALSE),0)</f>
        <v>34252574.466413654</v>
      </c>
      <c r="F143" s="130"/>
      <c r="G143" s="138">
        <f>'Proposed Rates'!$I143</f>
        <v>2.9</v>
      </c>
      <c r="H143" s="145">
        <f t="shared" si="38"/>
        <v>2350247</v>
      </c>
      <c r="I143" s="130"/>
      <c r="J143" s="138">
        <f>'Proposed Rates'!$V143</f>
        <v>4</v>
      </c>
      <c r="K143" s="145">
        <f t="shared" si="39"/>
        <v>3241720</v>
      </c>
      <c r="L143" s="145">
        <f>K143-H143</f>
        <v>891473</v>
      </c>
      <c r="M143" s="852"/>
      <c r="N143" s="853">
        <f>L143-'Proposed Accrual 2020'!L143</f>
        <v>32977</v>
      </c>
      <c r="O143" s="487"/>
    </row>
    <row r="144" spans="1:15" x14ac:dyDescent="0.2">
      <c r="A144" s="140">
        <f>'Plant &amp; Reserve'!$A144</f>
        <v>34331</v>
      </c>
      <c r="B144" s="130" t="str">
        <f>'Plant &amp; Reserve'!$B144</f>
        <v>BP Unit No. 1</v>
      </c>
      <c r="C144" s="130"/>
      <c r="D144" s="145">
        <f>IFERROR(VLOOKUP($A144,'2021 B-7'!C:R,14,FALSE),0)</f>
        <v>213491877.97200006</v>
      </c>
      <c r="E144" s="145">
        <f>IFERROR(VLOOKUP($A144,'2021 B-9'!C:T,16,FALSE),0)</f>
        <v>72614039.929345995</v>
      </c>
      <c r="F144" s="130"/>
      <c r="G144" s="138">
        <f>'Proposed Rates'!$I144</f>
        <v>4.2</v>
      </c>
      <c r="H144" s="145">
        <f t="shared" si="38"/>
        <v>8966659</v>
      </c>
      <c r="I144" s="130"/>
      <c r="J144" s="138">
        <f>'Proposed Rates'!$V144</f>
        <v>6.1</v>
      </c>
      <c r="K144" s="145">
        <f t="shared" si="39"/>
        <v>13023005</v>
      </c>
      <c r="L144" s="145">
        <f>K144-H144</f>
        <v>4056346</v>
      </c>
      <c r="M144" s="852"/>
      <c r="N144" s="853">
        <f>L144-'Proposed Accrual 2020'!L144</f>
        <v>56960</v>
      </c>
      <c r="O144" s="487"/>
    </row>
    <row r="145" spans="1:15" x14ac:dyDescent="0.2">
      <c r="A145" s="140">
        <f>'Plant &amp; Reserve'!$A145</f>
        <v>34531</v>
      </c>
      <c r="B145" s="130" t="str">
        <f>'Plant &amp; Reserve'!$B145</f>
        <v>BP Unit No. 1</v>
      </c>
      <c r="C145" s="130"/>
      <c r="D145" s="145">
        <f>IFERROR(VLOOKUP($A145,'2021 B-7'!C:R,14,FALSE),0)</f>
        <v>39338144.729999989</v>
      </c>
      <c r="E145" s="145">
        <f>IFERROR(VLOOKUP($A145,'2021 B-9'!C:T,16,FALSE),0)</f>
        <v>19060417.451359984</v>
      </c>
      <c r="F145" s="130"/>
      <c r="G145" s="138">
        <f>'Proposed Rates'!$I145</f>
        <v>3.2</v>
      </c>
      <c r="H145" s="145">
        <f t="shared" si="38"/>
        <v>1258821</v>
      </c>
      <c r="I145" s="130"/>
      <c r="J145" s="138">
        <f>'Proposed Rates'!$V145</f>
        <v>4.0999999999999996</v>
      </c>
      <c r="K145" s="145">
        <f t="shared" si="39"/>
        <v>1612864</v>
      </c>
      <c r="L145" s="145">
        <f>K145-H145</f>
        <v>354043</v>
      </c>
      <c r="M145" s="852"/>
      <c r="N145" s="853">
        <f>L145-'Proposed Accrual 2020'!L145</f>
        <v>0</v>
      </c>
      <c r="O145" s="487"/>
    </row>
    <row r="146" spans="1:15" ht="15" x14ac:dyDescent="0.2">
      <c r="A146" s="140">
        <f>'Plant &amp; Reserve'!$A146</f>
        <v>34631</v>
      </c>
      <c r="B146" s="168" t="str">
        <f>'Plant &amp; Reserve'!$B146</f>
        <v>BP Unit No. 1</v>
      </c>
      <c r="C146" s="130"/>
      <c r="D146" s="172">
        <f>IFERROR(VLOOKUP($A146,'2021 B-7'!C:R,14,FALSE),0)</f>
        <v>1152705.94</v>
      </c>
      <c r="E146" s="172">
        <f>IFERROR(VLOOKUP($A146,'2021 B-9'!C:T,16,FALSE),0)</f>
        <v>560563.34038000135</v>
      </c>
      <c r="F146" s="130"/>
      <c r="G146" s="170">
        <f>'Proposed Rates'!$I146</f>
        <v>2.7</v>
      </c>
      <c r="H146" s="172">
        <f t="shared" si="38"/>
        <v>31123</v>
      </c>
      <c r="I146" s="130"/>
      <c r="J146" s="170">
        <f>'Proposed Rates'!$V146</f>
        <v>3.2</v>
      </c>
      <c r="K146" s="171">
        <f t="shared" si="39"/>
        <v>36887</v>
      </c>
      <c r="L146" s="171">
        <f>K146-H146</f>
        <v>5764</v>
      </c>
      <c r="M146" s="852"/>
      <c r="N146" s="853">
        <f>L146-'Proposed Accrual 2020'!L146</f>
        <v>0</v>
      </c>
      <c r="O146" s="487"/>
    </row>
    <row r="147" spans="1:15" x14ac:dyDescent="0.2">
      <c r="A147" s="134"/>
      <c r="B147" s="128" t="s">
        <v>75</v>
      </c>
      <c r="C147" s="130"/>
      <c r="D147" s="173">
        <f>SUM(D142:D146)</f>
        <v>356534086.33400005</v>
      </c>
      <c r="E147" s="173">
        <f>SUM(E142:E146)</f>
        <v>134198453.87474963</v>
      </c>
      <c r="F147" s="130"/>
      <c r="G147" s="177">
        <f>'Proposed Rates'!$I147</f>
        <v>3.3</v>
      </c>
      <c r="H147" s="173">
        <f>SUM(H142:H146)</f>
        <v>13144559</v>
      </c>
      <c r="I147" s="130"/>
      <c r="J147" s="177">
        <f>'Proposed Rates'!$V147</f>
        <v>5.0999999999999996</v>
      </c>
      <c r="K147" s="173">
        <f>SUM(K142:K146)</f>
        <v>18688777</v>
      </c>
      <c r="L147" s="173">
        <f>SUM(L142:L146)</f>
        <v>5544218</v>
      </c>
      <c r="M147" s="852"/>
      <c r="N147" s="853">
        <f>L147-'Proposed Accrual 2020'!L147</f>
        <v>89937</v>
      </c>
      <c r="O147" s="487"/>
    </row>
    <row r="148" spans="1:15" x14ac:dyDescent="0.2">
      <c r="A148" s="134"/>
      <c r="B148" s="130"/>
      <c r="C148" s="130"/>
      <c r="D148" s="145"/>
      <c r="E148" s="145"/>
      <c r="F148" s="130"/>
      <c r="G148" s="138"/>
      <c r="H148" s="145"/>
      <c r="I148" s="130"/>
      <c r="J148" s="138"/>
      <c r="K148" s="145"/>
      <c r="L148" s="145"/>
      <c r="M148" s="130"/>
      <c r="N148" s="853">
        <f>L148-'Proposed Accrual 2020'!L148</f>
        <v>0</v>
      </c>
      <c r="O148" s="487"/>
    </row>
    <row r="149" spans="1:15" x14ac:dyDescent="0.2">
      <c r="A149" s="140">
        <f>'Plant &amp; Reserve'!$A149</f>
        <v>34132</v>
      </c>
      <c r="B149" s="130" t="str">
        <f>'Plant &amp; Reserve'!$B149</f>
        <v>BP Unit No. 2</v>
      </c>
      <c r="C149" s="130"/>
      <c r="D149" s="145">
        <f>IFERROR(VLOOKUP($A149,'2021 B-7'!C:R,14,FALSE),0)</f>
        <v>26971966.289999995</v>
      </c>
      <c r="E149" s="145">
        <f>IFERROR(VLOOKUP($A149,'2021 B-9'!C:T,16,FALSE),0)</f>
        <v>11709931.007249996</v>
      </c>
      <c r="F149" s="130"/>
      <c r="G149" s="138">
        <f>'Proposed Rates'!$I149</f>
        <v>2.5</v>
      </c>
      <c r="H149" s="145">
        <f t="shared" ref="H149:H153" si="40">ROUND(($D149*G149)/100,0)</f>
        <v>674299</v>
      </c>
      <c r="I149" s="130"/>
      <c r="J149" s="138">
        <f>'Proposed Rates'!$V149</f>
        <v>3.5</v>
      </c>
      <c r="K149" s="145">
        <f t="shared" ref="K149:K153" si="41">ROUND(($D149*J149)/100,0)</f>
        <v>944019</v>
      </c>
      <c r="L149" s="145">
        <f>K149-H149</f>
        <v>269720</v>
      </c>
      <c r="M149" s="852"/>
      <c r="N149" s="853">
        <f>L149-'Proposed Accrual 2020'!L149</f>
        <v>0</v>
      </c>
      <c r="O149" s="487"/>
    </row>
    <row r="150" spans="1:15" x14ac:dyDescent="0.2">
      <c r="A150" s="140">
        <f>'Plant &amp; Reserve'!$A150</f>
        <v>34232</v>
      </c>
      <c r="B150" s="130" t="str">
        <f>'Plant &amp; Reserve'!$B150</f>
        <v>BP Unit No. 2</v>
      </c>
      <c r="C150" s="130"/>
      <c r="D150" s="145">
        <f>IFERROR(VLOOKUP($A150,'2021 B-7'!C:R,14,FALSE),0)</f>
        <v>104956994.09800003</v>
      </c>
      <c r="E150" s="145">
        <f>IFERROR(VLOOKUP($A150,'2021 B-9'!C:T,16,FALSE),0)</f>
        <v>42855075.064723037</v>
      </c>
      <c r="F150" s="130"/>
      <c r="G150" s="138">
        <f>'Proposed Rates'!$I150</f>
        <v>2.9</v>
      </c>
      <c r="H150" s="145">
        <f t="shared" si="40"/>
        <v>3043753</v>
      </c>
      <c r="I150" s="130"/>
      <c r="J150" s="138">
        <f>'Proposed Rates'!$V150</f>
        <v>3.9</v>
      </c>
      <c r="K150" s="145">
        <f t="shared" si="41"/>
        <v>4093323</v>
      </c>
      <c r="L150" s="145">
        <f>K150-H150</f>
        <v>1049570</v>
      </c>
      <c r="M150" s="852"/>
      <c r="N150" s="853">
        <f>L150-'Proposed Accrual 2020'!L150</f>
        <v>12807</v>
      </c>
      <c r="O150" s="487"/>
    </row>
    <row r="151" spans="1:15" x14ac:dyDescent="0.2">
      <c r="A151" s="140">
        <f>'Plant &amp; Reserve'!$A151</f>
        <v>34332</v>
      </c>
      <c r="B151" s="130" t="str">
        <f>'Plant &amp; Reserve'!$B151</f>
        <v>BP Unit No. 2</v>
      </c>
      <c r="C151" s="130"/>
      <c r="D151" s="145">
        <f>IFERROR(VLOOKUP($A151,'2021 B-7'!C:R,14,FALSE),0)</f>
        <v>289324978.75799996</v>
      </c>
      <c r="E151" s="145">
        <f>IFERROR(VLOOKUP($A151,'2021 B-9'!C:T,16,FALSE),0)</f>
        <v>88359561.594427004</v>
      </c>
      <c r="F151" s="130"/>
      <c r="G151" s="138">
        <f>'Proposed Rates'!$I151</f>
        <v>4.0999999999999996</v>
      </c>
      <c r="H151" s="145">
        <f t="shared" si="40"/>
        <v>11862324</v>
      </c>
      <c r="I151" s="130"/>
      <c r="J151" s="138">
        <f>'Proposed Rates'!$V151</f>
        <v>6.2</v>
      </c>
      <c r="K151" s="145">
        <f t="shared" si="41"/>
        <v>17938149</v>
      </c>
      <c r="L151" s="145">
        <f>K151-H151</f>
        <v>6075825</v>
      </c>
      <c r="M151" s="852"/>
      <c r="N151" s="853">
        <f>L151-'Proposed Accrual 2020'!L151</f>
        <v>26896</v>
      </c>
      <c r="O151" s="487"/>
    </row>
    <row r="152" spans="1:15" x14ac:dyDescent="0.2">
      <c r="A152" s="140">
        <f>'Plant &amp; Reserve'!$A152</f>
        <v>34532</v>
      </c>
      <c r="B152" s="130" t="str">
        <f>'Plant &amp; Reserve'!$B152</f>
        <v>BP Unit No. 2</v>
      </c>
      <c r="C152" s="130"/>
      <c r="D152" s="145">
        <f>IFERROR(VLOOKUP($A152,'2021 B-7'!C:R,14,FALSE),0)</f>
        <v>44058767.359999999</v>
      </c>
      <c r="E152" s="145">
        <f>IFERROR(VLOOKUP($A152,'2021 B-9'!C:T,16,FALSE),0)</f>
        <v>20397207.738159996</v>
      </c>
      <c r="F152" s="130"/>
      <c r="G152" s="138">
        <f>'Proposed Rates'!$I152</f>
        <v>3.1</v>
      </c>
      <c r="H152" s="145">
        <f t="shared" si="40"/>
        <v>1365822</v>
      </c>
      <c r="I152" s="130"/>
      <c r="J152" s="138">
        <f>'Proposed Rates'!$V152</f>
        <v>4.0999999999999996</v>
      </c>
      <c r="K152" s="145">
        <f t="shared" si="41"/>
        <v>1806409</v>
      </c>
      <c r="L152" s="145">
        <f>K152-H152</f>
        <v>440587</v>
      </c>
      <c r="M152" s="852"/>
      <c r="N152" s="853">
        <f>L152-'Proposed Accrual 2020'!L152</f>
        <v>0</v>
      </c>
      <c r="O152" s="487"/>
    </row>
    <row r="153" spans="1:15" ht="15" x14ac:dyDescent="0.2">
      <c r="A153" s="140">
        <f>'Plant &amp; Reserve'!$A153</f>
        <v>34632</v>
      </c>
      <c r="B153" s="168" t="str">
        <f>'Plant &amp; Reserve'!$B153</f>
        <v>BP Unit No. 2</v>
      </c>
      <c r="C153" s="130"/>
      <c r="D153" s="172">
        <f>IFERROR(VLOOKUP($A153,'2021 B-7'!C:R,14,FALSE),0)</f>
        <v>1455592.35</v>
      </c>
      <c r="E153" s="172">
        <f>IFERROR(VLOOKUP($A153,'2021 B-9'!C:T,16,FALSE),0)</f>
        <v>709685.08579999942</v>
      </c>
      <c r="F153" s="130"/>
      <c r="G153" s="170">
        <f>'Proposed Rates'!$I153</f>
        <v>2.8</v>
      </c>
      <c r="H153" s="172">
        <f t="shared" si="40"/>
        <v>40757</v>
      </c>
      <c r="I153" s="130"/>
      <c r="J153" s="170">
        <f>'Proposed Rates'!$V153</f>
        <v>3.3</v>
      </c>
      <c r="K153" s="171">
        <f t="shared" si="41"/>
        <v>48035</v>
      </c>
      <c r="L153" s="171">
        <f>K153-H153</f>
        <v>7278</v>
      </c>
      <c r="M153" s="852"/>
      <c r="N153" s="853">
        <f>L153-'Proposed Accrual 2020'!L153</f>
        <v>0</v>
      </c>
      <c r="O153" s="487"/>
    </row>
    <row r="154" spans="1:15" x14ac:dyDescent="0.2">
      <c r="A154" s="134"/>
      <c r="B154" s="128" t="s">
        <v>75</v>
      </c>
      <c r="C154" s="130"/>
      <c r="D154" s="173">
        <f>SUM(D149:D153)</f>
        <v>466768298.85600001</v>
      </c>
      <c r="E154" s="173">
        <f>SUM(E149:E153)</f>
        <v>164031460.49036002</v>
      </c>
      <c r="F154" s="130"/>
      <c r="G154" s="177">
        <f>'Proposed Rates'!$I154</f>
        <v>3.3</v>
      </c>
      <c r="H154" s="173">
        <f>SUM(H149:H153)</f>
        <v>16986955</v>
      </c>
      <c r="I154" s="130"/>
      <c r="J154" s="177">
        <f>'Proposed Rates'!$V154</f>
        <v>5.2</v>
      </c>
      <c r="K154" s="173">
        <f>SUM(K149:K153)</f>
        <v>24829935</v>
      </c>
      <c r="L154" s="173">
        <f>SUM(L149:L153)</f>
        <v>7842980</v>
      </c>
      <c r="M154" s="852"/>
      <c r="N154" s="853">
        <f>L154-'Proposed Accrual 2020'!L154</f>
        <v>39703</v>
      </c>
      <c r="O154" s="487"/>
    </row>
    <row r="155" spans="1:15" x14ac:dyDescent="0.2">
      <c r="A155" s="134"/>
      <c r="B155" s="128"/>
      <c r="C155" s="130"/>
      <c r="D155" s="145"/>
      <c r="E155" s="145"/>
      <c r="F155" s="130"/>
      <c r="G155" s="138"/>
      <c r="H155" s="145"/>
      <c r="I155" s="130"/>
      <c r="J155" s="138"/>
      <c r="K155" s="145"/>
      <c r="L155" s="145"/>
      <c r="M155" s="130"/>
      <c r="N155" s="853">
        <f>L155-'Proposed Accrual 2020'!L155</f>
        <v>0</v>
      </c>
      <c r="O155" s="487"/>
    </row>
    <row r="156" spans="1:15" x14ac:dyDescent="0.2">
      <c r="A156" s="140">
        <f>'Plant &amp; Reserve'!$A156</f>
        <v>34133</v>
      </c>
      <c r="B156" s="130" t="str">
        <f>'Plant &amp; Reserve'!$B156</f>
        <v>BP CT No. 3</v>
      </c>
      <c r="C156" s="130"/>
      <c r="D156" s="145">
        <f>IFERROR(VLOOKUP($A156,'2021 B-7'!C:R,14,FALSE),0)</f>
        <v>656349.29</v>
      </c>
      <c r="E156" s="145">
        <f>IFERROR(VLOOKUP($A156,'2021 B-9'!C:T,16,FALSE),0)</f>
        <v>6254.3515399997304</v>
      </c>
      <c r="F156" s="130"/>
      <c r="G156" s="138">
        <f>'Proposed Rates'!$I156</f>
        <v>2.6</v>
      </c>
      <c r="H156" s="145">
        <f t="shared" ref="H156:H160" si="42">ROUND(($D156*G156)/100,0)</f>
        <v>17065</v>
      </c>
      <c r="I156" s="130"/>
      <c r="J156" s="138">
        <f>'Proposed Rates'!$V156</f>
        <v>3.5</v>
      </c>
      <c r="K156" s="145">
        <f t="shared" ref="K156:K160" si="43">ROUND(($D156*J156)/100,0)</f>
        <v>22972</v>
      </c>
      <c r="L156" s="145">
        <f>K156-H156</f>
        <v>5907</v>
      </c>
      <c r="M156" s="852"/>
      <c r="N156" s="853">
        <f>L156-'Proposed Accrual 2020'!L156</f>
        <v>0</v>
      </c>
      <c r="O156" s="487"/>
    </row>
    <row r="157" spans="1:15" x14ac:dyDescent="0.2">
      <c r="A157" s="140">
        <f>'Plant &amp; Reserve'!$A157</f>
        <v>34233</v>
      </c>
      <c r="B157" s="130" t="str">
        <f>'Plant &amp; Reserve'!$B157</f>
        <v>BP CT No. 3</v>
      </c>
      <c r="C157" s="130"/>
      <c r="D157" s="145">
        <f>IFERROR(VLOOKUP($A157,'2021 B-7'!C:R,14,FALSE),0)</f>
        <v>3790289.2899999991</v>
      </c>
      <c r="E157" s="145">
        <f>IFERROR(VLOOKUP($A157,'2021 B-9'!C:T,16,FALSE),0)</f>
        <v>1014276.9707399993</v>
      </c>
      <c r="F157" s="130"/>
      <c r="G157" s="138">
        <f>'Proposed Rates'!$I157</f>
        <v>3.6</v>
      </c>
      <c r="H157" s="145">
        <f t="shared" si="42"/>
        <v>136450</v>
      </c>
      <c r="I157" s="130"/>
      <c r="J157" s="138">
        <f>'Proposed Rates'!$V157</f>
        <v>3.2</v>
      </c>
      <c r="K157" s="145">
        <f t="shared" si="43"/>
        <v>121289</v>
      </c>
      <c r="L157" s="145">
        <f>K157-H157</f>
        <v>-15161</v>
      </c>
      <c r="M157" s="852"/>
      <c r="N157" s="853">
        <f>L157-'Proposed Accrual 2020'!L157</f>
        <v>-1602</v>
      </c>
      <c r="O157" s="487"/>
    </row>
    <row r="158" spans="1:15" x14ac:dyDescent="0.2">
      <c r="A158" s="140">
        <f>'Plant &amp; Reserve'!$A158</f>
        <v>34333</v>
      </c>
      <c r="B158" s="130" t="str">
        <f>'Plant &amp; Reserve'!$B158</f>
        <v>BP CT No. 3</v>
      </c>
      <c r="C158" s="130"/>
      <c r="D158" s="145">
        <f>IFERROR(VLOOKUP($A158,'2021 B-7'!C:R,14,FALSE),0)</f>
        <v>15859302.920000004</v>
      </c>
      <c r="E158" s="145">
        <f>IFERROR(VLOOKUP($A158,'2021 B-9'!C:T,16,FALSE),0)</f>
        <v>7994310.5438000085</v>
      </c>
      <c r="F158" s="130"/>
      <c r="G158" s="138">
        <f>'Proposed Rates'!$I158</f>
        <v>4</v>
      </c>
      <c r="H158" s="145">
        <f t="shared" si="42"/>
        <v>634372</v>
      </c>
      <c r="I158" s="130"/>
      <c r="J158" s="138">
        <f>'Proposed Rates'!$V158</f>
        <v>3.1</v>
      </c>
      <c r="K158" s="145">
        <f t="shared" si="43"/>
        <v>491638</v>
      </c>
      <c r="L158" s="145">
        <f>K158-H158</f>
        <v>-142734</v>
      </c>
      <c r="M158" s="852"/>
      <c r="N158" s="853">
        <f>L158-'Proposed Accrual 2020'!L158</f>
        <v>-3606</v>
      </c>
      <c r="O158" s="487"/>
    </row>
    <row r="159" spans="1:15" x14ac:dyDescent="0.2">
      <c r="A159" s="140">
        <f>'Plant &amp; Reserve'!$A159</f>
        <v>34533</v>
      </c>
      <c r="B159" s="130" t="str">
        <f>'Plant &amp; Reserve'!$B159</f>
        <v>BP CT No. 3</v>
      </c>
      <c r="C159" s="130"/>
      <c r="D159" s="145">
        <f>IFERROR(VLOOKUP($A159,'2021 B-7'!C:R,14,FALSE),0)</f>
        <v>14155293.100000001</v>
      </c>
      <c r="E159" s="145">
        <f>IFERROR(VLOOKUP($A159,'2021 B-9'!C:T,16,FALSE),0)</f>
        <v>5364095.3540000031</v>
      </c>
      <c r="F159" s="130"/>
      <c r="G159" s="138">
        <f>'Proposed Rates'!$I159</f>
        <v>4</v>
      </c>
      <c r="H159" s="145">
        <f t="shared" si="42"/>
        <v>566212</v>
      </c>
      <c r="I159" s="130"/>
      <c r="J159" s="138">
        <f>'Proposed Rates'!$V159</f>
        <v>2.7</v>
      </c>
      <c r="K159" s="145">
        <f t="shared" si="43"/>
        <v>382193</v>
      </c>
      <c r="L159" s="145">
        <f>K159-H159</f>
        <v>-184019</v>
      </c>
      <c r="M159" s="852"/>
      <c r="N159" s="853">
        <f>L159-'Proposed Accrual 2020'!L159</f>
        <v>0</v>
      </c>
      <c r="O159" s="487"/>
    </row>
    <row r="160" spans="1:15" ht="15" x14ac:dyDescent="0.2">
      <c r="A160" s="140">
        <f>'Plant &amp; Reserve'!$A160</f>
        <v>34633</v>
      </c>
      <c r="B160" s="168" t="str">
        <f>'Plant &amp; Reserve'!$B160</f>
        <v>BP CT No. 3</v>
      </c>
      <c r="C160" s="130"/>
      <c r="D160" s="172">
        <f>IFERROR(VLOOKUP($A160,'2021 B-7'!C:R,14,FALSE),0)</f>
        <v>904.61</v>
      </c>
      <c r="E160" s="172">
        <f>IFERROR(VLOOKUP($A160,'2021 B-9'!C:T,16,FALSE),0)</f>
        <v>394.74439999999976</v>
      </c>
      <c r="F160" s="130"/>
      <c r="G160" s="170">
        <f>'Proposed Rates'!$I160</f>
        <v>4</v>
      </c>
      <c r="H160" s="172">
        <f t="shared" si="42"/>
        <v>36</v>
      </c>
      <c r="I160" s="130"/>
      <c r="J160" s="170">
        <f>'Proposed Rates'!$V160</f>
        <v>3.4</v>
      </c>
      <c r="K160" s="171">
        <f t="shared" si="43"/>
        <v>31</v>
      </c>
      <c r="L160" s="171">
        <f>K160-H160</f>
        <v>-5</v>
      </c>
      <c r="M160" s="852"/>
      <c r="N160" s="853">
        <f>L160-'Proposed Accrual 2020'!L160</f>
        <v>0</v>
      </c>
      <c r="O160" s="487"/>
    </row>
    <row r="161" spans="1:15" x14ac:dyDescent="0.2">
      <c r="A161" s="134"/>
      <c r="B161" s="128" t="s">
        <v>75</v>
      </c>
      <c r="C161" s="130"/>
      <c r="D161" s="173">
        <f>SUM(D156:D160)</f>
        <v>34462139.210000008</v>
      </c>
      <c r="E161" s="173">
        <f>SUM(E156:E160)</f>
        <v>14379331.964480011</v>
      </c>
      <c r="F161" s="130"/>
      <c r="G161" s="177">
        <f>'Proposed Rates'!$I161</f>
        <v>2.9</v>
      </c>
      <c r="H161" s="173">
        <f>SUM(H156:H160)</f>
        <v>1354135</v>
      </c>
      <c r="I161" s="130"/>
      <c r="J161" s="177">
        <f>'Proposed Rates'!$V161</f>
        <v>2.9</v>
      </c>
      <c r="K161" s="173">
        <f>SUM(K156:K160)</f>
        <v>1018123</v>
      </c>
      <c r="L161" s="173">
        <f>SUM(L156:L160)</f>
        <v>-336012</v>
      </c>
      <c r="M161" s="852"/>
      <c r="N161" s="853">
        <f>L161-'Proposed Accrual 2020'!L161</f>
        <v>-5208</v>
      </c>
      <c r="O161" s="487"/>
    </row>
    <row r="162" spans="1:15" x14ac:dyDescent="0.2">
      <c r="A162" s="134"/>
      <c r="B162" s="128"/>
      <c r="C162" s="130"/>
      <c r="D162" s="145"/>
      <c r="E162" s="145"/>
      <c r="F162" s="130"/>
      <c r="G162" s="138"/>
      <c r="H162" s="145"/>
      <c r="I162" s="130"/>
      <c r="J162" s="138"/>
      <c r="K162" s="145"/>
      <c r="L162" s="145"/>
      <c r="M162" s="130"/>
      <c r="N162" s="853">
        <f>L162-'Proposed Accrual 2020'!L162</f>
        <v>0</v>
      </c>
      <c r="O162" s="487"/>
    </row>
    <row r="163" spans="1:15" x14ac:dyDescent="0.2">
      <c r="A163" s="140">
        <f>'Plant &amp; Reserve'!$A163</f>
        <v>34134</v>
      </c>
      <c r="B163" s="130" t="str">
        <f>'Plant &amp; Reserve'!$B163</f>
        <v>BP CT No. 4</v>
      </c>
      <c r="C163" s="130"/>
      <c r="D163" s="145">
        <f>IFERROR(VLOOKUP($A163,'2021 B-7'!C:R,14,FALSE),0)</f>
        <v>242333.96</v>
      </c>
      <c r="E163" s="145">
        <f>IFERROR(VLOOKUP($A163,'2021 B-9'!C:T,16,FALSE),0)</f>
        <v>-110215.94704000009</v>
      </c>
      <c r="F163" s="130"/>
      <c r="G163" s="138">
        <f>'Proposed Rates'!$I163</f>
        <v>2.6</v>
      </c>
      <c r="H163" s="145">
        <f t="shared" ref="H163:H167" si="44">ROUND(($D163*G163)/100,0)</f>
        <v>6301</v>
      </c>
      <c r="I163" s="130"/>
      <c r="J163" s="138">
        <f>'Proposed Rates'!$V163</f>
        <v>5.0999999999999996</v>
      </c>
      <c r="K163" s="145">
        <f t="shared" ref="K163:K167" si="45">ROUND(($D163*J163)/100,0)</f>
        <v>12359</v>
      </c>
      <c r="L163" s="145">
        <f>K163-H163</f>
        <v>6058</v>
      </c>
      <c r="M163" s="852"/>
      <c r="N163" s="853">
        <f>L163-'Proposed Accrual 2020'!L163</f>
        <v>0</v>
      </c>
      <c r="O163" s="487"/>
    </row>
    <row r="164" spans="1:15" x14ac:dyDescent="0.2">
      <c r="A164" s="140">
        <f>'Plant &amp; Reserve'!$A164</f>
        <v>34234</v>
      </c>
      <c r="B164" s="130" t="str">
        <f>'Plant &amp; Reserve'!$B164</f>
        <v>BP CT No. 4</v>
      </c>
      <c r="C164" s="130"/>
      <c r="D164" s="145">
        <f>IFERROR(VLOOKUP($A164,'2021 B-7'!C:R,14,FALSE),0)</f>
        <v>3362686.3400000003</v>
      </c>
      <c r="E164" s="145">
        <f>IFERROR(VLOOKUP($A164,'2021 B-9'!C:T,16,FALSE),0)</f>
        <v>1105155.9007999995</v>
      </c>
      <c r="F164" s="130"/>
      <c r="G164" s="138">
        <f>'Proposed Rates'!$I164</f>
        <v>3.6</v>
      </c>
      <c r="H164" s="145">
        <f t="shared" si="44"/>
        <v>121057</v>
      </c>
      <c r="I164" s="130"/>
      <c r="J164" s="138">
        <f>'Proposed Rates'!$V164</f>
        <v>3.2</v>
      </c>
      <c r="K164" s="145">
        <f t="shared" si="45"/>
        <v>107606</v>
      </c>
      <c r="L164" s="145">
        <f>K164-H164</f>
        <v>-13451</v>
      </c>
      <c r="M164" s="852"/>
      <c r="N164" s="853">
        <f>L164-'Proposed Accrual 2020'!L164</f>
        <v>-3</v>
      </c>
      <c r="O164" s="487"/>
    </row>
    <row r="165" spans="1:15" x14ac:dyDescent="0.2">
      <c r="A165" s="140">
        <f>'Plant &amp; Reserve'!$A165</f>
        <v>34334</v>
      </c>
      <c r="B165" s="130" t="str">
        <f>'Plant &amp; Reserve'!$B165</f>
        <v>BP CT No. 4</v>
      </c>
      <c r="C165" s="130"/>
      <c r="D165" s="145">
        <f>IFERROR(VLOOKUP($A165,'2021 B-7'!C:R,14,FALSE),0)</f>
        <v>15883616.469999997</v>
      </c>
      <c r="E165" s="145">
        <f>IFERROR(VLOOKUP($A165,'2021 B-9'!C:T,16,FALSE),0)</f>
        <v>8124313.7021999992</v>
      </c>
      <c r="F165" s="130"/>
      <c r="G165" s="138">
        <f>'Proposed Rates'!$I165</f>
        <v>4</v>
      </c>
      <c r="H165" s="145">
        <f t="shared" si="44"/>
        <v>635345</v>
      </c>
      <c r="I165" s="130"/>
      <c r="J165" s="138">
        <f>'Proposed Rates'!$V165</f>
        <v>3.2</v>
      </c>
      <c r="K165" s="145">
        <f t="shared" si="45"/>
        <v>508276</v>
      </c>
      <c r="L165" s="145">
        <f>K165-H165</f>
        <v>-127069</v>
      </c>
      <c r="M165" s="852"/>
      <c r="N165" s="853">
        <f>L165-'Proposed Accrual 2020'!L165</f>
        <v>-5</v>
      </c>
      <c r="O165" s="487"/>
    </row>
    <row r="166" spans="1:15" x14ac:dyDescent="0.2">
      <c r="A166" s="140">
        <f>'Plant &amp; Reserve'!$A166</f>
        <v>34534</v>
      </c>
      <c r="B166" s="130" t="str">
        <f>'Plant &amp; Reserve'!$B166</f>
        <v>BP CT No. 4</v>
      </c>
      <c r="C166" s="130"/>
      <c r="D166" s="145">
        <f>IFERROR(VLOOKUP($A166,'2021 B-7'!C:R,14,FALSE),0)</f>
        <v>4168999</v>
      </c>
      <c r="E166" s="145">
        <f>IFERROR(VLOOKUP($A166,'2021 B-9'!C:T,16,FALSE),0)</f>
        <v>1709133.0899999987</v>
      </c>
      <c r="F166" s="130"/>
      <c r="G166" s="138">
        <f>'Proposed Rates'!$I166</f>
        <v>4</v>
      </c>
      <c r="H166" s="145">
        <f t="shared" si="44"/>
        <v>166760</v>
      </c>
      <c r="I166" s="130"/>
      <c r="J166" s="138">
        <f>'Proposed Rates'!$V166</f>
        <v>2.8</v>
      </c>
      <c r="K166" s="145">
        <f t="shared" si="45"/>
        <v>116732</v>
      </c>
      <c r="L166" s="145">
        <f>K166-H166</f>
        <v>-50028</v>
      </c>
      <c r="M166" s="852"/>
      <c r="N166" s="853">
        <f>L166-'Proposed Accrual 2020'!L166</f>
        <v>0</v>
      </c>
      <c r="O166" s="487"/>
    </row>
    <row r="167" spans="1:15" ht="15" x14ac:dyDescent="0.2">
      <c r="A167" s="140">
        <f>'Plant &amp; Reserve'!$A167</f>
        <v>34634</v>
      </c>
      <c r="B167" s="168" t="str">
        <f>'Plant &amp; Reserve'!$B167</f>
        <v>BP CT No. 4</v>
      </c>
      <c r="C167" s="130"/>
      <c r="D167" s="172">
        <f>IFERROR(VLOOKUP($A167,'2021 B-7'!C:R,14,FALSE),0)</f>
        <v>904.61</v>
      </c>
      <c r="E167" s="172">
        <f>IFERROR(VLOOKUP($A167,'2021 B-9'!C:T,16,FALSE),0)</f>
        <v>394.74439999999976</v>
      </c>
      <c r="F167" s="130"/>
      <c r="G167" s="170">
        <f>'Proposed Rates'!$I167</f>
        <v>4</v>
      </c>
      <c r="H167" s="172">
        <f t="shared" si="44"/>
        <v>36</v>
      </c>
      <c r="I167" s="130"/>
      <c r="J167" s="170">
        <f>'Proposed Rates'!$V167</f>
        <v>3.4</v>
      </c>
      <c r="K167" s="171">
        <f t="shared" si="45"/>
        <v>31</v>
      </c>
      <c r="L167" s="171">
        <f>K167-H167</f>
        <v>-5</v>
      </c>
      <c r="M167" s="852"/>
      <c r="N167" s="853">
        <f>L167-'Proposed Accrual 2020'!L167</f>
        <v>0</v>
      </c>
      <c r="O167" s="487"/>
    </row>
    <row r="168" spans="1:15" x14ac:dyDescent="0.2">
      <c r="A168" s="134"/>
      <c r="B168" s="128" t="s">
        <v>75</v>
      </c>
      <c r="C168" s="130"/>
      <c r="D168" s="173">
        <f>SUM(D163:D167)</f>
        <v>23658540.379999995</v>
      </c>
      <c r="E168" s="173">
        <f>SUM(E163:E167)</f>
        <v>10828781.490359997</v>
      </c>
      <c r="F168" s="130"/>
      <c r="G168" s="177">
        <f>'Proposed Rates'!$I168</f>
        <v>3.1</v>
      </c>
      <c r="H168" s="173">
        <f>SUM(H163:H167)</f>
        <v>929499</v>
      </c>
      <c r="I168" s="130"/>
      <c r="J168" s="177">
        <f>'Proposed Rates'!$V168</f>
        <v>3.1</v>
      </c>
      <c r="K168" s="173">
        <f>SUM(K163:K167)</f>
        <v>745004</v>
      </c>
      <c r="L168" s="173">
        <f>SUM(L163:L167)</f>
        <v>-184495</v>
      </c>
      <c r="M168" s="852"/>
      <c r="N168" s="853">
        <f>L168-'Proposed Accrual 2020'!L168</f>
        <v>-8</v>
      </c>
      <c r="O168" s="487"/>
    </row>
    <row r="169" spans="1:15" x14ac:dyDescent="0.2">
      <c r="A169" s="134"/>
      <c r="B169" s="128"/>
      <c r="C169" s="130"/>
      <c r="D169" s="145"/>
      <c r="E169" s="145"/>
      <c r="F169" s="130"/>
      <c r="G169" s="138"/>
      <c r="H169" s="145"/>
      <c r="I169" s="130"/>
      <c r="J169" s="138"/>
      <c r="K169" s="145"/>
      <c r="L169" s="145"/>
      <c r="M169" s="130"/>
      <c r="N169" s="853">
        <f>L169-'Proposed Accrual 2020'!L169</f>
        <v>0</v>
      </c>
      <c r="O169" s="487"/>
    </row>
    <row r="170" spans="1:15" x14ac:dyDescent="0.2">
      <c r="A170" s="140">
        <f>'Plant &amp; Reserve'!$A170</f>
        <v>34135</v>
      </c>
      <c r="B170" s="130" t="str">
        <f>'Plant &amp; Reserve'!$B170</f>
        <v>BP CT No. 5</v>
      </c>
      <c r="C170" s="130"/>
      <c r="D170" s="145">
        <f>IFERROR(VLOOKUP($A170,'2021 B-7'!C:R,14,FALSE),0)</f>
        <v>793114.26</v>
      </c>
      <c r="E170" s="145">
        <f>IFERROR(VLOOKUP($A170,'2021 B-9'!C:T,16,FALSE),0)</f>
        <v>-132367.44923999978</v>
      </c>
      <c r="F170" s="130"/>
      <c r="G170" s="138">
        <f>'Proposed Rates'!$I170</f>
        <v>2.6</v>
      </c>
      <c r="H170" s="145">
        <f t="shared" ref="H170:H174" si="46">ROUND(($D170*G170)/100,0)</f>
        <v>20621</v>
      </c>
      <c r="I170" s="130"/>
      <c r="J170" s="138">
        <f>'Proposed Rates'!$V170</f>
        <v>4.4000000000000004</v>
      </c>
      <c r="K170" s="145">
        <f t="shared" ref="K170:K174" si="47">ROUND(($D170*J170)/100,0)</f>
        <v>34897</v>
      </c>
      <c r="L170" s="145">
        <f>K170-H170</f>
        <v>14276</v>
      </c>
      <c r="M170" s="852"/>
      <c r="N170" s="853">
        <f>L170-'Proposed Accrual 2020'!L170</f>
        <v>0</v>
      </c>
      <c r="O170" s="487"/>
    </row>
    <row r="171" spans="1:15" x14ac:dyDescent="0.2">
      <c r="A171" s="140">
        <f>'Plant &amp; Reserve'!$A171</f>
        <v>34235</v>
      </c>
      <c r="B171" s="130" t="str">
        <f>'Plant &amp; Reserve'!$B171</f>
        <v>BP CT No. 5</v>
      </c>
      <c r="C171" s="130"/>
      <c r="D171" s="145">
        <f>IFERROR(VLOOKUP($A171,'2021 B-7'!C:R,14,FALSE),0)</f>
        <v>2058969.66</v>
      </c>
      <c r="E171" s="145">
        <f>IFERROR(VLOOKUP($A171,'2021 B-9'!C:T,16,FALSE),0)</f>
        <v>684311.7477600011</v>
      </c>
      <c r="F171" s="130"/>
      <c r="G171" s="138">
        <f>'Proposed Rates'!$I171</f>
        <v>3.6</v>
      </c>
      <c r="H171" s="145">
        <f t="shared" si="46"/>
        <v>74123</v>
      </c>
      <c r="I171" s="130"/>
      <c r="J171" s="138">
        <f>'Proposed Rates'!$V171</f>
        <v>3.3</v>
      </c>
      <c r="K171" s="145">
        <f t="shared" si="47"/>
        <v>67946</v>
      </c>
      <c r="L171" s="145">
        <f>K171-H171</f>
        <v>-6177</v>
      </c>
      <c r="M171" s="852"/>
      <c r="N171" s="853">
        <f>L171-'Proposed Accrual 2020'!L171</f>
        <v>-39</v>
      </c>
      <c r="O171" s="487"/>
    </row>
    <row r="172" spans="1:15" x14ac:dyDescent="0.2">
      <c r="A172" s="140">
        <f>'Plant &amp; Reserve'!$A172</f>
        <v>34335</v>
      </c>
      <c r="B172" s="130" t="str">
        <f>'Plant &amp; Reserve'!$B172</f>
        <v>BP CT No. 5</v>
      </c>
      <c r="C172" s="130"/>
      <c r="D172" s="145">
        <f>IFERROR(VLOOKUP($A172,'2021 B-7'!C:R,14,FALSE),0)</f>
        <v>18636066.409999996</v>
      </c>
      <c r="E172" s="145">
        <f>IFERROR(VLOOKUP($A172,'2021 B-9'!C:T,16,FALSE),0)</f>
        <v>10118084.806400031</v>
      </c>
      <c r="F172" s="130"/>
      <c r="G172" s="138">
        <f>'Proposed Rates'!$I172</f>
        <v>4</v>
      </c>
      <c r="H172" s="145">
        <f t="shared" si="46"/>
        <v>745443</v>
      </c>
      <c r="I172" s="130"/>
      <c r="J172" s="138">
        <f>'Proposed Rates'!$V172</f>
        <v>3.4</v>
      </c>
      <c r="K172" s="145">
        <f t="shared" si="47"/>
        <v>633626</v>
      </c>
      <c r="L172" s="145">
        <f>K172-H172</f>
        <v>-111817</v>
      </c>
      <c r="M172" s="852"/>
      <c r="N172" s="853">
        <f>L172-'Proposed Accrual 2020'!L172</f>
        <v>-78</v>
      </c>
      <c r="O172" s="487"/>
    </row>
    <row r="173" spans="1:15" x14ac:dyDescent="0.2">
      <c r="A173" s="140">
        <f>'Plant &amp; Reserve'!$A173</f>
        <v>34535</v>
      </c>
      <c r="B173" s="130" t="str">
        <f>'Plant &amp; Reserve'!$B173</f>
        <v>BP CT No. 5</v>
      </c>
      <c r="C173" s="130"/>
      <c r="D173" s="145">
        <f>IFERROR(VLOOKUP($A173,'2021 B-7'!C:R,14,FALSE),0)</f>
        <v>10351046.949999999</v>
      </c>
      <c r="E173" s="145">
        <f>IFERROR(VLOOKUP($A173,'2021 B-9'!C:T,16,FALSE),0)</f>
        <v>4359400.848000004</v>
      </c>
      <c r="F173" s="130"/>
      <c r="G173" s="138">
        <f>'Proposed Rates'!$I173</f>
        <v>4</v>
      </c>
      <c r="H173" s="145">
        <f t="shared" si="46"/>
        <v>414042</v>
      </c>
      <c r="I173" s="130"/>
      <c r="J173" s="138">
        <f>'Proposed Rates'!$V173</f>
        <v>2.7</v>
      </c>
      <c r="K173" s="145">
        <f t="shared" si="47"/>
        <v>279478</v>
      </c>
      <c r="L173" s="145">
        <f>K173-H173</f>
        <v>-134564</v>
      </c>
      <c r="M173" s="852"/>
      <c r="N173" s="853">
        <f>L173-'Proposed Accrual 2020'!L173</f>
        <v>0</v>
      </c>
      <c r="O173" s="487"/>
    </row>
    <row r="174" spans="1:15" ht="15" x14ac:dyDescent="0.2">
      <c r="A174" s="140">
        <f>'Plant &amp; Reserve'!$A174</f>
        <v>34635</v>
      </c>
      <c r="B174" s="168" t="str">
        <f>'Plant &amp; Reserve'!$B174</f>
        <v>BP CT No. 5</v>
      </c>
      <c r="C174" s="130"/>
      <c r="D174" s="172">
        <f>IFERROR(VLOOKUP($A174,'2021 B-7'!C:R,14,FALSE),0)</f>
        <v>0</v>
      </c>
      <c r="E174" s="172">
        <f>IFERROR(VLOOKUP($A174,'2021 B-9'!C:T,16,FALSE),0)</f>
        <v>0</v>
      </c>
      <c r="F174" s="130"/>
      <c r="G174" s="170">
        <f>'Proposed Rates'!$I174</f>
        <v>4</v>
      </c>
      <c r="H174" s="172">
        <f t="shared" si="46"/>
        <v>0</v>
      </c>
      <c r="I174" s="130"/>
      <c r="J174" s="170">
        <f>'Proposed Rates'!$V174</f>
        <v>3.9</v>
      </c>
      <c r="K174" s="171">
        <f t="shared" si="47"/>
        <v>0</v>
      </c>
      <c r="L174" s="171">
        <f>K174-H174</f>
        <v>0</v>
      </c>
      <c r="M174" s="852"/>
      <c r="N174" s="853">
        <f>L174-'Proposed Accrual 2020'!L174</f>
        <v>0</v>
      </c>
      <c r="O174" s="487"/>
    </row>
    <row r="175" spans="1:15" x14ac:dyDescent="0.2">
      <c r="A175" s="134"/>
      <c r="B175" s="128" t="s">
        <v>75</v>
      </c>
      <c r="C175" s="130"/>
      <c r="D175" s="173">
        <f>SUM(D170:D174)</f>
        <v>31839197.279999997</v>
      </c>
      <c r="E175" s="173">
        <f>SUM(E170:E174)</f>
        <v>15029429.952920035</v>
      </c>
      <c r="F175" s="130"/>
      <c r="G175" s="177">
        <f>'Proposed Rates'!$I175</f>
        <v>3.2</v>
      </c>
      <c r="H175" s="173">
        <f>SUM(H170:H174)</f>
        <v>1254229</v>
      </c>
      <c r="I175" s="130"/>
      <c r="J175" s="177">
        <f>'Proposed Rates'!$V175</f>
        <v>3.1</v>
      </c>
      <c r="K175" s="173">
        <f>SUM(K170:K174)</f>
        <v>1015947</v>
      </c>
      <c r="L175" s="173">
        <f>SUM(L170:L174)</f>
        <v>-238282</v>
      </c>
      <c r="M175" s="852"/>
      <c r="N175" s="853">
        <f>L175-'Proposed Accrual 2020'!L175</f>
        <v>-117</v>
      </c>
      <c r="O175" s="487"/>
    </row>
    <row r="176" spans="1:15" x14ac:dyDescent="0.2">
      <c r="A176" s="134"/>
      <c r="B176" s="128"/>
      <c r="C176" s="130"/>
      <c r="D176" s="145"/>
      <c r="E176" s="145"/>
      <c r="F176" s="130"/>
      <c r="G176" s="138"/>
      <c r="H176" s="145"/>
      <c r="I176" s="130"/>
      <c r="J176" s="138"/>
      <c r="K176" s="145"/>
      <c r="L176" s="145"/>
      <c r="M176" s="130"/>
      <c r="N176" s="853">
        <f>L176-'Proposed Accrual 2020'!L176</f>
        <v>0</v>
      </c>
      <c r="O176" s="487"/>
    </row>
    <row r="177" spans="1:15" x14ac:dyDescent="0.2">
      <c r="A177" s="140">
        <f>'Plant &amp; Reserve'!$A177</f>
        <v>34136</v>
      </c>
      <c r="B177" s="130" t="str">
        <f>'Plant &amp; Reserve'!$B177</f>
        <v>BP CT No. 6</v>
      </c>
      <c r="C177" s="130"/>
      <c r="D177" s="145">
        <f>IFERROR(VLOOKUP($A177,'2021 B-7'!C:R,14,FALSE),0)</f>
        <v>2656231.54</v>
      </c>
      <c r="E177" s="145">
        <f>IFERROR(VLOOKUP($A177,'2021 B-9'!C:T,16,FALSE),0)</f>
        <v>448058.22003999993</v>
      </c>
      <c r="F177" s="130"/>
      <c r="G177" s="138">
        <f>'Proposed Rates'!$I177</f>
        <v>2.6</v>
      </c>
      <c r="H177" s="145">
        <f t="shared" ref="H177:H181" si="48">ROUND(($D177*G177)/100,0)</f>
        <v>69062</v>
      </c>
      <c r="I177" s="130"/>
      <c r="J177" s="138">
        <f>'Proposed Rates'!$V177</f>
        <v>3.1</v>
      </c>
      <c r="K177" s="145">
        <f t="shared" ref="K177:K181" si="49">ROUND(($D177*J177)/100,0)</f>
        <v>82343</v>
      </c>
      <c r="L177" s="145">
        <f>K177-H177</f>
        <v>13281</v>
      </c>
      <c r="M177" s="852"/>
      <c r="N177" s="853">
        <f>L177-'Proposed Accrual 2020'!L177</f>
        <v>0</v>
      </c>
      <c r="O177" s="487"/>
    </row>
    <row r="178" spans="1:15" x14ac:dyDescent="0.2">
      <c r="A178" s="140">
        <f>'Plant &amp; Reserve'!$A178</f>
        <v>34236</v>
      </c>
      <c r="B178" s="130" t="str">
        <f>'Plant &amp; Reserve'!$B178</f>
        <v>BP CT No. 6</v>
      </c>
      <c r="C178" s="130"/>
      <c r="D178" s="145">
        <f>IFERROR(VLOOKUP($A178,'2021 B-7'!C:R,14,FALSE),0)</f>
        <v>1537569.196</v>
      </c>
      <c r="E178" s="145">
        <f>IFERROR(VLOOKUP($A178,'2021 B-9'!C:T,16,FALSE),0)</f>
        <v>474679.6646080002</v>
      </c>
      <c r="F178" s="130"/>
      <c r="G178" s="138">
        <f>'Proposed Rates'!$I178</f>
        <v>3.6</v>
      </c>
      <c r="H178" s="145">
        <f t="shared" si="48"/>
        <v>55352</v>
      </c>
      <c r="I178" s="130"/>
      <c r="J178" s="138">
        <f>'Proposed Rates'!$V178</f>
        <v>3.7</v>
      </c>
      <c r="K178" s="145">
        <f t="shared" si="49"/>
        <v>56890</v>
      </c>
      <c r="L178" s="145">
        <f>K178-H178</f>
        <v>1538</v>
      </c>
      <c r="M178" s="852"/>
      <c r="N178" s="853">
        <f>L178-'Proposed Accrual 2020'!L178</f>
        <v>1</v>
      </c>
      <c r="O178" s="487"/>
    </row>
    <row r="179" spans="1:15" x14ac:dyDescent="0.2">
      <c r="A179" s="140">
        <f>'Plant &amp; Reserve'!$A179</f>
        <v>34336</v>
      </c>
      <c r="B179" s="130" t="str">
        <f>'Plant &amp; Reserve'!$B179</f>
        <v>BP CT No. 6</v>
      </c>
      <c r="C179" s="130"/>
      <c r="D179" s="145">
        <f>IFERROR(VLOOKUP($A179,'2021 B-7'!C:R,14,FALSE),0)</f>
        <v>17517610.866</v>
      </c>
      <c r="E179" s="145">
        <f>IFERROR(VLOOKUP($A179,'2021 B-9'!C:T,16,FALSE),0)</f>
        <v>10129892.627919998</v>
      </c>
      <c r="F179" s="130"/>
      <c r="G179" s="138">
        <f>'Proposed Rates'!$I179</f>
        <v>4</v>
      </c>
      <c r="H179" s="145">
        <f t="shared" si="48"/>
        <v>700704</v>
      </c>
      <c r="I179" s="130"/>
      <c r="J179" s="138">
        <f>'Proposed Rates'!$V179</f>
        <v>2.7</v>
      </c>
      <c r="K179" s="145">
        <f t="shared" si="49"/>
        <v>472975</v>
      </c>
      <c r="L179" s="145">
        <f>K179-H179</f>
        <v>-227729</v>
      </c>
      <c r="M179" s="852"/>
      <c r="N179" s="853">
        <f>L179-'Proposed Accrual 2020'!L179</f>
        <v>-4</v>
      </c>
      <c r="O179" s="487"/>
    </row>
    <row r="180" spans="1:15" x14ac:dyDescent="0.2">
      <c r="A180" s="140">
        <f>'Plant &amp; Reserve'!$A180</f>
        <v>34536</v>
      </c>
      <c r="B180" s="130" t="str">
        <f>'Plant &amp; Reserve'!$B180</f>
        <v>BP CT No. 6</v>
      </c>
      <c r="C180" s="130"/>
      <c r="D180" s="145">
        <f>IFERROR(VLOOKUP($A180,'2021 B-7'!C:R,14,FALSE),0)</f>
        <v>14358606.639999999</v>
      </c>
      <c r="E180" s="145">
        <f>IFERROR(VLOOKUP($A180,'2021 B-9'!C:T,16,FALSE),0)</f>
        <v>6014973.015600007</v>
      </c>
      <c r="F180" s="130"/>
      <c r="G180" s="138">
        <f>'Proposed Rates'!$I180</f>
        <v>4</v>
      </c>
      <c r="H180" s="145">
        <f t="shared" si="48"/>
        <v>574344</v>
      </c>
      <c r="I180" s="130"/>
      <c r="J180" s="138">
        <f>'Proposed Rates'!$V180</f>
        <v>2.8</v>
      </c>
      <c r="K180" s="145">
        <f t="shared" si="49"/>
        <v>402041</v>
      </c>
      <c r="L180" s="145">
        <f>K180-H180</f>
        <v>-172303</v>
      </c>
      <c r="M180" s="852"/>
      <c r="N180" s="853">
        <f>L180-'Proposed Accrual 2020'!L180</f>
        <v>0</v>
      </c>
      <c r="O180" s="487"/>
    </row>
    <row r="181" spans="1:15" ht="15" x14ac:dyDescent="0.2">
      <c r="A181" s="140">
        <f>'Plant &amp; Reserve'!$A181</f>
        <v>34636</v>
      </c>
      <c r="B181" s="168" t="str">
        <f>'Plant &amp; Reserve'!$B181</f>
        <v>BP CT No. 6</v>
      </c>
      <c r="C181" s="130"/>
      <c r="D181" s="172">
        <f>IFERROR(VLOOKUP($A181,'2021 B-7'!C:R,14,FALSE),0)</f>
        <v>11736.48</v>
      </c>
      <c r="E181" s="172">
        <f>IFERROR(VLOOKUP($A181,'2021 B-9'!C:T,16,FALSE),0)</f>
        <v>5115.0191999999906</v>
      </c>
      <c r="F181" s="130"/>
      <c r="G181" s="170">
        <f>'Proposed Rates'!$I181</f>
        <v>4</v>
      </c>
      <c r="H181" s="172">
        <f t="shared" si="48"/>
        <v>469</v>
      </c>
      <c r="I181" s="130"/>
      <c r="J181" s="170">
        <f>'Proposed Rates'!$V181</f>
        <v>2.2000000000000002</v>
      </c>
      <c r="K181" s="171">
        <f t="shared" si="49"/>
        <v>258</v>
      </c>
      <c r="L181" s="171">
        <f>K181-H181</f>
        <v>-211</v>
      </c>
      <c r="M181" s="852"/>
      <c r="N181" s="853">
        <f>L181-'Proposed Accrual 2020'!L181</f>
        <v>0</v>
      </c>
      <c r="O181" s="487"/>
    </row>
    <row r="182" spans="1:15" x14ac:dyDescent="0.2">
      <c r="A182" s="134"/>
      <c r="B182" s="128" t="s">
        <v>75</v>
      </c>
      <c r="C182" s="130"/>
      <c r="D182" s="173">
        <f>SUM(D177:D181)</f>
        <v>36081754.721999995</v>
      </c>
      <c r="E182" s="173">
        <f>SUM(E177:E181)</f>
        <v>17072718.547368009</v>
      </c>
      <c r="F182" s="130"/>
      <c r="G182" s="177">
        <f>'Proposed Rates'!$I182</f>
        <v>3.1</v>
      </c>
      <c r="H182" s="173">
        <f>SUM(H177:H181)</f>
        <v>1399931</v>
      </c>
      <c r="I182" s="130"/>
      <c r="J182" s="177">
        <f>'Proposed Rates'!$V182</f>
        <v>2.9</v>
      </c>
      <c r="K182" s="173">
        <f>SUM(K177:K181)</f>
        <v>1014507</v>
      </c>
      <c r="L182" s="173">
        <f>SUM(L177:L181)</f>
        <v>-385424</v>
      </c>
      <c r="M182" s="852"/>
      <c r="N182" s="853">
        <f>L182-'Proposed Accrual 2020'!L182</f>
        <v>-3</v>
      </c>
      <c r="O182" s="487"/>
    </row>
    <row r="183" spans="1:15" x14ac:dyDescent="0.2">
      <c r="A183" s="134"/>
      <c r="B183" s="828"/>
      <c r="C183" s="130"/>
      <c r="D183" s="145"/>
      <c r="E183" s="145"/>
      <c r="F183" s="130"/>
      <c r="G183" s="138"/>
      <c r="H183" s="145"/>
      <c r="I183" s="145"/>
      <c r="J183" s="145"/>
      <c r="K183" s="145"/>
      <c r="L183" s="145"/>
      <c r="M183" s="852"/>
      <c r="N183" s="853">
        <f>L183-'Proposed Accrual 2020'!L183</f>
        <v>0</v>
      </c>
      <c r="O183" s="487"/>
    </row>
    <row r="184" spans="1:15" x14ac:dyDescent="0.2">
      <c r="A184" s="140">
        <f>'Plant &amp; Reserve'!$A184</f>
        <v>34637</v>
      </c>
      <c r="B184" s="130" t="str">
        <f>'Plant &amp; Reserve'!$B184</f>
        <v>Bayside Amortizable Tools</v>
      </c>
      <c r="C184" s="130"/>
      <c r="D184" s="145">
        <f>IFERROR(VLOOKUP($A184,'2021 B-7'!C:R,14,FALSE),0)</f>
        <v>449557.30999999982</v>
      </c>
      <c r="E184" s="145">
        <f>IFERROR(VLOOKUP($A184,'2021 B-9'!C:T,16,FALSE),0)</f>
        <v>292469.59493999998</v>
      </c>
      <c r="F184" s="130"/>
      <c r="G184" s="138">
        <f>'Proposed Rates'!$I184</f>
        <v>14.3</v>
      </c>
      <c r="H184" s="145">
        <f t="shared" ref="H184" si="50">ROUND(($D184*G184)/100,0)</f>
        <v>64287</v>
      </c>
      <c r="I184" s="130"/>
      <c r="J184" s="138">
        <f>'Proposed Rates'!$V184</f>
        <v>14.3</v>
      </c>
      <c r="K184" s="145">
        <f t="shared" ref="K184" si="51">ROUND(($D184*J184)/100,0)</f>
        <v>64287</v>
      </c>
      <c r="L184" s="145">
        <f>K184-H184</f>
        <v>0</v>
      </c>
      <c r="M184" s="852"/>
      <c r="N184" s="853">
        <f>L184-'Proposed Accrual 2020'!L184</f>
        <v>0</v>
      </c>
      <c r="O184" s="487"/>
    </row>
    <row r="185" spans="1:15" ht="13.5" thickBot="1" x14ac:dyDescent="0.25">
      <c r="A185" s="493"/>
      <c r="B185" s="493"/>
      <c r="C185" s="130"/>
      <c r="D185" s="182"/>
      <c r="E185" s="182"/>
      <c r="F185" s="130"/>
      <c r="G185" s="138"/>
      <c r="H185" s="145"/>
      <c r="I185" s="130"/>
      <c r="J185" s="138"/>
      <c r="K185" s="145"/>
      <c r="L185" s="145"/>
      <c r="M185" s="130"/>
      <c r="N185" s="853">
        <f>L185-'Proposed Accrual 2020'!L185</f>
        <v>0</v>
      </c>
      <c r="O185" s="487"/>
    </row>
    <row r="186" spans="1:15" ht="19.5" customHeight="1" thickTop="1" thickBot="1" x14ac:dyDescent="0.25">
      <c r="A186" s="494"/>
      <c r="B186" s="384"/>
      <c r="C186" s="130"/>
      <c r="D186" s="196">
        <f>SUM(D140,D147,D154,D161,D168,D175,D182,D184)</f>
        <v>1148237179.8139997</v>
      </c>
      <c r="E186" s="196">
        <f>SUM(E140,E147,E154,E161,E168,E175,E182,E184)</f>
        <v>416989713.86179864</v>
      </c>
      <c r="F186" s="130"/>
      <c r="G186" s="826">
        <f>IF($D186=0,0,H186/$D186*100)</f>
        <v>3.554786390614169</v>
      </c>
      <c r="H186" s="196">
        <f>SUM(H140,H147,H154,H161,H168,H175,H182,H184)</f>
        <v>40817379</v>
      </c>
      <c r="I186" s="130"/>
      <c r="J186" s="826">
        <f>IF($D186=0,0,K186/$D186*100)</f>
        <v>4.7892901368085026</v>
      </c>
      <c r="K186" s="196">
        <f>SUM(K140,K147,K154,K161,K168,K175,K182,K184)</f>
        <v>54992410</v>
      </c>
      <c r="L186" s="196">
        <f>SUM(L140,L147,L154,L161,L168,L175,L182,L184)</f>
        <v>14175031</v>
      </c>
      <c r="M186" s="130"/>
      <c r="N186" s="853">
        <f>L186-'Proposed Accrual 2020'!L186</f>
        <v>296679</v>
      </c>
      <c r="O186" s="487"/>
    </row>
    <row r="187" spans="1:15" ht="13.5" thickTop="1" x14ac:dyDescent="0.2">
      <c r="A187" s="140"/>
      <c r="B187" s="130"/>
      <c r="C187" s="130"/>
      <c r="D187" s="145"/>
      <c r="E187" s="145"/>
      <c r="F187" s="130"/>
      <c r="G187" s="138"/>
      <c r="H187" s="145"/>
      <c r="I187" s="130"/>
      <c r="J187" s="138"/>
      <c r="K187" s="145"/>
      <c r="L187" s="145"/>
      <c r="M187" s="130"/>
      <c r="N187" s="853">
        <f>L187-'Proposed Accrual 2020'!L187</f>
        <v>0</v>
      </c>
      <c r="O187" s="487"/>
    </row>
    <row r="188" spans="1:15" x14ac:dyDescent="0.2">
      <c r="A188" s="140"/>
      <c r="B188" s="144" t="s">
        <v>64</v>
      </c>
      <c r="C188" s="130"/>
      <c r="D188" s="145"/>
      <c r="E188" s="145"/>
      <c r="F188" s="130"/>
      <c r="G188" s="138"/>
      <c r="H188" s="145"/>
      <c r="I188" s="130"/>
      <c r="J188" s="138"/>
      <c r="K188" s="145"/>
      <c r="L188" s="145"/>
      <c r="M188" s="130"/>
      <c r="N188" s="853">
        <f>L188-'Proposed Accrual 2020'!L188</f>
        <v>0</v>
      </c>
      <c r="O188" s="487"/>
    </row>
    <row r="189" spans="1:15" x14ac:dyDescent="0.2">
      <c r="A189" s="140"/>
      <c r="B189" s="130"/>
      <c r="C189" s="130"/>
      <c r="D189" s="145"/>
      <c r="E189" s="145"/>
      <c r="F189" s="130"/>
      <c r="G189" s="138"/>
      <c r="H189" s="145"/>
      <c r="I189" s="130"/>
      <c r="J189" s="138"/>
      <c r="K189" s="145"/>
      <c r="L189" s="145"/>
      <c r="M189" s="130"/>
      <c r="N189" s="853">
        <f>L189-'Proposed Accrual 2020'!L189</f>
        <v>0</v>
      </c>
      <c r="O189" s="487"/>
    </row>
    <row r="190" spans="1:15" x14ac:dyDescent="0.2">
      <c r="A190" s="140">
        <f>'Plant &amp; Reserve'!$A190</f>
        <v>34180</v>
      </c>
      <c r="B190" s="130" t="str">
        <f>'Plant &amp; Reserve'!$B190</f>
        <v>PK Common</v>
      </c>
      <c r="C190" s="130"/>
      <c r="D190" s="145">
        <f>IFERROR(VLOOKUP($A190,'2021 B-7'!C:R,14,FALSE),0)</f>
        <v>190276105.04000008</v>
      </c>
      <c r="E190" s="145">
        <f>IFERROR(VLOOKUP($A190,'2021 B-9'!C:T,16,FALSE),0)</f>
        <v>49811371.440880023</v>
      </c>
      <c r="F190" s="130"/>
      <c r="G190" s="138">
        <f>'Proposed Rates'!$I190</f>
        <v>2.2000000000000002</v>
      </c>
      <c r="H190" s="145">
        <f t="shared" ref="H190:H194" si="52">ROUND(($D190*G190)/100,0)</f>
        <v>4186074</v>
      </c>
      <c r="I190" s="130"/>
      <c r="J190" s="138">
        <f>'Proposed Rates'!$V190</f>
        <v>3.1</v>
      </c>
      <c r="K190" s="145">
        <f t="shared" ref="K190:K194" si="53">ROUND(($D190*J190)/100,0)</f>
        <v>5898559</v>
      </c>
      <c r="L190" s="145">
        <f>K190-H190</f>
        <v>1712485</v>
      </c>
      <c r="M190" s="852"/>
      <c r="N190" s="853">
        <f>L190-'Proposed Accrual 2020'!L190</f>
        <v>0</v>
      </c>
      <c r="O190" s="487"/>
    </row>
    <row r="191" spans="1:15" x14ac:dyDescent="0.2">
      <c r="A191" s="140">
        <f>'Plant &amp; Reserve'!$A191</f>
        <v>34280</v>
      </c>
      <c r="B191" s="130" t="str">
        <f>'Plant &amp; Reserve'!$B191</f>
        <v>PK Common</v>
      </c>
      <c r="C191" s="130"/>
      <c r="D191" s="145">
        <f>IFERROR(VLOOKUP($A191,'2021 B-7'!C:R,14,FALSE),0)</f>
        <v>9807279.5479999948</v>
      </c>
      <c r="E191" s="145">
        <f>IFERROR(VLOOKUP($A191,'2021 B-9'!C:T,16,FALSE),0)</f>
        <v>3570084.7879509982</v>
      </c>
      <c r="F191" s="130"/>
      <c r="G191" s="138">
        <f>'Proposed Rates'!$I191</f>
        <v>3.7</v>
      </c>
      <c r="H191" s="145">
        <f t="shared" si="52"/>
        <v>362869</v>
      </c>
      <c r="I191" s="130"/>
      <c r="J191" s="138">
        <f>'Proposed Rates'!$V191</f>
        <v>3</v>
      </c>
      <c r="K191" s="145">
        <f t="shared" si="53"/>
        <v>294218</v>
      </c>
      <c r="L191" s="145">
        <f>K191-H191</f>
        <v>-68651</v>
      </c>
      <c r="M191" s="852"/>
      <c r="N191" s="853">
        <f>L191-'Proposed Accrual 2020'!L191</f>
        <v>-3757</v>
      </c>
      <c r="O191" s="487"/>
    </row>
    <row r="192" spans="1:15" x14ac:dyDescent="0.2">
      <c r="A192" s="140">
        <f>'Plant &amp; Reserve'!$A192</f>
        <v>34380</v>
      </c>
      <c r="B192" s="130" t="str">
        <f>'Plant &amp; Reserve'!$B192</f>
        <v>PK Common</v>
      </c>
      <c r="C192" s="130"/>
      <c r="D192" s="145">
        <f>IFERROR(VLOOKUP($A192,'2021 B-7'!C:R,14,FALSE),0)</f>
        <v>10906614.217999997</v>
      </c>
      <c r="E192" s="145">
        <f>IFERROR(VLOOKUP($A192,'2021 B-9'!C:T,16,FALSE),0)</f>
        <v>1897091.230845998</v>
      </c>
      <c r="F192" s="130"/>
      <c r="G192" s="138">
        <f>'Proposed Rates'!$I192</f>
        <v>2.2000000000000002</v>
      </c>
      <c r="H192" s="145">
        <f t="shared" si="52"/>
        <v>239946</v>
      </c>
      <c r="I192" s="130"/>
      <c r="J192" s="138">
        <f>'Proposed Rates'!$V192</f>
        <v>3.6</v>
      </c>
      <c r="K192" s="145">
        <f t="shared" si="53"/>
        <v>392638</v>
      </c>
      <c r="L192" s="145">
        <f>K192-H192</f>
        <v>152692</v>
      </c>
      <c r="M192" s="852"/>
      <c r="N192" s="853">
        <f>L192-'Proposed Accrual 2020'!L192</f>
        <v>7511</v>
      </c>
      <c r="O192" s="487"/>
    </row>
    <row r="193" spans="1:15" x14ac:dyDescent="0.2">
      <c r="A193" s="140">
        <f>'Plant &amp; Reserve'!$A193</f>
        <v>34580</v>
      </c>
      <c r="B193" s="130" t="str">
        <f>'Plant &amp; Reserve'!$B193</f>
        <v>PK Common</v>
      </c>
      <c r="C193" s="130"/>
      <c r="D193" s="145">
        <f>IFERROR(VLOOKUP($A193,'2021 B-7'!C:R,14,FALSE),0)</f>
        <v>13912445.110000003</v>
      </c>
      <c r="E193" s="145">
        <f>IFERROR(VLOOKUP($A193,'2021 B-9'!C:T,16,FALSE),0)</f>
        <v>2818969.0981900012</v>
      </c>
      <c r="F193" s="130"/>
      <c r="G193" s="138">
        <f>'Proposed Rates'!$I193</f>
        <v>2.9</v>
      </c>
      <c r="H193" s="145">
        <f t="shared" si="52"/>
        <v>403461</v>
      </c>
      <c r="I193" s="130"/>
      <c r="J193" s="138">
        <f>'Proposed Rates'!$V193</f>
        <v>3.6</v>
      </c>
      <c r="K193" s="145">
        <f t="shared" si="53"/>
        <v>500848</v>
      </c>
      <c r="L193" s="145">
        <f>K193-H193</f>
        <v>97387</v>
      </c>
      <c r="M193" s="852"/>
      <c r="N193" s="853">
        <f>L193-'Proposed Accrual 2020'!L193</f>
        <v>0</v>
      </c>
      <c r="O193" s="487"/>
    </row>
    <row r="194" spans="1:15" ht="15" x14ac:dyDescent="0.2">
      <c r="A194" s="140">
        <f>'Plant &amp; Reserve'!$A194</f>
        <v>34680</v>
      </c>
      <c r="B194" s="168" t="str">
        <f>'Plant &amp; Reserve'!$B194</f>
        <v>PK Common</v>
      </c>
      <c r="C194" s="130"/>
      <c r="D194" s="172">
        <f>IFERROR(VLOOKUP($A194,'2021 B-7'!C:R,14,FALSE),0)</f>
        <v>850630.8600000001</v>
      </c>
      <c r="E194" s="172">
        <f>IFERROR(VLOOKUP($A194,'2021 B-9'!C:T,16,FALSE),0)</f>
        <v>-90547.189360000397</v>
      </c>
      <c r="F194" s="130"/>
      <c r="G194" s="170">
        <f>'Proposed Rates'!$I194</f>
        <v>2.4</v>
      </c>
      <c r="H194" s="172">
        <f t="shared" si="52"/>
        <v>20415</v>
      </c>
      <c r="I194" s="130"/>
      <c r="J194" s="170">
        <f>'Proposed Rates'!$V194</f>
        <v>5.6</v>
      </c>
      <c r="K194" s="171">
        <f t="shared" si="53"/>
        <v>47635</v>
      </c>
      <c r="L194" s="171">
        <f>K194-H194</f>
        <v>27220</v>
      </c>
      <c r="M194" s="852"/>
      <c r="N194" s="853">
        <f>L194-'Proposed Accrual 2020'!L194</f>
        <v>0</v>
      </c>
      <c r="O194" s="487"/>
    </row>
    <row r="195" spans="1:15" x14ac:dyDescent="0.2">
      <c r="A195" s="134"/>
      <c r="B195" s="128" t="s">
        <v>75</v>
      </c>
      <c r="C195" s="130"/>
      <c r="D195" s="173">
        <f>SUM(D190:D194)</f>
        <v>225753074.77600011</v>
      </c>
      <c r="E195" s="173">
        <f>SUM(E190:E194)</f>
        <v>58006969.36850702</v>
      </c>
      <c r="F195" s="130"/>
      <c r="G195" s="177">
        <f>'Proposed Rates'!$I195</f>
        <v>1.8</v>
      </c>
      <c r="H195" s="173">
        <f>SUM(H190:H194)</f>
        <v>5212765</v>
      </c>
      <c r="I195" s="130"/>
      <c r="J195" s="177">
        <f>'Proposed Rates'!$V195</f>
        <v>3.1</v>
      </c>
      <c r="K195" s="173">
        <f>SUM(K190:K194)</f>
        <v>7133898</v>
      </c>
      <c r="L195" s="173">
        <f>SUM(L190:L194)</f>
        <v>1921133</v>
      </c>
      <c r="M195" s="852"/>
      <c r="N195" s="853">
        <f>L195-'Proposed Accrual 2020'!L195</f>
        <v>3754</v>
      </c>
      <c r="O195" s="487"/>
    </row>
    <row r="196" spans="1:15" x14ac:dyDescent="0.2">
      <c r="A196" s="200"/>
      <c r="B196" s="130"/>
      <c r="C196" s="130"/>
      <c r="D196" s="145"/>
      <c r="E196" s="145"/>
      <c r="F196" s="130"/>
      <c r="G196" s="138"/>
      <c r="H196" s="145"/>
      <c r="I196" s="130"/>
      <c r="J196" s="138"/>
      <c r="K196" s="145"/>
      <c r="L196" s="145"/>
      <c r="M196" s="130"/>
      <c r="N196" s="853">
        <f>L196-'Proposed Accrual 2020'!L196</f>
        <v>0</v>
      </c>
      <c r="O196" s="487"/>
    </row>
    <row r="197" spans="1:15" x14ac:dyDescent="0.2">
      <c r="A197" s="140">
        <f>'Plant &amp; Reserve'!$A197</f>
        <v>34181</v>
      </c>
      <c r="B197" s="130" t="str">
        <f>'Plant &amp; Reserve'!$B197</f>
        <v>PK Unit No. 1</v>
      </c>
      <c r="C197" s="130"/>
      <c r="D197" s="145">
        <f>IFERROR(VLOOKUP($A197,'2021 B-7'!C:R,14,FALSE),0)</f>
        <v>50518479.320000008</v>
      </c>
      <c r="E197" s="145">
        <f>IFERROR(VLOOKUP($A197,'2021 B-9'!C:T,16,FALSE),0)</f>
        <v>24073114.312999982</v>
      </c>
      <c r="F197" s="130"/>
      <c r="G197" s="138">
        <f>'Proposed Rates'!$I197</f>
        <v>2.5</v>
      </c>
      <c r="H197" s="145">
        <f t="shared" ref="H197:H201" si="54">ROUND(($D197*G197)/100,0)</f>
        <v>1262962</v>
      </c>
      <c r="I197" s="130"/>
      <c r="J197" s="138">
        <f>'Proposed Rates'!$V197</f>
        <v>3.7</v>
      </c>
      <c r="K197" s="145">
        <f t="shared" ref="K197:K201" si="55">ROUND(($D197*J197)/100,0)</f>
        <v>1869184</v>
      </c>
      <c r="L197" s="145">
        <f>K197-H197</f>
        <v>606222</v>
      </c>
      <c r="M197" s="852"/>
      <c r="N197" s="853">
        <f>L197-'Proposed Accrual 2020'!L197</f>
        <v>0</v>
      </c>
      <c r="O197" s="487"/>
    </row>
    <row r="198" spans="1:15" x14ac:dyDescent="0.2">
      <c r="A198" s="140">
        <f>'Plant &amp; Reserve'!$A198</f>
        <v>34281</v>
      </c>
      <c r="B198" s="130" t="str">
        <f>'Plant &amp; Reserve'!$B198</f>
        <v>PK Unit No. 1</v>
      </c>
      <c r="C198" s="130"/>
      <c r="D198" s="145">
        <f>IFERROR(VLOOKUP($A198,'2021 B-7'!C:R,14,FALSE),0)</f>
        <v>249470191.64000013</v>
      </c>
      <c r="E198" s="145">
        <f>IFERROR(VLOOKUP($A198,'2021 B-9'!C:T,16,FALSE),0)</f>
        <v>123966347.95836592</v>
      </c>
      <c r="F198" s="130"/>
      <c r="G198" s="138">
        <f>'Proposed Rates'!$I198</f>
        <v>3.4</v>
      </c>
      <c r="H198" s="145">
        <f t="shared" si="54"/>
        <v>8481987</v>
      </c>
      <c r="I198" s="130"/>
      <c r="J198" s="138">
        <f>'Proposed Rates'!$V198</f>
        <v>4.0999999999999996</v>
      </c>
      <c r="K198" s="145">
        <f t="shared" si="55"/>
        <v>10228278</v>
      </c>
      <c r="L198" s="145">
        <f>K198-H198</f>
        <v>1746291</v>
      </c>
      <c r="M198" s="852"/>
      <c r="N198" s="853">
        <f>L198-'Proposed Accrual 2020'!L198</f>
        <v>33797</v>
      </c>
      <c r="O198" s="487"/>
    </row>
    <row r="199" spans="1:15" x14ac:dyDescent="0.2">
      <c r="A199" s="140">
        <f>'Plant &amp; Reserve'!$A199</f>
        <v>34381</v>
      </c>
      <c r="B199" s="130" t="str">
        <f>'Plant &amp; Reserve'!$B199</f>
        <v>PK Unit No. 1</v>
      </c>
      <c r="C199" s="130"/>
      <c r="D199" s="145">
        <f>IFERROR(VLOOKUP($A199,'2021 B-7'!C:R,14,FALSE),0)</f>
        <v>151555412.66000003</v>
      </c>
      <c r="E199" s="145">
        <f>IFERROR(VLOOKUP($A199,'2021 B-9'!C:T,16,FALSE),0)</f>
        <v>79785407.232854992</v>
      </c>
      <c r="F199" s="130"/>
      <c r="G199" s="138">
        <f>'Proposed Rates'!$I199</f>
        <v>4.5</v>
      </c>
      <c r="H199" s="145">
        <f t="shared" si="54"/>
        <v>6819994</v>
      </c>
      <c r="I199" s="130"/>
      <c r="J199" s="138">
        <f>'Proposed Rates'!$V199</f>
        <v>4.5999999999999996</v>
      </c>
      <c r="K199" s="145">
        <f t="shared" si="55"/>
        <v>6971549</v>
      </c>
      <c r="L199" s="145">
        <f>K199-H199</f>
        <v>151555</v>
      </c>
      <c r="M199" s="852"/>
      <c r="N199" s="853">
        <f>L199-'Proposed Accrual 2020'!L199</f>
        <v>4828</v>
      </c>
      <c r="O199" s="487"/>
    </row>
    <row r="200" spans="1:15" x14ac:dyDescent="0.2">
      <c r="A200" s="140">
        <f>'Plant &amp; Reserve'!$A200</f>
        <v>34581</v>
      </c>
      <c r="B200" s="130" t="str">
        <f>'Plant &amp; Reserve'!$B200</f>
        <v>PK Unit No. 1</v>
      </c>
      <c r="C200" s="130"/>
      <c r="D200" s="145">
        <f>IFERROR(VLOOKUP($A200,'2021 B-7'!C:R,14,FALSE),0)</f>
        <v>58038686.56999997</v>
      </c>
      <c r="E200" s="145">
        <f>IFERROR(VLOOKUP($A200,'2021 B-9'!C:T,16,FALSE),0)</f>
        <v>39782100.096809961</v>
      </c>
      <c r="F200" s="130"/>
      <c r="G200" s="138">
        <f>'Proposed Rates'!$I200</f>
        <v>3.3</v>
      </c>
      <c r="H200" s="145">
        <f t="shared" si="54"/>
        <v>1915277</v>
      </c>
      <c r="I200" s="130"/>
      <c r="J200" s="138">
        <f>'Proposed Rates'!$V200</f>
        <v>3.3</v>
      </c>
      <c r="K200" s="145">
        <f t="shared" si="55"/>
        <v>1915277</v>
      </c>
      <c r="L200" s="145">
        <f>K200-H200</f>
        <v>0</v>
      </c>
      <c r="M200" s="852"/>
      <c r="N200" s="853">
        <f>L200-'Proposed Accrual 2020'!L200</f>
        <v>0</v>
      </c>
      <c r="O200" s="487"/>
    </row>
    <row r="201" spans="1:15" ht="15" x14ac:dyDescent="0.2">
      <c r="A201" s="140">
        <f>'Plant &amp; Reserve'!$A201</f>
        <v>34681</v>
      </c>
      <c r="B201" s="168" t="str">
        <f>'Plant &amp; Reserve'!$B201</f>
        <v>PK Unit No. 1</v>
      </c>
      <c r="C201" s="130"/>
      <c r="D201" s="172">
        <f>IFERROR(VLOOKUP($A201,'2021 B-7'!C:R,14,FALSE),0)</f>
        <v>6060776.8499999987</v>
      </c>
      <c r="E201" s="172">
        <f>IFERROR(VLOOKUP($A201,'2021 B-9'!C:T,16,FALSE),0)</f>
        <v>2568189.9923499962</v>
      </c>
      <c r="F201" s="130"/>
      <c r="G201" s="170">
        <f>'Proposed Rates'!$I201</f>
        <v>3.1</v>
      </c>
      <c r="H201" s="172">
        <f t="shared" si="54"/>
        <v>187884</v>
      </c>
      <c r="I201" s="130"/>
      <c r="J201" s="170">
        <f>'Proposed Rates'!$V201</f>
        <v>4.2</v>
      </c>
      <c r="K201" s="171">
        <f t="shared" si="55"/>
        <v>254553</v>
      </c>
      <c r="L201" s="171">
        <f>K201-H201</f>
        <v>66669</v>
      </c>
      <c r="M201" s="852"/>
      <c r="N201" s="853">
        <f>L201-'Proposed Accrual 2020'!L201</f>
        <v>0</v>
      </c>
      <c r="O201" s="487"/>
    </row>
    <row r="202" spans="1:15" x14ac:dyDescent="0.2">
      <c r="A202" s="134"/>
      <c r="B202" s="128" t="s">
        <v>75</v>
      </c>
      <c r="C202" s="130"/>
      <c r="D202" s="173">
        <f>SUM(D197:D201)</f>
        <v>515643547.0400002</v>
      </c>
      <c r="E202" s="173">
        <f>SUM(E197:E201)</f>
        <v>270175159.59338087</v>
      </c>
      <c r="F202" s="130"/>
      <c r="G202" s="177">
        <f>'Proposed Rates'!$I202</f>
        <v>3.4</v>
      </c>
      <c r="H202" s="173">
        <f>SUM(H197:H201)</f>
        <v>18668104</v>
      </c>
      <c r="I202" s="130"/>
      <c r="J202" s="177">
        <f>'Proposed Rates'!$V202</f>
        <v>4.0999999999999996</v>
      </c>
      <c r="K202" s="173">
        <f>SUM(K197:K201)</f>
        <v>21238841</v>
      </c>
      <c r="L202" s="173">
        <f>SUM(L197:L201)</f>
        <v>2570737</v>
      </c>
      <c r="M202" s="852"/>
      <c r="N202" s="853">
        <f>L202-'Proposed Accrual 2020'!L202</f>
        <v>38625</v>
      </c>
      <c r="O202" s="487"/>
    </row>
    <row r="203" spans="1:15" x14ac:dyDescent="0.2">
      <c r="A203" s="200"/>
      <c r="B203" s="130"/>
      <c r="C203" s="130"/>
      <c r="D203" s="145"/>
      <c r="E203" s="145"/>
      <c r="F203" s="130"/>
      <c r="G203" s="138"/>
      <c r="H203" s="145"/>
      <c r="I203" s="130"/>
      <c r="J203" s="138"/>
      <c r="K203" s="145"/>
      <c r="L203" s="145"/>
      <c r="M203" s="130"/>
      <c r="N203" s="853">
        <f>L203-'Proposed Accrual 2020'!L203</f>
        <v>0</v>
      </c>
      <c r="O203" s="487"/>
    </row>
    <row r="204" spans="1:15" x14ac:dyDescent="0.2">
      <c r="A204" s="140">
        <f>'Plant &amp; Reserve'!$A204</f>
        <v>34182</v>
      </c>
      <c r="B204" s="130" t="str">
        <f>'Plant &amp; Reserve'!$B204</f>
        <v>PK CT No. 2</v>
      </c>
      <c r="C204" s="130"/>
      <c r="D204" s="145">
        <f>IFERROR(VLOOKUP($A204,'2021 B-7'!C:R,14,FALSE),0)</f>
        <v>2160338.06</v>
      </c>
      <c r="E204" s="145">
        <f>IFERROR(VLOOKUP($A204,'2021 B-9'!C:T,16,FALSE),0)</f>
        <v>1196148.6176200022</v>
      </c>
      <c r="F204" s="130"/>
      <c r="G204" s="138">
        <f>'Proposed Rates'!$I204</f>
        <v>2.7</v>
      </c>
      <c r="H204" s="145">
        <f t="shared" ref="H204:H208" si="56">ROUND(($D204*G204)/100,0)</f>
        <v>58329</v>
      </c>
      <c r="I204" s="130"/>
      <c r="J204" s="138">
        <f>'Proposed Rates'!$V204</f>
        <v>2.6</v>
      </c>
      <c r="K204" s="145">
        <f t="shared" ref="K204:K208" si="57">ROUND(($D204*J204)/100,0)</f>
        <v>56169</v>
      </c>
      <c r="L204" s="145">
        <f>K204-H204</f>
        <v>-2160</v>
      </c>
      <c r="M204" s="852"/>
      <c r="N204" s="853">
        <f>L204-'Proposed Accrual 2020'!L204</f>
        <v>0</v>
      </c>
      <c r="O204" s="487"/>
    </row>
    <row r="205" spans="1:15" x14ac:dyDescent="0.2">
      <c r="A205" s="140">
        <f>'Plant &amp; Reserve'!$A205</f>
        <v>34282</v>
      </c>
      <c r="B205" s="130" t="str">
        <f>'Plant &amp; Reserve'!$B205</f>
        <v>PK CT No. 2</v>
      </c>
      <c r="C205" s="130"/>
      <c r="D205" s="145">
        <f>IFERROR(VLOOKUP($A205,'2021 B-7'!C:R,14,FALSE),0)</f>
        <v>6431450.101999999</v>
      </c>
      <c r="E205" s="145">
        <f>IFERROR(VLOOKUP($A205,'2021 B-9'!C:T,16,FALSE),0)</f>
        <v>-516239.89357599884</v>
      </c>
      <c r="F205" s="130"/>
      <c r="G205" s="138">
        <f>'Proposed Rates'!$I205</f>
        <v>3.3</v>
      </c>
      <c r="H205" s="145">
        <f t="shared" si="56"/>
        <v>212238</v>
      </c>
      <c r="I205" s="130"/>
      <c r="J205" s="138">
        <f>'Proposed Rates'!$V205</f>
        <v>4.3</v>
      </c>
      <c r="K205" s="145">
        <f t="shared" si="57"/>
        <v>276552</v>
      </c>
      <c r="L205" s="145">
        <f>K205-H205</f>
        <v>64314</v>
      </c>
      <c r="M205" s="852"/>
      <c r="N205" s="853">
        <f>L205-'Proposed Accrual 2020'!L205</f>
        <v>43719</v>
      </c>
      <c r="O205" s="487"/>
    </row>
    <row r="206" spans="1:15" x14ac:dyDescent="0.2">
      <c r="A206" s="140">
        <f>'Plant &amp; Reserve'!$A206</f>
        <v>34382</v>
      </c>
      <c r="B206" s="130" t="str">
        <f>'Plant &amp; Reserve'!$B206</f>
        <v>PK CT No. 2</v>
      </c>
      <c r="C206" s="130"/>
      <c r="D206" s="145">
        <f>IFERROR(VLOOKUP($A206,'2021 B-7'!C:R,14,FALSE),0)</f>
        <v>30488230.361999996</v>
      </c>
      <c r="E206" s="145">
        <f>IFERROR(VLOOKUP($A206,'2021 B-9'!C:T,16,FALSE),0)</f>
        <v>4384555.1593387034</v>
      </c>
      <c r="F206" s="130"/>
      <c r="G206" s="138">
        <f>'Proposed Rates'!$I206</f>
        <v>4.4000000000000004</v>
      </c>
      <c r="H206" s="145">
        <f t="shared" si="56"/>
        <v>1341482</v>
      </c>
      <c r="I206" s="130"/>
      <c r="J206" s="138">
        <f>'Proposed Rates'!$V206</f>
        <v>4.9000000000000004</v>
      </c>
      <c r="K206" s="145">
        <f t="shared" si="57"/>
        <v>1493923</v>
      </c>
      <c r="L206" s="145">
        <f>K206-H206</f>
        <v>152441</v>
      </c>
      <c r="M206" s="852"/>
      <c r="N206" s="853">
        <f>L206-'Proposed Accrual 2020'!L206</f>
        <v>21859</v>
      </c>
      <c r="O206" s="487"/>
    </row>
    <row r="207" spans="1:15" x14ac:dyDescent="0.2">
      <c r="A207" s="140">
        <f>'Plant &amp; Reserve'!$A207</f>
        <v>34582</v>
      </c>
      <c r="B207" s="130" t="str">
        <f>'Plant &amp; Reserve'!$B207</f>
        <v>PK CT No. 2</v>
      </c>
      <c r="C207" s="130"/>
      <c r="D207" s="145">
        <f>IFERROR(VLOOKUP($A207,'2021 B-7'!C:R,14,FALSE),0)</f>
        <v>17658861.830000002</v>
      </c>
      <c r="E207" s="145">
        <f>IFERROR(VLOOKUP($A207,'2021 B-9'!C:T,16,FALSE),0)</f>
        <v>9268921.9612400047</v>
      </c>
      <c r="F207" s="130"/>
      <c r="G207" s="138">
        <f>'Proposed Rates'!$I207</f>
        <v>2.8</v>
      </c>
      <c r="H207" s="145">
        <f t="shared" si="56"/>
        <v>494448</v>
      </c>
      <c r="I207" s="130"/>
      <c r="J207" s="138">
        <f>'Proposed Rates'!$V207</f>
        <v>3.4</v>
      </c>
      <c r="K207" s="145">
        <f t="shared" si="57"/>
        <v>600401</v>
      </c>
      <c r="L207" s="145">
        <f>K207-H207</f>
        <v>105953</v>
      </c>
      <c r="M207" s="852"/>
      <c r="N207" s="853">
        <f>L207-'Proposed Accrual 2020'!L207</f>
        <v>0</v>
      </c>
      <c r="O207" s="487"/>
    </row>
    <row r="208" spans="1:15" ht="15" x14ac:dyDescent="0.2">
      <c r="A208" s="140">
        <f>'Plant &amp; Reserve'!$A208</f>
        <v>34682</v>
      </c>
      <c r="B208" s="168" t="str">
        <f>'Plant &amp; Reserve'!$B208</f>
        <v>PK CT No. 2</v>
      </c>
      <c r="C208" s="130"/>
      <c r="D208" s="172">
        <f>IFERROR(VLOOKUP($A208,'2021 B-7'!C:R,14,FALSE),0)</f>
        <v>173209.91</v>
      </c>
      <c r="E208" s="172">
        <f>IFERROR(VLOOKUP($A208,'2021 B-9'!C:T,16,FALSE),0)</f>
        <v>129869.77685000029</v>
      </c>
      <c r="F208" s="130"/>
      <c r="G208" s="170">
        <f>'Proposed Rates'!$I208</f>
        <v>3.5</v>
      </c>
      <c r="H208" s="172">
        <f t="shared" si="56"/>
        <v>6062</v>
      </c>
      <c r="I208" s="130"/>
      <c r="J208" s="170">
        <f>'Proposed Rates'!$V208</f>
        <v>1.7</v>
      </c>
      <c r="K208" s="171">
        <f t="shared" si="57"/>
        <v>2945</v>
      </c>
      <c r="L208" s="171">
        <f>K208-H208</f>
        <v>-3117</v>
      </c>
      <c r="M208" s="852"/>
      <c r="N208" s="853">
        <f>L208-'Proposed Accrual 2020'!L208</f>
        <v>0</v>
      </c>
      <c r="O208" s="487"/>
    </row>
    <row r="209" spans="1:15" x14ac:dyDescent="0.2">
      <c r="A209" s="134"/>
      <c r="B209" s="128" t="s">
        <v>75</v>
      </c>
      <c r="C209" s="130"/>
      <c r="D209" s="173">
        <f>SUM(D204:D208)</f>
        <v>56912090.263999999</v>
      </c>
      <c r="E209" s="173">
        <f>SUM(E204:E208)</f>
        <v>14463255.621472713</v>
      </c>
      <c r="F209" s="130"/>
      <c r="G209" s="177">
        <f>'Proposed Rates'!$I209</f>
        <v>4.2</v>
      </c>
      <c r="H209" s="173">
        <f>SUM(H204:H208)</f>
        <v>2112559</v>
      </c>
      <c r="I209" s="130"/>
      <c r="J209" s="177">
        <f>'Proposed Rates'!$V209</f>
        <v>4.0999999999999996</v>
      </c>
      <c r="K209" s="173">
        <f>SUM(K204:K208)</f>
        <v>2429990</v>
      </c>
      <c r="L209" s="173">
        <f>SUM(L204:L208)</f>
        <v>317431</v>
      </c>
      <c r="M209" s="852"/>
      <c r="N209" s="853">
        <f>L209-'Proposed Accrual 2020'!L209</f>
        <v>65578</v>
      </c>
      <c r="O209" s="487"/>
    </row>
    <row r="210" spans="1:15" x14ac:dyDescent="0.2">
      <c r="A210" s="200"/>
      <c r="B210" s="130"/>
      <c r="C210" s="130"/>
      <c r="D210" s="154"/>
      <c r="E210" s="154"/>
      <c r="F210" s="130"/>
      <c r="G210" s="138"/>
      <c r="H210" s="145"/>
      <c r="I210" s="130"/>
      <c r="J210" s="138"/>
      <c r="K210" s="145"/>
      <c r="L210" s="145"/>
      <c r="M210" s="130"/>
      <c r="N210" s="853">
        <f>L210-'Proposed Accrual 2020'!L210</f>
        <v>0</v>
      </c>
      <c r="O210" s="487"/>
    </row>
    <row r="211" spans="1:15" x14ac:dyDescent="0.2">
      <c r="A211" s="140">
        <f>'Plant &amp; Reserve'!$A211</f>
        <v>34183</v>
      </c>
      <c r="B211" s="130" t="str">
        <f>'Plant &amp; Reserve'!$B211</f>
        <v>PK CT No. 3</v>
      </c>
      <c r="C211" s="130"/>
      <c r="D211" s="145">
        <f>IFERROR(VLOOKUP($A211,'2021 B-7'!C:R,14,FALSE),0)</f>
        <v>10533315.640000001</v>
      </c>
      <c r="E211" s="145">
        <f>IFERROR(VLOOKUP($A211,'2021 B-9'!C:T,16,FALSE),0)</f>
        <v>5182901.8366400041</v>
      </c>
      <c r="F211" s="130"/>
      <c r="G211" s="138">
        <f>'Proposed Rates'!$I211</f>
        <v>2.6</v>
      </c>
      <c r="H211" s="145">
        <f t="shared" ref="H211:H215" si="58">ROUND(($D211*G211)/100,0)</f>
        <v>273866</v>
      </c>
      <c r="I211" s="130"/>
      <c r="J211" s="138">
        <f>'Proposed Rates'!$V211</f>
        <v>2.6</v>
      </c>
      <c r="K211" s="145">
        <f t="shared" ref="K211:K215" si="59">ROUND(($D211*J211)/100,0)</f>
        <v>273866</v>
      </c>
      <c r="L211" s="145">
        <f>K211-H211</f>
        <v>0</v>
      </c>
      <c r="M211" s="852"/>
      <c r="N211" s="853">
        <f>L211-'Proposed Accrual 2020'!L211</f>
        <v>0</v>
      </c>
      <c r="O211" s="487"/>
    </row>
    <row r="212" spans="1:15" x14ac:dyDescent="0.2">
      <c r="A212" s="140">
        <f>'Plant &amp; Reserve'!$A212</f>
        <v>34283</v>
      </c>
      <c r="B212" s="130" t="str">
        <f>'Plant &amp; Reserve'!$B212</f>
        <v>PK CT No. 3</v>
      </c>
      <c r="C212" s="130"/>
      <c r="D212" s="145">
        <f>IFERROR(VLOOKUP($A212,'2021 B-7'!C:R,14,FALSE),0)</f>
        <v>4131798.9239999996</v>
      </c>
      <c r="E212" s="145">
        <f>IFERROR(VLOOKUP($A212,'2021 B-9'!C:T,16,FALSE),0)</f>
        <v>-124860.50431300269</v>
      </c>
      <c r="F212" s="130"/>
      <c r="G212" s="138">
        <f>'Proposed Rates'!$I212</f>
        <v>2.9</v>
      </c>
      <c r="H212" s="145">
        <f t="shared" si="58"/>
        <v>119822</v>
      </c>
      <c r="I212" s="130"/>
      <c r="J212" s="138">
        <f>'Proposed Rates'!$V212</f>
        <v>3.2</v>
      </c>
      <c r="K212" s="145">
        <f t="shared" si="59"/>
        <v>132218</v>
      </c>
      <c r="L212" s="145">
        <f>K212-H212</f>
        <v>12396</v>
      </c>
      <c r="M212" s="852"/>
      <c r="N212" s="853">
        <f>L212-'Proposed Accrual 2020'!L212</f>
        <v>8483</v>
      </c>
      <c r="O212" s="487"/>
    </row>
    <row r="213" spans="1:15" x14ac:dyDescent="0.2">
      <c r="A213" s="140">
        <f>'Plant &amp; Reserve'!$A213</f>
        <v>34383</v>
      </c>
      <c r="B213" s="130" t="str">
        <f>'Plant &amp; Reserve'!$B213</f>
        <v>PK CT No. 3</v>
      </c>
      <c r="C213" s="130"/>
      <c r="D213" s="145">
        <f>IFERROR(VLOOKUP($A213,'2021 B-7'!C:R,14,FALSE),0)</f>
        <v>35461164.604000002</v>
      </c>
      <c r="E213" s="145">
        <f>IFERROR(VLOOKUP($A213,'2021 B-9'!C:T,16,FALSE),0)</f>
        <v>18951607.568817958</v>
      </c>
      <c r="F213" s="130"/>
      <c r="G213" s="138">
        <f>'Proposed Rates'!$I213</f>
        <v>4.5999999999999996</v>
      </c>
      <c r="H213" s="145">
        <f t="shared" si="58"/>
        <v>1631214</v>
      </c>
      <c r="I213" s="130"/>
      <c r="J213" s="138">
        <f>'Proposed Rates'!$V213</f>
        <v>3.6</v>
      </c>
      <c r="K213" s="145">
        <f t="shared" si="59"/>
        <v>1276602</v>
      </c>
      <c r="L213" s="145">
        <f>K213-H213</f>
        <v>-354612</v>
      </c>
      <c r="M213" s="852"/>
      <c r="N213" s="853">
        <f>L213-'Proposed Accrual 2020'!L213</f>
        <v>-28273</v>
      </c>
      <c r="O213" s="487"/>
    </row>
    <row r="214" spans="1:15" x14ac:dyDescent="0.2">
      <c r="A214" s="140">
        <f>'Plant &amp; Reserve'!$A214</f>
        <v>34583</v>
      </c>
      <c r="B214" s="130" t="str">
        <f>'Plant &amp; Reserve'!$B214</f>
        <v>PK CT No. 3</v>
      </c>
      <c r="C214" s="130"/>
      <c r="D214" s="145">
        <f>IFERROR(VLOOKUP($A214,'2021 B-7'!C:R,14,FALSE),0)</f>
        <v>9098307.0300000031</v>
      </c>
      <c r="E214" s="145">
        <f>IFERROR(VLOOKUP($A214,'2021 B-9'!C:T,16,FALSE),0)</f>
        <v>5007453.8609000025</v>
      </c>
      <c r="F214" s="130"/>
      <c r="G214" s="138">
        <f>'Proposed Rates'!$I214</f>
        <v>3</v>
      </c>
      <c r="H214" s="145">
        <f t="shared" si="58"/>
        <v>272949</v>
      </c>
      <c r="I214" s="130"/>
      <c r="J214" s="138">
        <f>'Proposed Rates'!$V214</f>
        <v>3.8</v>
      </c>
      <c r="K214" s="145">
        <f t="shared" si="59"/>
        <v>345736</v>
      </c>
      <c r="L214" s="145">
        <f>K214-H214</f>
        <v>72787</v>
      </c>
      <c r="M214" s="852"/>
      <c r="N214" s="853">
        <f>L214-'Proposed Accrual 2020'!L214</f>
        <v>0</v>
      </c>
      <c r="O214" s="487"/>
    </row>
    <row r="215" spans="1:15" ht="15" x14ac:dyDescent="0.2">
      <c r="A215" s="140">
        <f>'Plant &amp; Reserve'!$A215</f>
        <v>34683</v>
      </c>
      <c r="B215" s="168" t="str">
        <f>'Plant &amp; Reserve'!$B215</f>
        <v>PK CT No. 3</v>
      </c>
      <c r="C215" s="130"/>
      <c r="D215" s="172">
        <f>IFERROR(VLOOKUP($A215,'2021 B-7'!C:R,14,FALSE),0)</f>
        <v>432910.42</v>
      </c>
      <c r="E215" s="172">
        <f>IFERROR(VLOOKUP($A215,'2021 B-9'!C:T,16,FALSE),0)</f>
        <v>255124.54302000054</v>
      </c>
      <c r="F215" s="130"/>
      <c r="G215" s="170">
        <f>'Proposed Rates'!$I215</f>
        <v>3.1</v>
      </c>
      <c r="H215" s="172">
        <f t="shared" si="58"/>
        <v>13420</v>
      </c>
      <c r="I215" s="130"/>
      <c r="J215" s="170">
        <f>'Proposed Rates'!$V215</f>
        <v>2.2000000000000002</v>
      </c>
      <c r="K215" s="171">
        <f t="shared" si="59"/>
        <v>9524</v>
      </c>
      <c r="L215" s="171">
        <f>K215-H215</f>
        <v>-3896</v>
      </c>
      <c r="M215" s="852"/>
      <c r="N215" s="853">
        <f>L215-'Proposed Accrual 2020'!L215</f>
        <v>0</v>
      </c>
      <c r="O215" s="487"/>
    </row>
    <row r="216" spans="1:15" x14ac:dyDescent="0.2">
      <c r="A216" s="134"/>
      <c r="B216" s="128" t="s">
        <v>75</v>
      </c>
      <c r="C216" s="130"/>
      <c r="D216" s="173">
        <f>SUM(D211:D215)</f>
        <v>59657496.618000001</v>
      </c>
      <c r="E216" s="173">
        <f>SUM(E211:E215)</f>
        <v>29272227.305064961</v>
      </c>
      <c r="F216" s="130"/>
      <c r="G216" s="177">
        <f>'Proposed Rates'!$I216</f>
        <v>3.7</v>
      </c>
      <c r="H216" s="173">
        <f>SUM(H211:H215)</f>
        <v>2311271</v>
      </c>
      <c r="I216" s="130"/>
      <c r="J216" s="177">
        <f>'Proposed Rates'!$V216</f>
        <v>3.4</v>
      </c>
      <c r="K216" s="173">
        <f>SUM(K211:K215)</f>
        <v>2037946</v>
      </c>
      <c r="L216" s="173">
        <f>SUM(L211:L215)</f>
        <v>-273325</v>
      </c>
      <c r="M216" s="852"/>
      <c r="N216" s="853">
        <f>L216-'Proposed Accrual 2020'!L216</f>
        <v>-19790</v>
      </c>
      <c r="O216" s="487"/>
    </row>
    <row r="217" spans="1:15" x14ac:dyDescent="0.2">
      <c r="A217" s="134"/>
      <c r="B217" s="128"/>
      <c r="C217" s="130"/>
      <c r="D217" s="173"/>
      <c r="E217" s="173"/>
      <c r="F217" s="130"/>
      <c r="G217" s="177"/>
      <c r="H217" s="173"/>
      <c r="I217" s="130"/>
      <c r="J217" s="173"/>
      <c r="K217" s="173"/>
      <c r="L217" s="173"/>
      <c r="M217" s="852"/>
      <c r="N217" s="853">
        <f>L217-'Proposed Accrual 2020'!L217</f>
        <v>0</v>
      </c>
      <c r="O217" s="487"/>
    </row>
    <row r="218" spans="1:15" x14ac:dyDescent="0.2">
      <c r="A218" s="140">
        <f>'Plant &amp; Reserve'!$A218</f>
        <v>34184</v>
      </c>
      <c r="B218" s="130" t="str">
        <f>'Plant &amp; Reserve'!$B218</f>
        <v>PK CT No. 4</v>
      </c>
      <c r="C218" s="130"/>
      <c r="D218" s="145">
        <f>IFERROR(VLOOKUP($A218,'2021 B-7'!C:R,14,FALSE),0)</f>
        <v>5811519.6599999992</v>
      </c>
      <c r="E218" s="145">
        <f>IFERROR(VLOOKUP($A218,'2021 B-9'!C:T,16,FALSE),0)</f>
        <v>1958845.0518399975</v>
      </c>
      <c r="F218" s="130"/>
      <c r="G218" s="138">
        <f>'Proposed Rates'!$I218</f>
        <v>2.4</v>
      </c>
      <c r="H218" s="145">
        <f t="shared" ref="H218:H222" si="60">ROUND(($D218*G218)/100,0)</f>
        <v>139476</v>
      </c>
      <c r="I218" s="130"/>
      <c r="J218" s="138">
        <f>'Proposed Rates'!$V218</f>
        <v>2.7</v>
      </c>
      <c r="K218" s="145">
        <f t="shared" ref="K218:K222" si="61">ROUND(($D218*J218)/100,0)</f>
        <v>156911</v>
      </c>
      <c r="L218" s="145">
        <f>K218-H218</f>
        <v>17435</v>
      </c>
      <c r="M218" s="852"/>
      <c r="N218" s="853">
        <f>L218-'Proposed Accrual 2020'!L218</f>
        <v>0</v>
      </c>
      <c r="O218" s="487"/>
    </row>
    <row r="219" spans="1:15" x14ac:dyDescent="0.2">
      <c r="A219" s="140">
        <f>'Plant &amp; Reserve'!$A219</f>
        <v>34284</v>
      </c>
      <c r="B219" s="130" t="str">
        <f>'Plant &amp; Reserve'!$B219</f>
        <v>PK CT No. 4</v>
      </c>
      <c r="C219" s="130"/>
      <c r="D219" s="145">
        <f>IFERROR(VLOOKUP($A219,'2021 B-7'!C:R,14,FALSE),0)</f>
        <v>5075516.3360000011</v>
      </c>
      <c r="E219" s="145">
        <f>IFERROR(VLOOKUP($A219,'2021 B-9'!C:T,16,FALSE),0)</f>
        <v>-240766.70186933409</v>
      </c>
      <c r="F219" s="130"/>
      <c r="G219" s="138">
        <f>'Proposed Rates'!$I219</f>
        <v>3.2</v>
      </c>
      <c r="H219" s="145">
        <f t="shared" si="60"/>
        <v>162417</v>
      </c>
      <c r="I219" s="130"/>
      <c r="J219" s="138">
        <f>'Proposed Rates'!$V219</f>
        <v>2.8</v>
      </c>
      <c r="K219" s="145">
        <f t="shared" si="61"/>
        <v>142114</v>
      </c>
      <c r="L219" s="145">
        <f>K219-H219</f>
        <v>-20303</v>
      </c>
      <c r="M219" s="852"/>
      <c r="N219" s="853">
        <f>L219-'Proposed Accrual 2020'!L219</f>
        <v>-11633</v>
      </c>
      <c r="O219" s="487"/>
    </row>
    <row r="220" spans="1:15" x14ac:dyDescent="0.2">
      <c r="A220" s="140">
        <f>'Plant &amp; Reserve'!$A220</f>
        <v>34384</v>
      </c>
      <c r="B220" s="130" t="str">
        <f>'Plant &amp; Reserve'!$B220</f>
        <v>PK CT No. 4</v>
      </c>
      <c r="C220" s="130"/>
      <c r="D220" s="145">
        <f>IFERROR(VLOOKUP($A220,'2021 B-7'!C:R,14,FALSE),0)</f>
        <v>25115499.725999996</v>
      </c>
      <c r="E220" s="145">
        <f>IFERROR(VLOOKUP($A220,'2021 B-9'!C:T,16,FALSE),0)</f>
        <v>3997847.9713136675</v>
      </c>
      <c r="F220" s="130"/>
      <c r="G220" s="138">
        <f>'Proposed Rates'!$I220</f>
        <v>4.0999999999999996</v>
      </c>
      <c r="H220" s="145">
        <f t="shared" si="60"/>
        <v>1029735</v>
      </c>
      <c r="I220" s="130"/>
      <c r="J220" s="138">
        <f>'Proposed Rates'!$V220</f>
        <v>4.7</v>
      </c>
      <c r="K220" s="145">
        <f t="shared" si="61"/>
        <v>1180428</v>
      </c>
      <c r="L220" s="145">
        <f>K220-H220</f>
        <v>150693</v>
      </c>
      <c r="M220" s="852"/>
      <c r="N220" s="853">
        <f>L220-'Proposed Accrual 2020'!L220</f>
        <v>17449</v>
      </c>
      <c r="O220" s="487"/>
    </row>
    <row r="221" spans="1:15" x14ac:dyDescent="0.2">
      <c r="A221" s="140">
        <f>'Plant &amp; Reserve'!$A221</f>
        <v>34584</v>
      </c>
      <c r="B221" s="130" t="str">
        <f>'Plant &amp; Reserve'!$B221</f>
        <v>PK CT No. 4</v>
      </c>
      <c r="C221" s="130"/>
      <c r="D221" s="145">
        <f>IFERROR(VLOOKUP($A221,'2021 B-7'!C:R,14,FALSE),0)</f>
        <v>5573653.129999999</v>
      </c>
      <c r="E221" s="145">
        <f>IFERROR(VLOOKUP($A221,'2021 B-9'!C:T,16,FALSE),0)</f>
        <v>3019236.2020699964</v>
      </c>
      <c r="F221" s="130"/>
      <c r="G221" s="138">
        <f>'Proposed Rates'!$I221</f>
        <v>3.9</v>
      </c>
      <c r="H221" s="145">
        <f t="shared" si="60"/>
        <v>217372</v>
      </c>
      <c r="I221" s="130"/>
      <c r="J221" s="138">
        <f>'Proposed Rates'!$V221</f>
        <v>2.5</v>
      </c>
      <c r="K221" s="145">
        <f t="shared" si="61"/>
        <v>139341</v>
      </c>
      <c r="L221" s="145">
        <f>K221-H221</f>
        <v>-78031</v>
      </c>
      <c r="M221" s="852"/>
      <c r="N221" s="853">
        <f>L221-'Proposed Accrual 2020'!L221</f>
        <v>0</v>
      </c>
      <c r="O221" s="487"/>
    </row>
    <row r="222" spans="1:15" ht="15" x14ac:dyDescent="0.2">
      <c r="A222" s="140">
        <f>'Plant &amp; Reserve'!$A222</f>
        <v>34684</v>
      </c>
      <c r="B222" s="168" t="str">
        <f>'Plant &amp; Reserve'!$B222</f>
        <v>PK CT No. 4</v>
      </c>
      <c r="C222" s="130"/>
      <c r="D222" s="172">
        <f>IFERROR(VLOOKUP($A222,'2021 B-7'!C:R,14,FALSE),0)</f>
        <v>0</v>
      </c>
      <c r="E222" s="172">
        <f>IFERROR(VLOOKUP($A222,'2021 B-9'!C:T,16,FALSE),0)</f>
        <v>7.503331289626658E-12</v>
      </c>
      <c r="F222" s="130"/>
      <c r="G222" s="170">
        <f>'Proposed Rates'!$I222</f>
        <v>4.3</v>
      </c>
      <c r="H222" s="172">
        <f t="shared" si="60"/>
        <v>0</v>
      </c>
      <c r="I222" s="130"/>
      <c r="J222" s="170">
        <f>'Proposed Rates'!$V222</f>
        <v>3.6</v>
      </c>
      <c r="K222" s="171">
        <f t="shared" si="61"/>
        <v>0</v>
      </c>
      <c r="L222" s="171">
        <f>K222-H222</f>
        <v>0</v>
      </c>
      <c r="M222" s="852"/>
      <c r="N222" s="853">
        <f>L222-'Proposed Accrual 2020'!L222</f>
        <v>0</v>
      </c>
      <c r="O222" s="487"/>
    </row>
    <row r="223" spans="1:15" x14ac:dyDescent="0.2">
      <c r="A223" s="134"/>
      <c r="B223" s="128" t="s">
        <v>75</v>
      </c>
      <c r="C223" s="130"/>
      <c r="D223" s="173">
        <f>SUM(D218:D222)</f>
        <v>41576188.851999998</v>
      </c>
      <c r="E223" s="173">
        <f>SUM(E218:E222)</f>
        <v>8735162.5233543273</v>
      </c>
      <c r="F223" s="130"/>
      <c r="G223" s="177">
        <f>'Proposed Rates'!$I223</f>
        <v>3.8</v>
      </c>
      <c r="H223" s="173">
        <f>SUM(H218:H222)</f>
        <v>1549000</v>
      </c>
      <c r="I223" s="130"/>
      <c r="J223" s="177">
        <f>'Proposed Rates'!$V223</f>
        <v>3.9</v>
      </c>
      <c r="K223" s="173">
        <f>SUM(K218:K222)</f>
        <v>1618794</v>
      </c>
      <c r="L223" s="173">
        <f>SUM(L218:L222)</f>
        <v>69794</v>
      </c>
      <c r="M223" s="852"/>
      <c r="N223" s="853">
        <f>L223-'Proposed Accrual 2020'!L223</f>
        <v>5816</v>
      </c>
      <c r="O223" s="487"/>
    </row>
    <row r="224" spans="1:15" x14ac:dyDescent="0.2">
      <c r="A224" s="134"/>
      <c r="B224" s="128"/>
      <c r="C224" s="130"/>
      <c r="D224" s="173"/>
      <c r="E224" s="173"/>
      <c r="F224" s="130"/>
      <c r="G224" s="177"/>
      <c r="H224" s="173"/>
      <c r="I224" s="130"/>
      <c r="J224" s="173"/>
      <c r="K224" s="173"/>
      <c r="L224" s="173"/>
      <c r="M224" s="852"/>
      <c r="N224" s="853">
        <f>L224-'Proposed Accrual 2020'!L224</f>
        <v>0</v>
      </c>
      <c r="O224" s="487"/>
    </row>
    <row r="225" spans="1:15" x14ac:dyDescent="0.2">
      <c r="A225" s="140">
        <f>'Plant &amp; Reserve'!$A225</f>
        <v>34185</v>
      </c>
      <c r="B225" s="130" t="str">
        <f>'Plant &amp; Reserve'!$B225</f>
        <v>PK CT No. 5</v>
      </c>
      <c r="C225" s="130"/>
      <c r="D225" s="145">
        <f>IFERROR(VLOOKUP($A225,'2021 B-7'!C:R,14,FALSE),0)</f>
        <v>5746580.1099999994</v>
      </c>
      <c r="E225" s="145">
        <f>IFERROR(VLOOKUP($A225,'2021 B-9'!C:T,16,FALSE),0)</f>
        <v>1958793.7826399971</v>
      </c>
      <c r="F225" s="130"/>
      <c r="G225" s="138">
        <f>'Proposed Rates'!$I225</f>
        <v>2.4</v>
      </c>
      <c r="H225" s="145">
        <f t="shared" ref="H225:H229" si="62">ROUND(($D225*G225)/100,0)</f>
        <v>137918</v>
      </c>
      <c r="I225" s="130"/>
      <c r="J225" s="138">
        <f>'Proposed Rates'!$V225</f>
        <v>2.7</v>
      </c>
      <c r="K225" s="145">
        <f t="shared" ref="K225:K229" si="63">ROUND(($D225*J225)/100,0)</f>
        <v>155158</v>
      </c>
      <c r="L225" s="145">
        <f>K225-H225</f>
        <v>17240</v>
      </c>
      <c r="M225" s="852"/>
      <c r="N225" s="853">
        <f>L225-'Proposed Accrual 2020'!L225</f>
        <v>0</v>
      </c>
      <c r="O225" s="487"/>
    </row>
    <row r="226" spans="1:15" x14ac:dyDescent="0.2">
      <c r="A226" s="140">
        <f>'Plant &amp; Reserve'!$A226</f>
        <v>34285</v>
      </c>
      <c r="B226" s="130" t="str">
        <f>'Plant &amp; Reserve'!$B226</f>
        <v>PK CT No. 5</v>
      </c>
      <c r="C226" s="130"/>
      <c r="D226" s="145">
        <f>IFERROR(VLOOKUP($A226,'2021 B-7'!C:R,14,FALSE),0)</f>
        <v>2834461.676</v>
      </c>
      <c r="E226" s="145">
        <f>IFERROR(VLOOKUP($A226,'2021 B-9'!C:T,16,FALSE),0)</f>
        <v>586039.7617999994</v>
      </c>
      <c r="F226" s="130"/>
      <c r="G226" s="138">
        <f>'Proposed Rates'!$I226</f>
        <v>3.4</v>
      </c>
      <c r="H226" s="145">
        <f t="shared" si="62"/>
        <v>96372</v>
      </c>
      <c r="I226" s="130"/>
      <c r="J226" s="138">
        <f>'Proposed Rates'!$V226</f>
        <v>3.7</v>
      </c>
      <c r="K226" s="145">
        <f t="shared" si="63"/>
        <v>104875</v>
      </c>
      <c r="L226" s="145">
        <f>K226-H226</f>
        <v>8503</v>
      </c>
      <c r="M226" s="852"/>
      <c r="N226" s="853">
        <f>L226-'Proposed Accrual 2020'!L226</f>
        <v>1903</v>
      </c>
      <c r="O226" s="487"/>
    </row>
    <row r="227" spans="1:15" x14ac:dyDescent="0.2">
      <c r="A227" s="140">
        <f>'Plant &amp; Reserve'!$A227</f>
        <v>34385</v>
      </c>
      <c r="B227" s="130" t="str">
        <f>'Plant &amp; Reserve'!$B227</f>
        <v>PK CT No. 5</v>
      </c>
      <c r="C227" s="130"/>
      <c r="D227" s="145">
        <f>IFERROR(VLOOKUP($A227,'2021 B-7'!C:R,14,FALSE),0)</f>
        <v>25701162.485999998</v>
      </c>
      <c r="E227" s="145">
        <f>IFERROR(VLOOKUP($A227,'2021 B-9'!C:T,16,FALSE),0)</f>
        <v>3181273.0318900044</v>
      </c>
      <c r="F227" s="130"/>
      <c r="G227" s="138">
        <f>'Proposed Rates'!$I227</f>
        <v>3.9</v>
      </c>
      <c r="H227" s="145">
        <f t="shared" si="62"/>
        <v>1002345</v>
      </c>
      <c r="I227" s="130"/>
      <c r="J227" s="138">
        <f>'Proposed Rates'!$V227</f>
        <v>5</v>
      </c>
      <c r="K227" s="145">
        <f t="shared" si="63"/>
        <v>1285058</v>
      </c>
      <c r="L227" s="145">
        <f>K227-H227</f>
        <v>282713</v>
      </c>
      <c r="M227" s="852"/>
      <c r="N227" s="853">
        <f>L227-'Proposed Accrual 2020'!L227</f>
        <v>6978</v>
      </c>
      <c r="O227" s="487"/>
    </row>
    <row r="228" spans="1:15" x14ac:dyDescent="0.2">
      <c r="A228" s="140">
        <f>'Plant &amp; Reserve'!$A228</f>
        <v>34585</v>
      </c>
      <c r="B228" s="130" t="str">
        <f>'Plant &amp; Reserve'!$B228</f>
        <v>PK CT No. 5</v>
      </c>
      <c r="C228" s="130"/>
      <c r="D228" s="145">
        <f>IFERROR(VLOOKUP($A228,'2021 B-7'!C:R,14,FALSE),0)</f>
        <v>5465054.8999999994</v>
      </c>
      <c r="E228" s="145">
        <f>IFERROR(VLOOKUP($A228,'2021 B-9'!C:T,16,FALSE),0)</f>
        <v>3001039.111100005</v>
      </c>
      <c r="F228" s="130"/>
      <c r="G228" s="138">
        <f>'Proposed Rates'!$I228</f>
        <v>3.9</v>
      </c>
      <c r="H228" s="145">
        <f t="shared" si="62"/>
        <v>213137</v>
      </c>
      <c r="I228" s="130"/>
      <c r="J228" s="138">
        <f>'Proposed Rates'!$V228</f>
        <v>2.6</v>
      </c>
      <c r="K228" s="145">
        <f t="shared" si="63"/>
        <v>142091</v>
      </c>
      <c r="L228" s="145">
        <f>K228-H228</f>
        <v>-71046</v>
      </c>
      <c r="M228" s="852"/>
      <c r="N228" s="853">
        <f>L228-'Proposed Accrual 2020'!L228</f>
        <v>0</v>
      </c>
      <c r="O228" s="487"/>
    </row>
    <row r="229" spans="1:15" ht="15" x14ac:dyDescent="0.2">
      <c r="A229" s="140">
        <f>'Plant &amp; Reserve'!$A229</f>
        <v>34685</v>
      </c>
      <c r="B229" s="168" t="str">
        <f>'Plant &amp; Reserve'!$B229</f>
        <v>PK CT No. 5</v>
      </c>
      <c r="C229" s="130"/>
      <c r="D229" s="172">
        <f>IFERROR(VLOOKUP($A229,'2021 B-7'!C:R,14,FALSE),0)</f>
        <v>0</v>
      </c>
      <c r="E229" s="172">
        <f>IFERROR(VLOOKUP($A229,'2021 B-9'!C:T,16,FALSE),0)</f>
        <v>-7.0485839387401938E-12</v>
      </c>
      <c r="F229" s="130"/>
      <c r="G229" s="170">
        <f>'Proposed Rates'!$I229</f>
        <v>4.3</v>
      </c>
      <c r="H229" s="172">
        <f t="shared" si="62"/>
        <v>0</v>
      </c>
      <c r="I229" s="130"/>
      <c r="J229" s="170">
        <f>'Proposed Rates'!$V229</f>
        <v>3.6</v>
      </c>
      <c r="K229" s="171">
        <f t="shared" si="63"/>
        <v>0</v>
      </c>
      <c r="L229" s="171">
        <f>K229-H229</f>
        <v>0</v>
      </c>
      <c r="M229" s="852"/>
      <c r="N229" s="853">
        <f>L229-'Proposed Accrual 2020'!L229</f>
        <v>0</v>
      </c>
      <c r="O229" s="487"/>
    </row>
    <row r="230" spans="1:15" x14ac:dyDescent="0.2">
      <c r="A230" s="134"/>
      <c r="B230" s="128" t="s">
        <v>75</v>
      </c>
      <c r="C230" s="130"/>
      <c r="D230" s="173">
        <f>SUM(D225:D229)</f>
        <v>39747259.171999998</v>
      </c>
      <c r="E230" s="173">
        <f>SUM(E225:E229)</f>
        <v>8727145.6874300055</v>
      </c>
      <c r="F230" s="130"/>
      <c r="G230" s="177">
        <f>'Proposed Rates'!$I230</f>
        <v>3.8</v>
      </c>
      <c r="H230" s="173">
        <f>SUM(H225:H229)</f>
        <v>1449772</v>
      </c>
      <c r="I230" s="130"/>
      <c r="J230" s="177">
        <f>'Proposed Rates'!$V230</f>
        <v>4.0999999999999996</v>
      </c>
      <c r="K230" s="173">
        <f>SUM(K225:K229)</f>
        <v>1687182</v>
      </c>
      <c r="L230" s="173">
        <f>SUM(L225:L229)</f>
        <v>237410</v>
      </c>
      <c r="M230" s="852"/>
      <c r="N230" s="853">
        <f>L230-'Proposed Accrual 2020'!L230</f>
        <v>8881</v>
      </c>
      <c r="O230" s="487"/>
    </row>
    <row r="231" spans="1:15" x14ac:dyDescent="0.2">
      <c r="A231" s="200"/>
      <c r="B231" s="130"/>
      <c r="C231" s="130"/>
      <c r="D231" s="145"/>
      <c r="E231" s="145"/>
      <c r="F231" s="130"/>
      <c r="G231" s="177"/>
      <c r="H231" s="173"/>
      <c r="I231" s="130"/>
      <c r="J231" s="173"/>
      <c r="K231" s="173"/>
      <c r="L231" s="173"/>
      <c r="M231" s="130"/>
      <c r="N231" s="853">
        <f>L231-'Proposed Accrual 2020'!L231</f>
        <v>0</v>
      </c>
      <c r="O231" s="487"/>
    </row>
    <row r="232" spans="1:15" x14ac:dyDescent="0.2">
      <c r="A232" s="140">
        <f>'Plant &amp; Reserve'!$A232</f>
        <v>34186</v>
      </c>
      <c r="B232" s="130" t="str">
        <f>'Plant &amp; Reserve'!$B232</f>
        <v>PK CCST for CT 2-5</v>
      </c>
      <c r="C232" s="130"/>
      <c r="D232" s="145">
        <f>IFERROR(VLOOKUP($A232,'2021 B-7'!C:R,14,FALSE),0)</f>
        <v>13374554.049999999</v>
      </c>
      <c r="E232" s="145">
        <f>IFERROR(VLOOKUP($A232,'2021 B-9'!C:T,16,FALSE),0)</f>
        <v>3223366.6574499984</v>
      </c>
      <c r="F232" s="130"/>
      <c r="G232" s="138">
        <f>'Proposed Rates'!$I232</f>
        <v>2.9</v>
      </c>
      <c r="H232" s="145">
        <f t="shared" ref="H232:H236" si="64">ROUND(($D232*G232)/100,0)</f>
        <v>387862</v>
      </c>
      <c r="I232" s="130"/>
      <c r="J232" s="138">
        <f>'Proposed Rates'!$V232</f>
        <v>2.6</v>
      </c>
      <c r="K232" s="145">
        <f t="shared" ref="K232:K236" si="65">ROUND(($D232*J232)/100,0)</f>
        <v>347738</v>
      </c>
      <c r="L232" s="145">
        <f>K232-H232</f>
        <v>-40124</v>
      </c>
      <c r="M232" s="852"/>
      <c r="N232" s="853">
        <f>L232-'Proposed Accrual 2020'!L232</f>
        <v>0</v>
      </c>
      <c r="O232" s="487"/>
    </row>
    <row r="233" spans="1:15" x14ac:dyDescent="0.2">
      <c r="A233" s="140">
        <f>'Plant &amp; Reserve'!$A233</f>
        <v>34286</v>
      </c>
      <c r="B233" s="130" t="str">
        <f>'Plant &amp; Reserve'!$B233</f>
        <v>PK CCST for CT 2-5</v>
      </c>
      <c r="C233" s="130"/>
      <c r="D233" s="145">
        <f>IFERROR(VLOOKUP($A233,'2021 B-7'!C:R,14,FALSE),0)</f>
        <v>214649379.35999987</v>
      </c>
      <c r="E233" s="145">
        <f>IFERROR(VLOOKUP($A233,'2021 B-9'!C:T,16,FALSE),0)</f>
        <v>28947677.326706666</v>
      </c>
      <c r="F233" s="130"/>
      <c r="G233" s="138">
        <f>'Proposed Rates'!$I233</f>
        <v>2.9</v>
      </c>
      <c r="H233" s="145">
        <f t="shared" si="64"/>
        <v>6224832</v>
      </c>
      <c r="I233" s="130"/>
      <c r="J233" s="138">
        <f>'Proposed Rates'!$V233</f>
        <v>3</v>
      </c>
      <c r="K233" s="145">
        <f t="shared" si="65"/>
        <v>6439481</v>
      </c>
      <c r="L233" s="145">
        <f>K233-H233</f>
        <v>214649</v>
      </c>
      <c r="M233" s="852"/>
      <c r="N233" s="853">
        <f>L233-'Proposed Accrual 2020'!L233</f>
        <v>1043</v>
      </c>
      <c r="O233" s="487"/>
    </row>
    <row r="234" spans="1:15" x14ac:dyDescent="0.2">
      <c r="A234" s="140">
        <f>'Plant &amp; Reserve'!$A234</f>
        <v>34386</v>
      </c>
      <c r="B234" s="130" t="str">
        <f>'Plant &amp; Reserve'!$B234</f>
        <v>PK CCST for CT 2-5</v>
      </c>
      <c r="C234" s="130"/>
      <c r="D234" s="145">
        <f>IFERROR(VLOOKUP($A234,'2021 B-7'!C:R,14,FALSE),0)</f>
        <v>224652163.87999991</v>
      </c>
      <c r="E234" s="145">
        <f>IFERROR(VLOOKUP($A234,'2021 B-9'!C:T,16,FALSE),0)</f>
        <v>29993303.477786649</v>
      </c>
      <c r="F234" s="130"/>
      <c r="G234" s="138">
        <f>'Proposed Rates'!$I234</f>
        <v>2.9</v>
      </c>
      <c r="H234" s="145">
        <f t="shared" si="64"/>
        <v>6514913</v>
      </c>
      <c r="I234" s="130"/>
      <c r="J234" s="138">
        <f>'Proposed Rates'!$V234</f>
        <v>3.1</v>
      </c>
      <c r="K234" s="145">
        <f t="shared" si="65"/>
        <v>6964217</v>
      </c>
      <c r="L234" s="145">
        <f>K234-H234</f>
        <v>449304</v>
      </c>
      <c r="M234" s="852"/>
      <c r="N234" s="853">
        <f>L234-'Proposed Accrual 2020'!L234</f>
        <v>2086</v>
      </c>
      <c r="O234" s="487"/>
    </row>
    <row r="235" spans="1:15" x14ac:dyDescent="0.2">
      <c r="A235" s="140">
        <f>'Plant &amp; Reserve'!$A235</f>
        <v>34586</v>
      </c>
      <c r="B235" s="130" t="str">
        <f>'Plant &amp; Reserve'!$B235</f>
        <v>PK CCST for CT 2-5</v>
      </c>
      <c r="C235" s="130"/>
      <c r="D235" s="145">
        <f>IFERROR(VLOOKUP($A235,'2021 B-7'!C:R,14,FALSE),0)</f>
        <v>18335993.590000004</v>
      </c>
      <c r="E235" s="145">
        <f>IFERROR(VLOOKUP($A235,'2021 B-9'!C:T,16,FALSE),0)</f>
        <v>2926000.0241100015</v>
      </c>
      <c r="F235" s="130"/>
      <c r="G235" s="138">
        <f>'Proposed Rates'!$I235</f>
        <v>2.9</v>
      </c>
      <c r="H235" s="145">
        <f t="shared" si="64"/>
        <v>531744</v>
      </c>
      <c r="I235" s="130"/>
      <c r="J235" s="138">
        <f>'Proposed Rates'!$V235</f>
        <v>3</v>
      </c>
      <c r="K235" s="145">
        <f t="shared" si="65"/>
        <v>550080</v>
      </c>
      <c r="L235" s="145">
        <f>K235-H235</f>
        <v>18336</v>
      </c>
      <c r="M235" s="852"/>
      <c r="N235" s="853">
        <f>L235-'Proposed Accrual 2020'!L235</f>
        <v>0</v>
      </c>
      <c r="O235" s="487"/>
    </row>
    <row r="236" spans="1:15" ht="15" x14ac:dyDescent="0.2">
      <c r="A236" s="140">
        <f>'Plant &amp; Reserve'!$A236</f>
        <v>34686</v>
      </c>
      <c r="B236" s="168" t="str">
        <f>'Plant &amp; Reserve'!$B236</f>
        <v>PK CCST for CT 2-5</v>
      </c>
      <c r="C236" s="130"/>
      <c r="D236" s="172">
        <f>IFERROR(VLOOKUP($A236,'2021 B-7'!C:R,14,FALSE),0)</f>
        <v>141626.41</v>
      </c>
      <c r="E236" s="172">
        <f>IFERROR(VLOOKUP($A236,'2021 B-9'!C:T,16,FALSE),0)</f>
        <v>18139.825890000007</v>
      </c>
      <c r="F236" s="130"/>
      <c r="G236" s="170">
        <f>'Proposed Rates'!$I236</f>
        <v>2.9</v>
      </c>
      <c r="H236" s="172">
        <f t="shared" si="64"/>
        <v>4107</v>
      </c>
      <c r="I236" s="130"/>
      <c r="J236" s="170">
        <f>'Proposed Rates'!$V236</f>
        <v>3</v>
      </c>
      <c r="K236" s="171">
        <f t="shared" si="65"/>
        <v>4249</v>
      </c>
      <c r="L236" s="171">
        <f>K236-H236</f>
        <v>142</v>
      </c>
      <c r="M236" s="852"/>
      <c r="N236" s="853">
        <f>L236-'Proposed Accrual 2020'!L236</f>
        <v>0</v>
      </c>
      <c r="O236" s="487"/>
    </row>
    <row r="237" spans="1:15" x14ac:dyDescent="0.2">
      <c r="A237" s="134"/>
      <c r="B237" s="128" t="s">
        <v>75</v>
      </c>
      <c r="C237" s="130"/>
      <c r="D237" s="173">
        <f>SUM(D232:D236)</f>
        <v>471153717.28999978</v>
      </c>
      <c r="E237" s="173">
        <f>SUM(E232:E236)</f>
        <v>65108487.311943315</v>
      </c>
      <c r="F237" s="130"/>
      <c r="G237" s="177">
        <f>'Proposed Rates'!$I237</f>
        <v>2.9</v>
      </c>
      <c r="H237" s="173">
        <f>SUM(H232:H236)</f>
        <v>13663458</v>
      </c>
      <c r="I237" s="130"/>
      <c r="J237" s="177">
        <f>'Proposed Rates'!$V237</f>
        <v>3.1</v>
      </c>
      <c r="K237" s="173">
        <f>SUM(K232:K236)</f>
        <v>14305765</v>
      </c>
      <c r="L237" s="173">
        <f>SUM(L232:L236)</f>
        <v>642307</v>
      </c>
      <c r="M237" s="852"/>
      <c r="N237" s="853">
        <f>L237-'Proposed Accrual 2020'!L237</f>
        <v>3129</v>
      </c>
      <c r="O237" s="487"/>
    </row>
    <row r="238" spans="1:15" x14ac:dyDescent="0.2">
      <c r="A238" s="134"/>
      <c r="B238" s="128"/>
      <c r="C238" s="130"/>
      <c r="D238" s="173"/>
      <c r="E238" s="173"/>
      <c r="F238" s="130"/>
      <c r="G238" s="177"/>
      <c r="H238" s="173"/>
      <c r="I238" s="173"/>
      <c r="J238" s="173"/>
      <c r="K238" s="173"/>
      <c r="L238" s="173"/>
      <c r="M238" s="852"/>
      <c r="N238" s="853">
        <f>L238-'Proposed Accrual 2020'!L238</f>
        <v>0</v>
      </c>
      <c r="O238" s="487"/>
    </row>
    <row r="239" spans="1:15" x14ac:dyDescent="0.2">
      <c r="A239" s="140">
        <f>'Plant &amp; Reserve'!$A239</f>
        <v>34687</v>
      </c>
      <c r="B239" s="130" t="str">
        <f>'Plant &amp; Reserve'!$B239</f>
        <v>Polk Amortizable Tools</v>
      </c>
      <c r="C239" s="130"/>
      <c r="D239" s="145">
        <f>IFERROR(VLOOKUP($A239,'2021 B-7'!C:R,14,FALSE),0)</f>
        <v>771104.75000000023</v>
      </c>
      <c r="E239" s="145">
        <f>IFERROR(VLOOKUP($A239,'2021 B-9'!C:T,16,FALSE),0)</f>
        <v>220402.51004000026</v>
      </c>
      <c r="F239" s="130"/>
      <c r="G239" s="138">
        <f>'Proposed Rates'!$I239</f>
        <v>14.3</v>
      </c>
      <c r="H239" s="145">
        <f t="shared" ref="H239" si="66">ROUND(($D239*G239)/100,0)</f>
        <v>110268</v>
      </c>
      <c r="I239" s="130"/>
      <c r="J239" s="138">
        <f>'Proposed Rates'!$V239</f>
        <v>14.3</v>
      </c>
      <c r="K239" s="145">
        <f t="shared" ref="K239" si="67">ROUND(($D239*J239)/100,0)</f>
        <v>110268</v>
      </c>
      <c r="L239" s="145">
        <f>K239-H239</f>
        <v>0</v>
      </c>
      <c r="M239" s="852"/>
      <c r="N239" s="853">
        <f>L239-'Proposed Accrual 2020'!L239</f>
        <v>0</v>
      </c>
      <c r="O239" s="487"/>
    </row>
    <row r="240" spans="1:15" x14ac:dyDescent="0.2">
      <c r="A240" s="134"/>
      <c r="B240" s="130"/>
      <c r="C240" s="130"/>
      <c r="D240" s="145"/>
      <c r="E240" s="145"/>
      <c r="F240" s="130"/>
      <c r="G240" s="138"/>
      <c r="H240" s="145"/>
      <c r="I240" s="145"/>
      <c r="J240" s="145"/>
      <c r="K240" s="145"/>
      <c r="L240" s="145"/>
      <c r="M240" s="852"/>
      <c r="N240" s="853">
        <f>L240-'Proposed Accrual 2020'!L240</f>
        <v>0</v>
      </c>
      <c r="O240" s="487"/>
    </row>
    <row r="241" spans="1:15" x14ac:dyDescent="0.2">
      <c r="A241" s="140">
        <f>'Plant &amp; Reserve'!$A241</f>
        <v>34287</v>
      </c>
      <c r="B241" s="130" t="str">
        <f>'Plant &amp; Reserve'!$B241</f>
        <v>Polk 1 Fuel Clause</v>
      </c>
      <c r="C241" s="130"/>
      <c r="D241" s="145">
        <f>IFERROR(VLOOKUP($A241,'2021 B-7'!C:R,14,FALSE),0)</f>
        <v>4.4383341446518898E-10</v>
      </c>
      <c r="E241" s="145">
        <f>IFERROR(VLOOKUP($A241,'2021 B-9'!C:T,16,FALSE),0)</f>
        <v>925.32000001340373</v>
      </c>
      <c r="F241" s="130"/>
      <c r="G241" s="138">
        <f>'Proposed Rates'!$I241</f>
        <v>20</v>
      </c>
      <c r="H241" s="145">
        <f t="shared" ref="H241" si="68">ROUND(($D241*G241)/100,0)</f>
        <v>0</v>
      </c>
      <c r="I241" s="130"/>
      <c r="J241" s="138">
        <f>'Proposed Rates'!$V241</f>
        <v>20</v>
      </c>
      <c r="K241" s="145">
        <f t="shared" ref="K241" si="69">ROUND(($D241*J241)/100,0)</f>
        <v>0</v>
      </c>
      <c r="L241" s="145">
        <f>K241-H241</f>
        <v>0</v>
      </c>
      <c r="M241" s="852"/>
      <c r="N241" s="853">
        <f>L241-'Proposed Accrual 2020'!L241</f>
        <v>0</v>
      </c>
      <c r="O241" s="487"/>
    </row>
    <row r="242" spans="1:15" ht="13.5" thickBot="1" x14ac:dyDescent="0.25">
      <c r="A242" s="182"/>
      <c r="B242" s="182"/>
      <c r="C242" s="130"/>
      <c r="D242" s="145"/>
      <c r="E242" s="145"/>
      <c r="F242" s="130"/>
      <c r="G242" s="138"/>
      <c r="H242" s="145"/>
      <c r="I242" s="130"/>
      <c r="J242" s="138"/>
      <c r="K242" s="145"/>
      <c r="L242" s="145"/>
      <c r="M242" s="130"/>
      <c r="N242" s="853">
        <f>L242-'Proposed Accrual 2020'!L242</f>
        <v>0</v>
      </c>
      <c r="O242" s="487"/>
    </row>
    <row r="243" spans="1:15" ht="19.5" customHeight="1" thickTop="1" thickBot="1" x14ac:dyDescent="0.25">
      <c r="A243" s="494"/>
      <c r="B243" s="384"/>
      <c r="C243" s="130"/>
      <c r="D243" s="196">
        <f>SUM(D195,D202,D209,D216,D223,D230,D237,D239,D241)</f>
        <v>1411214478.7620003</v>
      </c>
      <c r="E243" s="196">
        <f>SUM(E195,E202,E209,E216,E223,E230,E237,E239,E241)</f>
        <v>454709735.24119323</v>
      </c>
      <c r="F243" s="130"/>
      <c r="G243" s="826">
        <f>IF($D243=0,0,H243/$D243*100)</f>
        <v>3.194213046874657</v>
      </c>
      <c r="H243" s="196">
        <f>SUM(H195,H202,H209,H216,H223,H230,H237,H239,H241)</f>
        <v>45077197</v>
      </c>
      <c r="I243" s="130"/>
      <c r="J243" s="826">
        <f>IF($D243=0,0,K243/$D243*100)</f>
        <v>3.5829198722760087</v>
      </c>
      <c r="K243" s="196">
        <f>SUM(K195,K202,K209,K216,K223,K230,K237,K239,K241)</f>
        <v>50562684</v>
      </c>
      <c r="L243" s="196">
        <f>SUM(L195,L202,L209,L216,L223,L230,L237,L239,L241)</f>
        <v>5485487</v>
      </c>
      <c r="M243" s="130"/>
      <c r="N243" s="853">
        <f>L243-'Proposed Accrual 2020'!L243</f>
        <v>105993</v>
      </c>
      <c r="O243" s="487"/>
    </row>
    <row r="244" spans="1:15" ht="13.5" thickTop="1" x14ac:dyDescent="0.2">
      <c r="A244" s="200"/>
      <c r="B244" s="130"/>
      <c r="C244" s="130"/>
      <c r="D244" s="145"/>
      <c r="E244" s="145"/>
      <c r="F244" s="130"/>
      <c r="G244" s="138"/>
      <c r="H244" s="145"/>
      <c r="I244" s="130"/>
      <c r="J244" s="138"/>
      <c r="K244" s="145"/>
      <c r="L244" s="145"/>
      <c r="M244" s="130"/>
      <c r="N244" s="853">
        <f>L244-'Proposed Accrual 2020'!L244</f>
        <v>0</v>
      </c>
      <c r="O244" s="487"/>
    </row>
    <row r="245" spans="1:15" x14ac:dyDescent="0.2">
      <c r="A245" s="200"/>
      <c r="B245" s="202" t="s">
        <v>861</v>
      </c>
      <c r="C245" s="130"/>
      <c r="D245" s="145"/>
      <c r="E245" s="145"/>
      <c r="F245" s="130"/>
      <c r="G245" s="138"/>
      <c r="H245" s="145"/>
      <c r="I245" s="130"/>
      <c r="J245" s="138"/>
      <c r="K245" s="145"/>
      <c r="L245" s="145"/>
      <c r="M245" s="130"/>
      <c r="N245" s="853">
        <f>L245-'Proposed Accrual 2020'!L245</f>
        <v>0</v>
      </c>
      <c r="O245" s="487"/>
    </row>
    <row r="246" spans="1:15" x14ac:dyDescent="0.2">
      <c r="A246" s="200"/>
      <c r="B246" s="130"/>
      <c r="C246" s="130"/>
      <c r="D246" s="145"/>
      <c r="E246" s="145"/>
      <c r="F246" s="130"/>
      <c r="G246" s="138"/>
      <c r="H246" s="145"/>
      <c r="I246" s="130"/>
      <c r="J246" s="138"/>
      <c r="K246" s="145"/>
      <c r="L246" s="145"/>
      <c r="M246" s="130"/>
      <c r="N246" s="853">
        <f>L246-'Proposed Accrual 2020'!L246</f>
        <v>0</v>
      </c>
      <c r="O246" s="487"/>
    </row>
    <row r="247" spans="1:15" x14ac:dyDescent="0.2">
      <c r="A247" s="140">
        <f>'Plant &amp; Reserve'!$A247</f>
        <v>34199</v>
      </c>
      <c r="B247" s="130" t="str">
        <f>'Plant &amp; Reserve'!$B247</f>
        <v>Solar Sites</v>
      </c>
      <c r="C247" s="130"/>
      <c r="D247" s="145">
        <f>IFERROR(VLOOKUP($A247,'2021 B-7'!C:R,14,FALSE),0)</f>
        <v>224151489.55999994</v>
      </c>
      <c r="E247" s="145">
        <f>IFERROR(VLOOKUP($A247,'2021 B-9'!C:T,16,FALSE),0)</f>
        <v>20527438.69548</v>
      </c>
      <c r="F247" s="130"/>
      <c r="G247" s="138">
        <f>'Proposed Rates'!$I247</f>
        <v>3.3</v>
      </c>
      <c r="H247" s="145">
        <f t="shared" ref="H247:H252" si="70">ROUND(($D247*G247)/100,0)</f>
        <v>7396999</v>
      </c>
      <c r="I247" s="130"/>
      <c r="J247" s="138">
        <f>'Proposed Rates'!$V247</f>
        <v>3.3</v>
      </c>
      <c r="K247" s="145">
        <f t="shared" ref="K247:K252" si="71">ROUND(($D247*J247)/100,0)</f>
        <v>7396999</v>
      </c>
      <c r="L247" s="145">
        <f t="shared" ref="L247:L252" si="72">K247-H247</f>
        <v>0</v>
      </c>
      <c r="M247" s="130"/>
      <c r="N247" s="853">
        <f>L247-'Proposed Accrual 2020'!L247</f>
        <v>0</v>
      </c>
      <c r="O247" s="487"/>
    </row>
    <row r="248" spans="1:15" x14ac:dyDescent="0.2">
      <c r="A248" s="140">
        <f>'Plant &amp; Reserve'!$A248</f>
        <v>34299</v>
      </c>
      <c r="B248" s="130" t="str">
        <f>'Plant &amp; Reserve'!$B248</f>
        <v>Solar Sites</v>
      </c>
      <c r="C248" s="130"/>
      <c r="D248" s="145">
        <f>IFERROR(VLOOKUP($A248,'2021 B-7'!C:R,14,FALSE),0)</f>
        <v>0</v>
      </c>
      <c r="E248" s="145">
        <f>IFERROR(VLOOKUP($A248,'2021 B-9'!C:T,16,FALSE),0)</f>
        <v>0</v>
      </c>
      <c r="F248" s="130"/>
      <c r="G248" s="138">
        <f>'Proposed Rates'!$I248</f>
        <v>3.3</v>
      </c>
      <c r="H248" s="145">
        <f t="shared" si="70"/>
        <v>0</v>
      </c>
      <c r="I248" s="130"/>
      <c r="J248" s="138">
        <f>'Proposed Rates'!$V248</f>
        <v>3.3</v>
      </c>
      <c r="K248" s="145">
        <f t="shared" si="71"/>
        <v>0</v>
      </c>
      <c r="L248" s="145">
        <f t="shared" si="72"/>
        <v>0</v>
      </c>
      <c r="M248" s="130"/>
      <c r="N248" s="853">
        <f>L248-'Proposed Accrual 2020'!L248</f>
        <v>0</v>
      </c>
      <c r="O248" s="487"/>
    </row>
    <row r="249" spans="1:15" x14ac:dyDescent="0.2">
      <c r="A249" s="140">
        <f>'Plant &amp; Reserve'!$A249</f>
        <v>34399</v>
      </c>
      <c r="B249" s="130" t="str">
        <f>'Plant &amp; Reserve'!$B249</f>
        <v>Solar Sites</v>
      </c>
      <c r="C249" s="130"/>
      <c r="D249" s="145">
        <f>IFERROR(VLOOKUP($A249,'2021 B-7'!C:R,14,FALSE),0)</f>
        <v>714172643.09000015</v>
      </c>
      <c r="E249" s="145">
        <f>IFERROR(VLOOKUP($A249,'2021 B-9'!C:T,16,FALSE),0)</f>
        <v>36762011.534097508</v>
      </c>
      <c r="F249" s="130"/>
      <c r="G249" s="138">
        <f>'Proposed Rates'!$I249</f>
        <v>3.3</v>
      </c>
      <c r="H249" s="145">
        <f t="shared" si="70"/>
        <v>23567697</v>
      </c>
      <c r="I249" s="130"/>
      <c r="J249" s="138">
        <f>'Proposed Rates'!$V249</f>
        <v>3.3</v>
      </c>
      <c r="K249" s="145">
        <f t="shared" si="71"/>
        <v>23567697</v>
      </c>
      <c r="L249" s="145">
        <f t="shared" si="72"/>
        <v>0</v>
      </c>
      <c r="M249" s="130"/>
      <c r="N249" s="853">
        <f>L249-'Proposed Accrual 2020'!L249</f>
        <v>0</v>
      </c>
      <c r="O249" s="487"/>
    </row>
    <row r="250" spans="1:15" x14ac:dyDescent="0.2">
      <c r="A250" s="140">
        <f>'Plant &amp; Reserve'!$A250</f>
        <v>34599</v>
      </c>
      <c r="B250" s="130" t="str">
        <f>'Plant &amp; Reserve'!$B250</f>
        <v>Solar Sites</v>
      </c>
      <c r="C250" s="130"/>
      <c r="D250" s="145">
        <f>IFERROR(VLOOKUP($A250,'2021 B-7'!C:R,14,FALSE),0)</f>
        <v>167518681.77000001</v>
      </c>
      <c r="E250" s="145">
        <f>IFERROR(VLOOKUP($A250,'2021 B-9'!C:T,16,FALSE),0)</f>
        <v>13718258.118410002</v>
      </c>
      <c r="F250" s="130"/>
      <c r="G250" s="138">
        <f>'Proposed Rates'!$I250</f>
        <v>3.3</v>
      </c>
      <c r="H250" s="145">
        <f t="shared" si="70"/>
        <v>5528116</v>
      </c>
      <c r="I250" s="130"/>
      <c r="J250" s="138">
        <f>'Proposed Rates'!$V250</f>
        <v>3.3</v>
      </c>
      <c r="K250" s="145">
        <f t="shared" si="71"/>
        <v>5528116</v>
      </c>
      <c r="L250" s="145">
        <f t="shared" si="72"/>
        <v>0</v>
      </c>
      <c r="M250" s="130"/>
      <c r="N250" s="853">
        <f>L250-'Proposed Accrual 2020'!L250</f>
        <v>0</v>
      </c>
      <c r="O250" s="487"/>
    </row>
    <row r="251" spans="1:15" x14ac:dyDescent="0.2">
      <c r="A251" s="140">
        <f>'Plant &amp; Reserve'!$A251</f>
        <v>34699</v>
      </c>
      <c r="B251" s="130" t="str">
        <f>'Plant &amp; Reserve'!$B251</f>
        <v>Solar Sites</v>
      </c>
      <c r="C251" s="130"/>
      <c r="D251" s="145">
        <f>IFERROR(VLOOKUP($A251,'2021 B-7'!C:R,14,FALSE),0)</f>
        <v>0</v>
      </c>
      <c r="E251" s="145">
        <f>IFERROR(VLOOKUP($A251,'2021 B-9'!C:T,16,FALSE),0)</f>
        <v>0</v>
      </c>
      <c r="F251" s="130"/>
      <c r="G251" s="138">
        <f>'Proposed Rates'!$I251</f>
        <v>3.3</v>
      </c>
      <c r="H251" s="145">
        <f t="shared" si="70"/>
        <v>0</v>
      </c>
      <c r="I251" s="130"/>
      <c r="J251" s="138">
        <f>'Proposed Rates'!$V251</f>
        <v>3.3</v>
      </c>
      <c r="K251" s="145">
        <f t="shared" si="71"/>
        <v>0</v>
      </c>
      <c r="L251" s="145">
        <f t="shared" si="72"/>
        <v>0</v>
      </c>
      <c r="M251" s="130"/>
      <c r="N251" s="853">
        <f>L251-'Proposed Accrual 2020'!L251</f>
        <v>0</v>
      </c>
      <c r="O251" s="487"/>
    </row>
    <row r="252" spans="1:15" ht="15" x14ac:dyDescent="0.2">
      <c r="A252" s="140">
        <f>'Plant &amp; Reserve'!$A252</f>
        <v>34899</v>
      </c>
      <c r="B252" s="168" t="str">
        <f>'Plant &amp; Reserve'!$B252</f>
        <v>Solar Sites</v>
      </c>
      <c r="C252" s="130"/>
      <c r="D252" s="172">
        <f>IFERROR(VLOOKUP($A252,'2021 B-7'!C:R,14,FALSE),0)</f>
        <v>9473273.8499999996</v>
      </c>
      <c r="E252" s="172">
        <f>IFERROR(VLOOKUP($A252,'2021 B-9'!C:T,16,FALSE),0)</f>
        <v>1219181.9549999998</v>
      </c>
      <c r="F252" s="130"/>
      <c r="G252" s="170">
        <f>'Proposed Rates'!$I252</f>
        <v>10</v>
      </c>
      <c r="H252" s="172">
        <f t="shared" si="70"/>
        <v>947327</v>
      </c>
      <c r="I252" s="130"/>
      <c r="J252" s="170">
        <f>'Proposed Rates'!$V252</f>
        <v>10</v>
      </c>
      <c r="K252" s="171">
        <f t="shared" si="71"/>
        <v>947327</v>
      </c>
      <c r="L252" s="171">
        <f t="shared" si="72"/>
        <v>0</v>
      </c>
      <c r="M252" s="130"/>
      <c r="N252" s="853">
        <f>L252-'Proposed Accrual 2020'!L252</f>
        <v>0</v>
      </c>
      <c r="O252" s="487"/>
    </row>
    <row r="253" spans="1:15" x14ac:dyDescent="0.2">
      <c r="A253" s="134"/>
      <c r="B253" s="128" t="s">
        <v>75</v>
      </c>
      <c r="C253" s="130"/>
      <c r="D253" s="173">
        <f>SUM(D247:D252)</f>
        <v>1115316088.27</v>
      </c>
      <c r="E253" s="173">
        <f>SUM(E247:E252)</f>
        <v>72226890.302987516</v>
      </c>
      <c r="F253" s="130"/>
      <c r="G253" s="177">
        <f>'Proposed Rates'!$I253</f>
        <v>3.3</v>
      </c>
      <c r="H253" s="173">
        <f>SUM(H247:H252)</f>
        <v>37440139</v>
      </c>
      <c r="I253" s="130"/>
      <c r="J253" s="177">
        <f>'Proposed Rates'!$V253</f>
        <v>3.3</v>
      </c>
      <c r="K253" s="173">
        <f>SUM(K247:K252)</f>
        <v>37440139</v>
      </c>
      <c r="L253" s="173">
        <f>SUM(L247:L252)</f>
        <v>0</v>
      </c>
      <c r="M253" s="130"/>
      <c r="N253" s="853">
        <f>L253-'Proposed Accrual 2020'!L253</f>
        <v>0</v>
      </c>
      <c r="O253" s="487"/>
    </row>
    <row r="254" spans="1:15" ht="13.5" thickBot="1" x14ac:dyDescent="0.25">
      <c r="A254" s="182"/>
      <c r="B254" s="182"/>
      <c r="C254" s="130"/>
      <c r="D254" s="145"/>
      <c r="E254" s="145"/>
      <c r="F254" s="130"/>
      <c r="G254" s="138"/>
      <c r="H254" s="145"/>
      <c r="I254" s="130"/>
      <c r="J254" s="138"/>
      <c r="K254" s="145"/>
      <c r="L254" s="145"/>
      <c r="M254" s="130"/>
      <c r="N254" s="853">
        <f>L254-'Proposed Accrual 2020'!L254</f>
        <v>0</v>
      </c>
      <c r="O254" s="487"/>
    </row>
    <row r="255" spans="1:15" ht="19.5" customHeight="1" thickTop="1" thickBot="1" x14ac:dyDescent="0.25">
      <c r="A255" s="494"/>
      <c r="B255" s="384"/>
      <c r="C255" s="130"/>
      <c r="D255" s="196">
        <f>D253</f>
        <v>1115316088.27</v>
      </c>
      <c r="E255" s="196">
        <f>E253</f>
        <v>72226890.302987516</v>
      </c>
      <c r="F255" s="130"/>
      <c r="G255" s="826">
        <f>IF($D255=0,0,H255/$D255*100)</f>
        <v>3.3569083593221105</v>
      </c>
      <c r="H255" s="196">
        <f>H253</f>
        <v>37440139</v>
      </c>
      <c r="I255" s="130"/>
      <c r="J255" s="826">
        <f>IF($D255=0,0,K255/$D255*100)</f>
        <v>3.3569083593221105</v>
      </c>
      <c r="K255" s="196">
        <f>K253</f>
        <v>37440139</v>
      </c>
      <c r="L255" s="196">
        <f>L253</f>
        <v>0</v>
      </c>
      <c r="M255" s="130"/>
      <c r="N255" s="853">
        <f>L255-'Proposed Accrual 2020'!L255</f>
        <v>0</v>
      </c>
      <c r="O255" s="487"/>
    </row>
    <row r="256" spans="1:15" ht="13.5" thickTop="1" x14ac:dyDescent="0.2">
      <c r="A256" s="200"/>
      <c r="B256" s="800"/>
      <c r="C256" s="130"/>
      <c r="D256" s="145"/>
      <c r="E256" s="145"/>
      <c r="F256" s="130"/>
      <c r="G256" s="138"/>
      <c r="H256" s="145"/>
      <c r="I256" s="130"/>
      <c r="J256" s="138"/>
      <c r="K256" s="145"/>
      <c r="L256" s="145"/>
      <c r="M256" s="130"/>
      <c r="N256" s="853">
        <f>L256-'Proposed Accrual 2020'!L256</f>
        <v>0</v>
      </c>
      <c r="O256" s="487"/>
    </row>
    <row r="257" spans="1:15" ht="13.5" thickBot="1" x14ac:dyDescent="0.25">
      <c r="A257" s="203"/>
      <c r="B257" s="807"/>
      <c r="C257" s="130"/>
      <c r="D257" s="204"/>
      <c r="E257" s="204"/>
      <c r="F257" s="130"/>
      <c r="G257" s="205" t="s">
        <v>60</v>
      </c>
      <c r="H257" s="204"/>
      <c r="I257" s="130"/>
      <c r="J257" s="206"/>
      <c r="K257" s="204"/>
      <c r="L257" s="204"/>
      <c r="M257" s="143"/>
      <c r="N257" s="853">
        <f>L257-'Proposed Accrual 2020'!L257</f>
        <v>0</v>
      </c>
      <c r="O257" s="487"/>
    </row>
    <row r="258" spans="1:15" ht="19.5" customHeight="1" thickTop="1" thickBot="1" x14ac:dyDescent="0.25">
      <c r="A258" s="808"/>
      <c r="B258" s="802"/>
      <c r="C258" s="130"/>
      <c r="D258" s="192">
        <f>SUM(D131,D186,D243,D255)</f>
        <v>4068194639.5499997</v>
      </c>
      <c r="E258" s="192">
        <f>SUM(E131,E186,E243,E255)</f>
        <v>959187679.19083953</v>
      </c>
      <c r="F258" s="130"/>
      <c r="G258" s="829">
        <f>IF($D258=0,0,H258/$D258*100)</f>
        <v>3.32193567353377</v>
      </c>
      <c r="H258" s="192">
        <f>SUM(H131,H186,H243,H255)</f>
        <v>135142809</v>
      </c>
      <c r="I258" s="130"/>
      <c r="J258" s="829">
        <f>IF($D258=0,0,K258/$D258*100)</f>
        <v>3.7964024262389722</v>
      </c>
      <c r="K258" s="192">
        <f>SUM(K131,K186,K243,K255)</f>
        <v>154445040</v>
      </c>
      <c r="L258" s="192">
        <f>SUM(L131,L186,L243,L255)</f>
        <v>19302231</v>
      </c>
      <c r="M258" s="143"/>
      <c r="N258" s="853">
        <f>L258-'Proposed Accrual 2020'!L258</f>
        <v>402672</v>
      </c>
      <c r="O258" s="487"/>
    </row>
    <row r="259" spans="1:15" ht="13.5" thickTop="1" x14ac:dyDescent="0.2">
      <c r="A259" s="208"/>
      <c r="B259" s="387"/>
      <c r="C259" s="130"/>
      <c r="D259" s="145"/>
      <c r="E259" s="145"/>
      <c r="F259" s="130"/>
      <c r="G259" s="179" t="s">
        <v>60</v>
      </c>
      <c r="H259" s="145"/>
      <c r="I259" s="130"/>
      <c r="J259" s="179" t="s">
        <v>60</v>
      </c>
      <c r="K259" s="145"/>
      <c r="L259" s="145"/>
      <c r="M259" s="143"/>
      <c r="N259" s="853">
        <f>L259-'Proposed Accrual 2020'!L259</f>
        <v>0</v>
      </c>
      <c r="O259" s="487"/>
    </row>
    <row r="260" spans="1:15" x14ac:dyDescent="0.2">
      <c r="A260" s="208"/>
      <c r="B260" s="469" t="s">
        <v>1122</v>
      </c>
      <c r="C260" s="130"/>
      <c r="D260" s="145"/>
      <c r="E260" s="145"/>
      <c r="F260" s="130"/>
      <c r="G260" s="179"/>
      <c r="H260" s="145"/>
      <c r="I260" s="130"/>
      <c r="J260" s="179"/>
      <c r="K260" s="145"/>
      <c r="L260" s="145"/>
      <c r="M260" s="143"/>
      <c r="N260" s="853">
        <f>L260-'Proposed Accrual 2020'!L260</f>
        <v>0</v>
      </c>
      <c r="O260" s="487"/>
    </row>
    <row r="261" spans="1:15" x14ac:dyDescent="0.2">
      <c r="A261" s="208"/>
      <c r="B261" s="387"/>
      <c r="C261" s="130"/>
      <c r="D261" s="145"/>
      <c r="E261" s="145"/>
      <c r="F261" s="130"/>
      <c r="G261" s="179"/>
      <c r="H261" s="145"/>
      <c r="I261" s="130"/>
      <c r="J261" s="179"/>
      <c r="K261" s="145"/>
      <c r="L261" s="145"/>
      <c r="M261" s="143"/>
      <c r="N261" s="853">
        <f>L261-'Proposed Accrual 2020'!L261</f>
        <v>0</v>
      </c>
      <c r="O261" s="487"/>
    </row>
    <row r="262" spans="1:15" x14ac:dyDescent="0.2">
      <c r="A262" s="140">
        <f>'Plant &amp; Reserve'!$A262</f>
        <v>31700</v>
      </c>
      <c r="B262" s="130" t="str">
        <f>'Plant &amp; Reserve'!$B262</f>
        <v>Various Sites</v>
      </c>
      <c r="C262" s="130"/>
      <c r="D262" s="145">
        <f>IFERROR(VLOOKUP($A262,'2021 B-7'!C:R,14,FALSE),0)</f>
        <v>30036948.829999991</v>
      </c>
      <c r="E262" s="145">
        <f>IFERROR(VLOOKUP($A262,'2021 B-9'!C:T,16,FALSE),0)</f>
        <v>25465562.009999994</v>
      </c>
      <c r="F262" s="130"/>
      <c r="G262" s="830">
        <f>ROUND(417848.1*12/D262*100,1)</f>
        <v>16.7</v>
      </c>
      <c r="H262" s="145">
        <f t="shared" ref="H262:H263" si="73">ROUND(($D262*G262)/100,0)</f>
        <v>5016170</v>
      </c>
      <c r="I262" s="130"/>
      <c r="J262" s="830">
        <f>G262</f>
        <v>16.7</v>
      </c>
      <c r="K262" s="145">
        <f>ROUND(($D262*J262)/100,0)</f>
        <v>5016170</v>
      </c>
      <c r="L262" s="145">
        <f>K262-H262</f>
        <v>0</v>
      </c>
      <c r="M262" s="143"/>
      <c r="N262" s="853">
        <f>L262-'Proposed Accrual 2020'!L262</f>
        <v>0</v>
      </c>
      <c r="O262" s="487"/>
    </row>
    <row r="263" spans="1:15" ht="15" x14ac:dyDescent="0.2">
      <c r="A263" s="140">
        <f>'Plant &amp; Reserve'!$A263</f>
        <v>34700</v>
      </c>
      <c r="B263" s="168" t="str">
        <f>'Plant &amp; Reserve'!$B263</f>
        <v>Various Sites</v>
      </c>
      <c r="C263" s="130"/>
      <c r="D263" s="172">
        <f>IFERROR(VLOOKUP($A263,'2021 B-7'!C:R,14,FALSE),0)</f>
        <v>9476131.6199999992</v>
      </c>
      <c r="E263" s="172">
        <f>IFERROR(VLOOKUP($A263,'2021 B-9'!C:T,16,FALSE),0)</f>
        <v>753821.97000000032</v>
      </c>
      <c r="F263" s="130"/>
      <c r="G263" s="779">
        <f>ROUND(5361.15*12/D263*100,1)</f>
        <v>0.7</v>
      </c>
      <c r="H263" s="172">
        <f t="shared" si="73"/>
        <v>66333</v>
      </c>
      <c r="I263" s="130"/>
      <c r="J263" s="779">
        <f>G263</f>
        <v>0.7</v>
      </c>
      <c r="K263" s="171">
        <f>ROUND(($D263*J263)/100,0)</f>
        <v>66333</v>
      </c>
      <c r="L263" s="171">
        <f>K263-H263</f>
        <v>0</v>
      </c>
      <c r="M263" s="143"/>
      <c r="N263" s="853">
        <f>L263-'Proposed Accrual 2020'!L263</f>
        <v>0</v>
      </c>
      <c r="O263" s="487"/>
    </row>
    <row r="264" spans="1:15" x14ac:dyDescent="0.2">
      <c r="A264" s="208"/>
      <c r="B264" s="128" t="s">
        <v>75</v>
      </c>
      <c r="C264" s="130"/>
      <c r="D264" s="173">
        <f>SUM(D262:D263)</f>
        <v>39513080.449999988</v>
      </c>
      <c r="E264" s="173">
        <f>SUM(E262:E263)</f>
        <v>26219383.979999993</v>
      </c>
      <c r="F264" s="130"/>
      <c r="G264" s="177">
        <f>H264/D264</f>
        <v>0.12862836666028657</v>
      </c>
      <c r="H264" s="173">
        <f>SUM(H262:H263)</f>
        <v>5082503</v>
      </c>
      <c r="I264" s="130"/>
      <c r="J264" s="177">
        <f>K264/D264</f>
        <v>0.12862836666028657</v>
      </c>
      <c r="K264" s="173">
        <f>SUM(K262:K263)</f>
        <v>5082503</v>
      </c>
      <c r="L264" s="173">
        <f>SUM(L262:L263)</f>
        <v>0</v>
      </c>
      <c r="M264" s="143"/>
      <c r="N264" s="853">
        <f>L264-'Proposed Accrual 2020'!L264</f>
        <v>0</v>
      </c>
      <c r="O264" s="487"/>
    </row>
    <row r="265" spans="1:15" ht="13.5" thickBot="1" x14ac:dyDescent="0.25">
      <c r="A265" s="182"/>
      <c r="B265" s="182"/>
      <c r="C265" s="130"/>
      <c r="D265" s="145"/>
      <c r="E265" s="145"/>
      <c r="F265" s="130"/>
      <c r="G265" s="179"/>
      <c r="H265" s="145"/>
      <c r="I265" s="130"/>
      <c r="J265" s="179"/>
      <c r="K265" s="145"/>
      <c r="L265" s="145"/>
      <c r="M265" s="143"/>
      <c r="N265" s="853">
        <f>L265-'Proposed Accrual 2020'!L265</f>
        <v>0</v>
      </c>
      <c r="O265" s="487"/>
    </row>
    <row r="266" spans="1:15" ht="19.5" customHeight="1" thickTop="1" thickBot="1" x14ac:dyDescent="0.25">
      <c r="A266" s="494"/>
      <c r="B266" s="384" t="s">
        <v>1124</v>
      </c>
      <c r="C266" s="130"/>
      <c r="D266" s="196">
        <f>D264</f>
        <v>39513080.449999988</v>
      </c>
      <c r="E266" s="196">
        <f>E264</f>
        <v>26219383.979999993</v>
      </c>
      <c r="F266" s="130"/>
      <c r="G266" s="826">
        <f>IF($D266=0,0,H266/$D266*100)</f>
        <v>12.862836666028658</v>
      </c>
      <c r="H266" s="196">
        <f>H264</f>
        <v>5082503</v>
      </c>
      <c r="I266" s="130"/>
      <c r="J266" s="826">
        <f>IF($D266=0,0,K266/$D266*100)</f>
        <v>12.862836666028658</v>
      </c>
      <c r="K266" s="196">
        <f>K264</f>
        <v>5082503</v>
      </c>
      <c r="L266" s="196">
        <f>L264</f>
        <v>0</v>
      </c>
      <c r="M266" s="130"/>
      <c r="N266" s="853">
        <f>L266-'Proposed Accrual 2020'!L266</f>
        <v>0</v>
      </c>
      <c r="O266" s="487"/>
    </row>
    <row r="267" spans="1:15" ht="13.5" thickTop="1" x14ac:dyDescent="0.2">
      <c r="A267" s="208"/>
      <c r="B267" s="387"/>
      <c r="C267" s="130"/>
      <c r="D267" s="145"/>
      <c r="E267" s="145"/>
      <c r="F267" s="130"/>
      <c r="G267" s="179"/>
      <c r="H267" s="145"/>
      <c r="I267" s="130"/>
      <c r="J267" s="179"/>
      <c r="K267" s="145"/>
      <c r="L267" s="145"/>
      <c r="M267" s="143"/>
      <c r="N267" s="853">
        <f>L267-'Proposed Accrual 2020'!L267</f>
        <v>0</v>
      </c>
      <c r="O267" s="487"/>
    </row>
    <row r="268" spans="1:15" ht="13.5" thickBot="1" x14ac:dyDescent="0.25">
      <c r="A268" s="187"/>
      <c r="B268" s="807"/>
      <c r="C268" s="130"/>
      <c r="D268" s="204"/>
      <c r="E268" s="204"/>
      <c r="F268" s="130"/>
      <c r="G268" s="206" t="s">
        <v>60</v>
      </c>
      <c r="H268" s="204"/>
      <c r="I268" s="130"/>
      <c r="J268" s="206" t="s">
        <v>60</v>
      </c>
      <c r="K268" s="204"/>
      <c r="L268" s="204"/>
      <c r="M268" s="143"/>
      <c r="N268" s="853">
        <f>L268-'Proposed Accrual 2020'!L268</f>
        <v>0</v>
      </c>
      <c r="O268" s="487"/>
    </row>
    <row r="269" spans="1:15" ht="19.5" customHeight="1" thickTop="1" thickBot="1" x14ac:dyDescent="0.25">
      <c r="A269" s="808"/>
      <c r="B269" s="802" t="s">
        <v>67</v>
      </c>
      <c r="C269" s="130"/>
      <c r="D269" s="192">
        <f>SUM(D97,D258,D266)</f>
        <v>5440919015.0539999</v>
      </c>
      <c r="E269" s="192">
        <f>SUM(E97,E258,E266)</f>
        <v>1378954804.467896</v>
      </c>
      <c r="F269" s="130"/>
      <c r="G269" s="829">
        <f>IF($D269=0,0,H269/$D269*100)</f>
        <v>3.3403468512790613</v>
      </c>
      <c r="H269" s="192">
        <f>SUM(H97,H258,H266)</f>
        <v>181745567</v>
      </c>
      <c r="I269" s="130"/>
      <c r="J269" s="829">
        <f>IF($D269=0,0,K269/$D269*100)</f>
        <v>3.7893810481197492</v>
      </c>
      <c r="K269" s="192">
        <f>SUM(K97,K258,K266)</f>
        <v>206177154</v>
      </c>
      <c r="L269" s="192">
        <f>SUM(L97,L258,L266)</f>
        <v>24431587</v>
      </c>
      <c r="M269" s="143"/>
      <c r="N269" s="853">
        <f>L269-'Proposed Accrual 2020'!L269</f>
        <v>-3191564</v>
      </c>
      <c r="O269" s="487"/>
    </row>
    <row r="270" spans="1:15" ht="13.5" thickTop="1" x14ac:dyDescent="0.2">
      <c r="A270" s="127"/>
      <c r="B270" s="127"/>
      <c r="C270" s="127"/>
      <c r="D270" s="127"/>
      <c r="E270" s="127"/>
      <c r="F270" s="127"/>
      <c r="G270" s="143"/>
      <c r="H270" s="143"/>
      <c r="I270" s="143"/>
      <c r="J270" s="143"/>
      <c r="K270" s="143"/>
      <c r="M270" s="143"/>
    </row>
    <row r="271" spans="1:15" x14ac:dyDescent="0.2">
      <c r="A271" s="208"/>
      <c r="B271" s="361" t="s">
        <v>1125</v>
      </c>
      <c r="C271" s="130"/>
      <c r="D271" s="145">
        <f>'2021 B-7'!AI18+'2021 B-7'!P478+'2021 B-7'!P479</f>
        <v>5440919015.0539999</v>
      </c>
      <c r="E271" s="145">
        <f>'2021 B-9'!AM18+'2021 B-9'!R478+'2021 B-9'!R479</f>
        <v>1378954804.467896</v>
      </c>
      <c r="F271" s="130"/>
      <c r="G271" s="130"/>
      <c r="H271" s="130"/>
      <c r="I271" s="130"/>
      <c r="J271" s="130"/>
      <c r="K271" s="198" t="s">
        <v>1433</v>
      </c>
      <c r="L271" s="145">
        <f>'Proposed Accrual 2020'!L269</f>
        <v>27623151</v>
      </c>
      <c r="M271" s="143"/>
    </row>
    <row r="272" spans="1:15" x14ac:dyDescent="0.2">
      <c r="A272" s="213"/>
      <c r="B272" s="810" t="s">
        <v>69</v>
      </c>
      <c r="C272" s="145"/>
      <c r="D272" s="145">
        <f>D271-D269</f>
        <v>0</v>
      </c>
      <c r="E272" s="145">
        <f>E271-E269</f>
        <v>0</v>
      </c>
      <c r="F272" s="143"/>
      <c r="G272" s="143"/>
      <c r="H272" s="143"/>
      <c r="I272" s="143"/>
      <c r="J272" s="143"/>
      <c r="K272" s="198" t="s">
        <v>1434</v>
      </c>
      <c r="L272" s="854">
        <f>L269-L271</f>
        <v>-3191564</v>
      </c>
      <c r="M272" s="143"/>
    </row>
    <row r="273" spans="1:15" x14ac:dyDescent="0.2">
      <c r="A273" s="127"/>
      <c r="B273" s="127"/>
      <c r="C273" s="127"/>
      <c r="D273" s="127"/>
      <c r="E273" s="127"/>
      <c r="F273" s="127"/>
      <c r="G273" s="143"/>
      <c r="H273" s="143"/>
      <c r="I273" s="143"/>
      <c r="J273" s="143"/>
      <c r="K273" s="143"/>
      <c r="L273" s="143"/>
      <c r="M273" s="143"/>
    </row>
    <row r="274" spans="1:15" x14ac:dyDescent="0.2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855" t="s">
        <v>1435</v>
      </c>
      <c r="L274" s="145">
        <f>L115</f>
        <v>0</v>
      </c>
      <c r="M274" s="224"/>
      <c r="N274" s="853" t="s">
        <v>1440</v>
      </c>
    </row>
    <row r="275" spans="1:15" x14ac:dyDescent="0.2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855" t="s">
        <v>1436</v>
      </c>
      <c r="L275" s="145">
        <f>L122</f>
        <v>0</v>
      </c>
      <c r="M275" s="64"/>
      <c r="N275" s="853" t="s">
        <v>1440</v>
      </c>
    </row>
    <row r="276" spans="1:15" x14ac:dyDescent="0.2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856" t="s">
        <v>1437</v>
      </c>
      <c r="L276" s="238">
        <f>L129</f>
        <v>0</v>
      </c>
      <c r="M276" s="64"/>
      <c r="N276" s="853" t="s">
        <v>1440</v>
      </c>
    </row>
    <row r="277" spans="1:15" x14ac:dyDescent="0.2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857"/>
      <c r="L277" s="851">
        <f>SUM(L274:L276)</f>
        <v>0</v>
      </c>
      <c r="M277" s="64"/>
      <c r="O277" s="487"/>
    </row>
    <row r="278" spans="1:15" x14ac:dyDescent="0.2">
      <c r="A278" s="225"/>
      <c r="B278" s="223"/>
      <c r="C278" s="223"/>
      <c r="D278" s="223"/>
      <c r="E278" s="226"/>
      <c r="F278" s="223"/>
      <c r="G278" s="223"/>
      <c r="H278" s="223"/>
      <c r="I278" s="223"/>
      <c r="J278" s="223"/>
      <c r="M278" s="64"/>
    </row>
    <row r="279" spans="1:15" x14ac:dyDescent="0.2">
      <c r="A279" s="225"/>
      <c r="B279" s="223"/>
      <c r="C279" s="223"/>
      <c r="D279" s="223"/>
      <c r="E279" s="226"/>
      <c r="F279" s="223"/>
      <c r="G279" s="223"/>
      <c r="H279" s="223"/>
      <c r="I279" s="223"/>
      <c r="J279" s="223"/>
      <c r="K279" s="855" t="s">
        <v>1419</v>
      </c>
      <c r="L279" s="238">
        <f>L31</f>
        <v>540245</v>
      </c>
      <c r="M279" s="64"/>
      <c r="N279" s="853" t="s">
        <v>1441</v>
      </c>
    </row>
    <row r="280" spans="1:15" x14ac:dyDescent="0.2">
      <c r="A280" s="225"/>
      <c r="B280" s="223"/>
      <c r="C280" s="223"/>
      <c r="D280" s="223"/>
      <c r="E280" s="226"/>
      <c r="F280" s="223"/>
      <c r="G280" s="223"/>
      <c r="H280" s="223"/>
      <c r="I280" s="223"/>
      <c r="J280" s="223"/>
      <c r="K280" s="855" t="s">
        <v>1420</v>
      </c>
      <c r="L280" s="75">
        <f>L38</f>
        <v>8903</v>
      </c>
      <c r="M280" s="64"/>
      <c r="N280" s="853" t="s">
        <v>1441</v>
      </c>
    </row>
    <row r="281" spans="1:15" x14ac:dyDescent="0.2">
      <c r="K281" s="855" t="s">
        <v>1421</v>
      </c>
      <c r="L281" s="75">
        <f>L45</f>
        <v>2121</v>
      </c>
      <c r="M281" s="64"/>
      <c r="N281" s="853" t="s">
        <v>1441</v>
      </c>
    </row>
    <row r="282" spans="1:15" x14ac:dyDescent="0.2">
      <c r="K282" s="855" t="s">
        <v>1422</v>
      </c>
      <c r="L282" s="75">
        <f>L58</f>
        <v>162537</v>
      </c>
      <c r="M282" s="64"/>
      <c r="N282" s="853" t="s">
        <v>1441</v>
      </c>
    </row>
    <row r="283" spans="1:15" x14ac:dyDescent="0.2">
      <c r="K283" s="855" t="s">
        <v>1423</v>
      </c>
      <c r="L283" s="75">
        <f>L70</f>
        <v>-38828</v>
      </c>
      <c r="M283" s="64"/>
      <c r="N283" s="853" t="s">
        <v>1441</v>
      </c>
    </row>
    <row r="284" spans="1:15" x14ac:dyDescent="0.2">
      <c r="K284" s="855" t="s">
        <v>1424</v>
      </c>
      <c r="L284" s="75">
        <f>L76</f>
        <v>0</v>
      </c>
      <c r="M284" s="64"/>
      <c r="N284" s="853" t="s">
        <v>1441</v>
      </c>
    </row>
    <row r="285" spans="1:15" x14ac:dyDescent="0.2">
      <c r="K285" s="855" t="s">
        <v>1431</v>
      </c>
      <c r="L285" s="75">
        <f>L82</f>
        <v>0</v>
      </c>
      <c r="M285" s="64"/>
      <c r="N285" s="853" t="s">
        <v>1441</v>
      </c>
    </row>
    <row r="286" spans="1:15" x14ac:dyDescent="0.2">
      <c r="K286" s="855" t="s">
        <v>1430</v>
      </c>
      <c r="L286" s="75">
        <f>-'Proposed Accrual 2020'!L31</f>
        <v>-2614935</v>
      </c>
      <c r="M286" s="64"/>
      <c r="N286" s="853" t="s">
        <v>1442</v>
      </c>
    </row>
    <row r="287" spans="1:15" x14ac:dyDescent="0.2">
      <c r="K287" s="855" t="s">
        <v>1425</v>
      </c>
      <c r="L287" s="75">
        <f>-'Proposed Accrual 2020'!L38</f>
        <v>-1032725</v>
      </c>
      <c r="M287" s="64"/>
      <c r="N287" s="853" t="s">
        <v>1442</v>
      </c>
    </row>
    <row r="288" spans="1:15" x14ac:dyDescent="0.2">
      <c r="K288" s="855" t="s">
        <v>1426</v>
      </c>
      <c r="L288" s="75">
        <f>-'Proposed Accrual 2020'!L45</f>
        <v>-412544</v>
      </c>
      <c r="M288" s="64"/>
      <c r="N288" s="853" t="s">
        <v>1442</v>
      </c>
    </row>
    <row r="289" spans="1:14" x14ac:dyDescent="0.2">
      <c r="K289" s="855" t="s">
        <v>1427</v>
      </c>
      <c r="L289" s="75">
        <f>-'Proposed Accrual 2020'!L58</f>
        <v>-546911</v>
      </c>
      <c r="M289" s="64"/>
      <c r="N289" s="853" t="s">
        <v>1442</v>
      </c>
    </row>
    <row r="290" spans="1:14" x14ac:dyDescent="0.2">
      <c r="K290" s="855" t="s">
        <v>1428</v>
      </c>
      <c r="L290" s="75">
        <f>-'Proposed Accrual 2020'!L70</f>
        <v>140624</v>
      </c>
      <c r="M290" s="64"/>
      <c r="N290" s="853" t="s">
        <v>1442</v>
      </c>
    </row>
    <row r="291" spans="1:14" x14ac:dyDescent="0.2">
      <c r="K291" s="855" t="s">
        <v>1429</v>
      </c>
      <c r="L291" s="75">
        <f>-'Proposed Accrual 2020'!L76</f>
        <v>-35841</v>
      </c>
      <c r="M291" s="64"/>
      <c r="N291" s="853" t="s">
        <v>1442</v>
      </c>
    </row>
    <row r="292" spans="1:14" x14ac:dyDescent="0.2">
      <c r="K292" s="855" t="s">
        <v>1432</v>
      </c>
      <c r="L292" s="75">
        <f>-'Proposed Accrual 2020'!L82</f>
        <v>290374</v>
      </c>
      <c r="M292" s="64"/>
      <c r="N292" s="853" t="s">
        <v>1442</v>
      </c>
    </row>
    <row r="293" spans="1:14" x14ac:dyDescent="0.2">
      <c r="K293" s="66"/>
      <c r="L293" s="851">
        <f>SUM(L279:L292)</f>
        <v>-3536980</v>
      </c>
      <c r="M293" s="64"/>
    </row>
    <row r="294" spans="1:14" x14ac:dyDescent="0.2">
      <c r="M294" s="64"/>
    </row>
    <row r="295" spans="1:14" x14ac:dyDescent="0.2">
      <c r="K295" s="198" t="s">
        <v>1417</v>
      </c>
      <c r="L295" s="853">
        <f>L272-L277-L293</f>
        <v>345416</v>
      </c>
      <c r="M295" s="64"/>
    </row>
    <row r="296" spans="1:14" x14ac:dyDescent="0.2">
      <c r="K296" s="66"/>
      <c r="M296" s="64"/>
    </row>
    <row r="297" spans="1:14" x14ac:dyDescent="0.2">
      <c r="M297" s="64"/>
    </row>
    <row r="298" spans="1:14" x14ac:dyDescent="0.2">
      <c r="M298" s="64"/>
    </row>
    <row r="299" spans="1:14" x14ac:dyDescent="0.2">
      <c r="M299" s="64"/>
    </row>
    <row r="300" spans="1:14" x14ac:dyDescent="0.2">
      <c r="M300" s="64"/>
    </row>
    <row r="301" spans="1:14" x14ac:dyDescent="0.2">
      <c r="M301" s="64"/>
    </row>
    <row r="302" spans="1:14" x14ac:dyDescent="0.2">
      <c r="A302" s="63"/>
      <c r="E302" s="63"/>
      <c r="M302" s="64"/>
    </row>
    <row r="303" spans="1:14" x14ac:dyDescent="0.2">
      <c r="A303" s="63"/>
      <c r="E303" s="63"/>
      <c r="M303" s="64"/>
    </row>
    <row r="304" spans="1:14" x14ac:dyDescent="0.2">
      <c r="A304" s="63"/>
      <c r="E304" s="63"/>
      <c r="M304" s="64"/>
    </row>
    <row r="305" spans="1:13" x14ac:dyDescent="0.2">
      <c r="A305" s="63"/>
      <c r="E305" s="63"/>
      <c r="M305" s="64"/>
    </row>
    <row r="306" spans="1:13" x14ac:dyDescent="0.2">
      <c r="A306" s="63"/>
      <c r="E306" s="63"/>
      <c r="M306" s="64"/>
    </row>
    <row r="307" spans="1:13" x14ac:dyDescent="0.2">
      <c r="A307" s="63"/>
      <c r="E307" s="63"/>
      <c r="M307" s="64"/>
    </row>
    <row r="308" spans="1:13" x14ac:dyDescent="0.2">
      <c r="A308" s="63"/>
      <c r="E308" s="63"/>
      <c r="M308" s="64"/>
    </row>
    <row r="309" spans="1:13" x14ac:dyDescent="0.2">
      <c r="A309" s="63"/>
      <c r="E309" s="63"/>
      <c r="M309" s="64"/>
    </row>
    <row r="310" spans="1:13" x14ac:dyDescent="0.2">
      <c r="A310" s="63"/>
      <c r="E310" s="63"/>
      <c r="M310" s="64"/>
    </row>
    <row r="311" spans="1:13" x14ac:dyDescent="0.2">
      <c r="A311" s="63"/>
      <c r="E311" s="63"/>
      <c r="M311" s="64"/>
    </row>
    <row r="312" spans="1:13" x14ac:dyDescent="0.2">
      <c r="A312" s="63"/>
      <c r="E312" s="63"/>
      <c r="M312" s="64"/>
    </row>
    <row r="313" spans="1:13" x14ac:dyDescent="0.2">
      <c r="A313" s="63"/>
      <c r="E313" s="63"/>
      <c r="M313" s="64"/>
    </row>
    <row r="314" spans="1:13" x14ac:dyDescent="0.2">
      <c r="A314" s="63"/>
      <c r="E314" s="63"/>
      <c r="M314" s="64"/>
    </row>
    <row r="315" spans="1:13" x14ac:dyDescent="0.2">
      <c r="A315" s="63"/>
      <c r="E315" s="63"/>
      <c r="M315" s="64"/>
    </row>
    <row r="316" spans="1:13" x14ac:dyDescent="0.2">
      <c r="A316" s="63"/>
      <c r="E316" s="63"/>
      <c r="M316" s="64"/>
    </row>
    <row r="317" spans="1:13" x14ac:dyDescent="0.2">
      <c r="A317" s="63"/>
      <c r="E317" s="63"/>
      <c r="M317" s="64"/>
    </row>
    <row r="318" spans="1:13" ht="15.75" x14ac:dyDescent="0.25">
      <c r="A318" s="63"/>
      <c r="B318" s="520"/>
      <c r="E318" s="63"/>
      <c r="M318" s="64"/>
    </row>
    <row r="319" spans="1:13" ht="15.75" x14ac:dyDescent="0.25">
      <c r="A319" s="63"/>
      <c r="B319" s="520"/>
      <c r="E319" s="63"/>
      <c r="M319" s="64"/>
    </row>
    <row r="320" spans="1:13" ht="15.75" x14ac:dyDescent="0.25">
      <c r="A320" s="63"/>
      <c r="B320" s="520"/>
      <c r="E320" s="63"/>
      <c r="M320" s="64"/>
    </row>
    <row r="321" spans="1:13" ht="15.75" x14ac:dyDescent="0.25">
      <c r="A321" s="63"/>
      <c r="B321" s="520"/>
      <c r="E321" s="63"/>
      <c r="M321" s="64"/>
    </row>
    <row r="322" spans="1:13" ht="15.75" x14ac:dyDescent="0.25">
      <c r="A322" s="63"/>
      <c r="B322" s="520"/>
      <c r="E322" s="63"/>
      <c r="M322" s="64"/>
    </row>
    <row r="323" spans="1:13" ht="15.75" x14ac:dyDescent="0.25">
      <c r="A323" s="63"/>
      <c r="B323" s="519"/>
      <c r="E323" s="63"/>
      <c r="M323" s="64"/>
    </row>
    <row r="324" spans="1:13" ht="15.75" x14ac:dyDescent="0.25">
      <c r="A324" s="63"/>
      <c r="B324" s="520"/>
      <c r="E324" s="63"/>
      <c r="M324" s="64"/>
    </row>
    <row r="325" spans="1:13" x14ac:dyDescent="0.2">
      <c r="A325" s="63"/>
      <c r="E325" s="63"/>
      <c r="M325" s="64"/>
    </row>
    <row r="326" spans="1:13" x14ac:dyDescent="0.2">
      <c r="A326" s="63"/>
      <c r="E326" s="63"/>
      <c r="M326" s="64"/>
    </row>
    <row r="327" spans="1:13" x14ac:dyDescent="0.2">
      <c r="A327" s="63"/>
      <c r="E327" s="63"/>
      <c r="M327" s="64"/>
    </row>
    <row r="328" spans="1:13" x14ac:dyDescent="0.2">
      <c r="A328" s="63"/>
      <c r="E328" s="63"/>
      <c r="M328" s="64"/>
    </row>
    <row r="329" spans="1:13" x14ac:dyDescent="0.2">
      <c r="A329" s="63"/>
      <c r="E329" s="63"/>
      <c r="M329" s="64"/>
    </row>
    <row r="330" spans="1:13" x14ac:dyDescent="0.2">
      <c r="A330" s="63"/>
      <c r="E330" s="63"/>
      <c r="M330" s="64"/>
    </row>
    <row r="331" spans="1:13" x14ac:dyDescent="0.2">
      <c r="A331" s="63"/>
      <c r="E331" s="63"/>
      <c r="M331" s="64"/>
    </row>
    <row r="332" spans="1:13" x14ac:dyDescent="0.2">
      <c r="A332" s="63"/>
      <c r="E332" s="63"/>
      <c r="M332" s="64"/>
    </row>
    <row r="333" spans="1:13" x14ac:dyDescent="0.2">
      <c r="A333" s="63"/>
      <c r="E333" s="63"/>
      <c r="M333" s="64"/>
    </row>
    <row r="334" spans="1:13" x14ac:dyDescent="0.2">
      <c r="A334" s="63"/>
      <c r="E334" s="63"/>
      <c r="M334" s="64"/>
    </row>
    <row r="335" spans="1:13" x14ac:dyDescent="0.2">
      <c r="A335" s="63"/>
      <c r="E335" s="63"/>
      <c r="M335" s="64"/>
    </row>
    <row r="336" spans="1:13" x14ac:dyDescent="0.2">
      <c r="A336" s="63"/>
      <c r="E336" s="63"/>
      <c r="M336" s="64"/>
    </row>
    <row r="337" spans="1:13" x14ac:dyDescent="0.2">
      <c r="A337" s="63"/>
      <c r="E337" s="63"/>
      <c r="M337" s="64"/>
    </row>
    <row r="338" spans="1:13" x14ac:dyDescent="0.2">
      <c r="A338" s="63"/>
      <c r="E338" s="63"/>
      <c r="M338" s="64"/>
    </row>
    <row r="339" spans="1:13" x14ac:dyDescent="0.2">
      <c r="A339" s="63"/>
      <c r="E339" s="63"/>
      <c r="M339" s="64"/>
    </row>
    <row r="340" spans="1:13" x14ac:dyDescent="0.2">
      <c r="A340" s="63"/>
      <c r="E340" s="63"/>
      <c r="M340" s="64"/>
    </row>
    <row r="341" spans="1:13" x14ac:dyDescent="0.2">
      <c r="A341" s="63"/>
      <c r="E341" s="63"/>
      <c r="M341" s="64"/>
    </row>
    <row r="342" spans="1:13" x14ac:dyDescent="0.2">
      <c r="A342" s="63"/>
      <c r="E342" s="63"/>
      <c r="M342" s="64"/>
    </row>
    <row r="343" spans="1:13" x14ac:dyDescent="0.2">
      <c r="A343" s="63"/>
      <c r="E343" s="63"/>
      <c r="M343" s="64"/>
    </row>
    <row r="344" spans="1:13" x14ac:dyDescent="0.2">
      <c r="A344" s="63"/>
      <c r="E344" s="63"/>
      <c r="M344" s="64"/>
    </row>
    <row r="345" spans="1:13" x14ac:dyDescent="0.2">
      <c r="A345" s="63"/>
      <c r="E345" s="63"/>
      <c r="M345" s="64"/>
    </row>
    <row r="346" spans="1:13" x14ac:dyDescent="0.2">
      <c r="A346" s="63"/>
      <c r="E346" s="63"/>
      <c r="M346" s="64"/>
    </row>
    <row r="347" spans="1:13" x14ac:dyDescent="0.2">
      <c r="A347" s="63"/>
      <c r="E347" s="63"/>
      <c r="M347" s="64"/>
    </row>
    <row r="348" spans="1:13" x14ac:dyDescent="0.2">
      <c r="A348" s="63"/>
      <c r="E348" s="63"/>
      <c r="M348" s="64"/>
    </row>
    <row r="349" spans="1:13" x14ac:dyDescent="0.2">
      <c r="A349" s="63"/>
      <c r="E349" s="63"/>
      <c r="M349" s="64"/>
    </row>
    <row r="350" spans="1:13" x14ac:dyDescent="0.2">
      <c r="A350" s="63"/>
      <c r="E350" s="63"/>
      <c r="M350" s="64"/>
    </row>
    <row r="351" spans="1:13" x14ac:dyDescent="0.2">
      <c r="A351" s="63"/>
      <c r="E351" s="63"/>
      <c r="M351" s="64"/>
    </row>
    <row r="352" spans="1:13" x14ac:dyDescent="0.2">
      <c r="A352" s="63"/>
      <c r="E352" s="63"/>
      <c r="M352" s="64"/>
    </row>
    <row r="353" spans="1:13" x14ac:dyDescent="0.2">
      <c r="A353" s="63"/>
      <c r="E353" s="63"/>
      <c r="M353" s="64"/>
    </row>
    <row r="354" spans="1:13" x14ac:dyDescent="0.2">
      <c r="A354" s="63"/>
      <c r="E354" s="63"/>
      <c r="M354" s="64"/>
    </row>
    <row r="355" spans="1:13" x14ac:dyDescent="0.2">
      <c r="A355" s="63"/>
      <c r="E355" s="63"/>
      <c r="M355" s="64"/>
    </row>
    <row r="356" spans="1:13" x14ac:dyDescent="0.2">
      <c r="A356" s="63"/>
      <c r="E356" s="63"/>
      <c r="M356" s="64"/>
    </row>
    <row r="357" spans="1:13" x14ac:dyDescent="0.2">
      <c r="A357" s="63"/>
      <c r="E357" s="63"/>
      <c r="M357" s="64"/>
    </row>
    <row r="358" spans="1:13" x14ac:dyDescent="0.2">
      <c r="A358" s="63"/>
      <c r="E358" s="63"/>
      <c r="M358" s="64"/>
    </row>
    <row r="359" spans="1:13" x14ac:dyDescent="0.2">
      <c r="A359" s="63"/>
      <c r="E359" s="63"/>
      <c r="M359" s="64"/>
    </row>
    <row r="360" spans="1:13" x14ac:dyDescent="0.2">
      <c r="A360" s="63"/>
      <c r="E360" s="63"/>
      <c r="M360" s="64"/>
    </row>
    <row r="361" spans="1:13" x14ac:dyDescent="0.2">
      <c r="A361" s="63"/>
      <c r="E361" s="63"/>
      <c r="M361" s="64"/>
    </row>
    <row r="362" spans="1:13" x14ac:dyDescent="0.2">
      <c r="A362" s="63"/>
      <c r="E362" s="63"/>
      <c r="M362" s="64"/>
    </row>
    <row r="363" spans="1:13" x14ac:dyDescent="0.2">
      <c r="A363" s="63"/>
      <c r="E363" s="63"/>
      <c r="M363" s="64"/>
    </row>
    <row r="364" spans="1:13" x14ac:dyDescent="0.2">
      <c r="A364" s="63"/>
      <c r="E364" s="63"/>
      <c r="M364" s="64"/>
    </row>
    <row r="365" spans="1:13" x14ac:dyDescent="0.2">
      <c r="A365" s="63"/>
      <c r="E365" s="63"/>
      <c r="M365" s="64"/>
    </row>
    <row r="366" spans="1:13" x14ac:dyDescent="0.2">
      <c r="A366" s="63"/>
      <c r="E366" s="63"/>
      <c r="M366" s="64"/>
    </row>
    <row r="367" spans="1:13" x14ac:dyDescent="0.2">
      <c r="A367" s="63"/>
      <c r="E367" s="63"/>
      <c r="M367" s="64"/>
    </row>
    <row r="368" spans="1:13" x14ac:dyDescent="0.2">
      <c r="A368" s="63"/>
      <c r="E368" s="63"/>
      <c r="M368" s="64"/>
    </row>
    <row r="369" spans="1:13" x14ac:dyDescent="0.2">
      <c r="A369" s="63"/>
      <c r="E369" s="63"/>
      <c r="M369" s="64"/>
    </row>
    <row r="370" spans="1:13" x14ac:dyDescent="0.2">
      <c r="A370" s="63"/>
      <c r="E370" s="63"/>
    </row>
    <row r="371" spans="1:13" x14ac:dyDescent="0.2">
      <c r="A371" s="63"/>
      <c r="E371" s="63"/>
    </row>
    <row r="372" spans="1:13" x14ac:dyDescent="0.2">
      <c r="A372" s="63"/>
      <c r="E372" s="63"/>
    </row>
    <row r="373" spans="1:13" x14ac:dyDescent="0.2">
      <c r="A373" s="63"/>
      <c r="E373" s="63"/>
    </row>
    <row r="374" spans="1:13" x14ac:dyDescent="0.2">
      <c r="A374" s="63"/>
      <c r="E374" s="63"/>
    </row>
    <row r="375" spans="1:13" x14ac:dyDescent="0.2">
      <c r="A375" s="63"/>
      <c r="E375" s="63"/>
    </row>
  </sheetData>
  <printOptions horizontalCentered="1"/>
  <pageMargins left="0.5" right="0.5" top="0.5" bottom="0.5" header="0.3" footer="0.3"/>
  <pageSetup scale="67" fitToHeight="4" orientation="portrait" blackAndWhite="1" r:id="rId1"/>
  <rowBreaks count="3" manualBreakCount="3">
    <brk id="82" max="11" man="1"/>
    <brk id="147" max="11" man="1"/>
    <brk id="216" max="11" man="1"/>
  </rowBreaks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</sheetPr>
  <dimension ref="A1:K386"/>
  <sheetViews>
    <sheetView view="pageBreakPreview" zoomScaleNormal="100" zoomScaleSheetLayoutView="100" workbookViewId="0">
      <pane xSplit="2" ySplit="12" topLeftCell="C162" activePane="bottomRight" state="frozen"/>
      <selection pane="topRight" activeCell="C1" sqref="C1"/>
      <selection pane="bottomLeft" activeCell="A12" sqref="A12"/>
      <selection pane="bottomRight" activeCell="P190" sqref="P190"/>
    </sheetView>
  </sheetViews>
  <sheetFormatPr defaultRowHeight="12.75" x14ac:dyDescent="0.2"/>
  <cols>
    <col min="1" max="1" width="8.7109375" style="62" bestFit="1" customWidth="1"/>
    <col min="2" max="2" width="25.42578125" style="63" customWidth="1"/>
    <col min="3" max="3" width="2.5703125" style="63" customWidth="1"/>
    <col min="4" max="4" width="14.140625" style="63" customWidth="1"/>
    <col min="5" max="5" width="13.85546875" style="63" customWidth="1"/>
    <col min="6" max="6" width="2.5703125" style="63" customWidth="1"/>
    <col min="7" max="7" width="14" style="63" customWidth="1"/>
    <col min="8" max="8" width="14.28515625" style="63" customWidth="1"/>
    <col min="9" max="9" width="2.5703125" style="63" customWidth="1"/>
    <col min="10" max="10" width="14.7109375" style="63" customWidth="1"/>
    <col min="11" max="11" width="12.85546875" style="63" customWidth="1"/>
  </cols>
  <sheetData>
    <row r="1" spans="1:11" ht="15.75" x14ac:dyDescent="0.2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</row>
    <row r="2" spans="1:11" ht="15.75" x14ac:dyDescent="0.2">
      <c r="A2" s="217" t="str">
        <f>'Plant &amp; Reserve'!$A$2</f>
        <v>2019 Annual Depreciation Analysis -  Rate Review</v>
      </c>
      <c r="B2" s="221"/>
      <c r="C2" s="218"/>
      <c r="D2" s="218"/>
      <c r="E2" s="218"/>
      <c r="F2" s="218"/>
      <c r="G2" s="218"/>
      <c r="H2" s="218"/>
      <c r="I2" s="218"/>
      <c r="J2" s="218"/>
      <c r="K2" s="218"/>
    </row>
    <row r="3" spans="1:11" ht="15.75" x14ac:dyDescent="0.2">
      <c r="A3" s="217" t="s">
        <v>1158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</row>
    <row r="4" spans="1:11" ht="15.75" x14ac:dyDescent="0.2">
      <c r="A4" s="217" t="s">
        <v>1160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</row>
    <row r="5" spans="1:11" x14ac:dyDescent="0.2">
      <c r="A5" s="121"/>
      <c r="B5" s="122"/>
      <c r="C5" s="122"/>
      <c r="D5" s="123"/>
      <c r="E5" s="123"/>
      <c r="F5" s="122"/>
      <c r="G5" s="123"/>
      <c r="H5" s="123"/>
      <c r="I5" s="122"/>
      <c r="J5" s="123"/>
      <c r="K5" s="123"/>
    </row>
    <row r="6" spans="1:11" x14ac:dyDescent="0.2">
      <c r="A6" s="121"/>
      <c r="B6" s="125"/>
      <c r="C6" s="125"/>
      <c r="D6" s="125"/>
      <c r="E6" s="125"/>
      <c r="F6" s="125"/>
      <c r="G6" s="125"/>
      <c r="H6" s="125"/>
      <c r="I6" s="125"/>
      <c r="J6" s="125"/>
      <c r="K6" s="125"/>
    </row>
    <row r="7" spans="1:11" x14ac:dyDescent="0.2">
      <c r="A7" s="121"/>
      <c r="B7" s="125"/>
      <c r="C7" s="125"/>
      <c r="D7" s="125"/>
      <c r="E7" s="125"/>
      <c r="F7" s="125"/>
      <c r="G7" s="125"/>
      <c r="H7" s="125"/>
      <c r="I7" s="125"/>
      <c r="J7" s="125"/>
      <c r="K7" s="125"/>
    </row>
    <row r="8" spans="1:11" x14ac:dyDescent="0.2">
      <c r="A8" s="121"/>
      <c r="B8" s="125"/>
      <c r="C8" s="125"/>
      <c r="D8" s="125"/>
      <c r="E8" s="125"/>
      <c r="F8" s="125"/>
      <c r="G8" s="126"/>
      <c r="H8" s="126"/>
      <c r="I8" s="125"/>
      <c r="J8" s="126"/>
      <c r="K8" s="126"/>
    </row>
    <row r="9" spans="1:11" x14ac:dyDescent="0.2">
      <c r="A9" s="121"/>
      <c r="B9" s="125"/>
      <c r="C9" s="125"/>
      <c r="D9" s="125"/>
      <c r="E9" s="125"/>
      <c r="F9" s="125"/>
      <c r="G9" s="122"/>
      <c r="H9" s="128" t="s">
        <v>122</v>
      </c>
      <c r="I9" s="125"/>
      <c r="J9" s="122"/>
      <c r="K9" s="125"/>
    </row>
    <row r="10" spans="1:11" x14ac:dyDescent="0.2">
      <c r="A10" s="121"/>
      <c r="B10" s="125"/>
      <c r="C10" s="125"/>
      <c r="D10" s="125" t="s">
        <v>40</v>
      </c>
      <c r="E10" s="131" t="s">
        <v>41</v>
      </c>
      <c r="F10" s="125"/>
      <c r="G10" s="125" t="s">
        <v>40</v>
      </c>
      <c r="H10" s="131" t="s">
        <v>41</v>
      </c>
      <c r="I10" s="125"/>
      <c r="J10" s="125" t="s">
        <v>70</v>
      </c>
      <c r="K10" s="125" t="s">
        <v>70</v>
      </c>
    </row>
    <row r="11" spans="1:11" x14ac:dyDescent="0.2">
      <c r="A11" s="119" t="s">
        <v>44</v>
      </c>
      <c r="B11" s="125"/>
      <c r="C11" s="125"/>
      <c r="D11" s="125" t="s">
        <v>92</v>
      </c>
      <c r="E11" s="131" t="s">
        <v>9</v>
      </c>
      <c r="F11" s="125"/>
      <c r="G11" s="125" t="s">
        <v>92</v>
      </c>
      <c r="H11" s="131" t="s">
        <v>9</v>
      </c>
      <c r="I11" s="125"/>
      <c r="J11" s="125" t="s">
        <v>71</v>
      </c>
      <c r="K11" s="125" t="s">
        <v>71</v>
      </c>
    </row>
    <row r="12" spans="1:11" ht="13.5" thickBot="1" x14ac:dyDescent="0.25">
      <c r="A12" s="530" t="s">
        <v>52</v>
      </c>
      <c r="B12" s="532" t="s">
        <v>53</v>
      </c>
      <c r="C12" s="125"/>
      <c r="D12" s="535" t="s">
        <v>1147</v>
      </c>
      <c r="E12" s="533" t="str">
        <f>D12</f>
        <v>12/31/2011 DS</v>
      </c>
      <c r="F12" s="125"/>
      <c r="G12" s="536">
        <v>43830</v>
      </c>
      <c r="H12" s="533">
        <f>G12</f>
        <v>43830</v>
      </c>
      <c r="I12" s="125"/>
      <c r="J12" s="532" t="s">
        <v>48</v>
      </c>
      <c r="K12" s="532" t="s">
        <v>9</v>
      </c>
    </row>
    <row r="13" spans="1:11" ht="13.5" thickTop="1" x14ac:dyDescent="0.2">
      <c r="A13" s="119"/>
      <c r="B13" s="125"/>
      <c r="C13" s="125"/>
      <c r="D13" s="125" t="s">
        <v>16</v>
      </c>
      <c r="E13" s="131" t="s">
        <v>16</v>
      </c>
      <c r="F13" s="125"/>
      <c r="G13" s="125" t="s">
        <v>16</v>
      </c>
      <c r="H13" s="131" t="s">
        <v>16</v>
      </c>
      <c r="I13" s="125"/>
      <c r="J13" s="125" t="s">
        <v>16</v>
      </c>
      <c r="K13" s="131" t="s">
        <v>16</v>
      </c>
    </row>
    <row r="14" spans="1:11" x14ac:dyDescent="0.2">
      <c r="A14" s="134"/>
      <c r="B14" s="135" t="s">
        <v>123</v>
      </c>
      <c r="C14" s="130"/>
      <c r="D14" s="136"/>
      <c r="E14" s="136"/>
      <c r="F14" s="130"/>
      <c r="G14" s="136"/>
      <c r="H14" s="136"/>
      <c r="I14" s="130"/>
      <c r="J14" s="136"/>
      <c r="K14" s="136"/>
    </row>
    <row r="15" spans="1:11" x14ac:dyDescent="0.2">
      <c r="A15" s="134"/>
      <c r="B15" s="144" t="s">
        <v>58</v>
      </c>
      <c r="C15" s="130"/>
      <c r="D15" s="145"/>
      <c r="E15" s="145"/>
      <c r="F15" s="130"/>
      <c r="G15" s="145"/>
      <c r="H15" s="145"/>
      <c r="I15" s="130"/>
      <c r="J15" s="145"/>
      <c r="K15" s="145"/>
    </row>
    <row r="16" spans="1:11" x14ac:dyDescent="0.2">
      <c r="A16" s="134"/>
      <c r="B16" s="149" t="s">
        <v>123</v>
      </c>
      <c r="C16" s="130"/>
      <c r="D16" s="145"/>
      <c r="E16" s="145"/>
      <c r="F16" s="130"/>
      <c r="G16" s="145"/>
      <c r="H16" s="145"/>
      <c r="I16" s="130"/>
      <c r="J16" s="145"/>
      <c r="K16" s="145"/>
    </row>
    <row r="17" spans="1:11" x14ac:dyDescent="0.2">
      <c r="A17" s="134"/>
      <c r="B17" s="144" t="s">
        <v>59</v>
      </c>
      <c r="C17" s="130"/>
      <c r="D17" s="145"/>
      <c r="E17" s="145"/>
      <c r="F17" s="130"/>
      <c r="G17" s="145"/>
      <c r="H17" s="145"/>
      <c r="I17" s="130"/>
      <c r="J17" s="145"/>
      <c r="K17" s="145"/>
    </row>
    <row r="18" spans="1:11" x14ac:dyDescent="0.2">
      <c r="A18" s="152"/>
      <c r="B18" s="129"/>
      <c r="C18" s="153"/>
      <c r="D18" s="145"/>
      <c r="E18" s="154"/>
      <c r="F18" s="153"/>
      <c r="G18" s="145"/>
      <c r="H18" s="154"/>
      <c r="I18" s="153"/>
      <c r="J18" s="155"/>
      <c r="K18" s="145"/>
    </row>
    <row r="19" spans="1:11" x14ac:dyDescent="0.2">
      <c r="A19" s="156">
        <v>31140</v>
      </c>
      <c r="B19" s="157" t="s">
        <v>103</v>
      </c>
      <c r="C19" s="153"/>
      <c r="D19" s="158">
        <v>184739689</v>
      </c>
      <c r="E19" s="158">
        <v>30629427</v>
      </c>
      <c r="F19" s="153"/>
      <c r="G19" s="145">
        <f>'Plant &amp; Reserve'!$D19</f>
        <v>224241620</v>
      </c>
      <c r="H19" s="145">
        <f>'Plant &amp; Reserve'!$E19</f>
        <v>57749555</v>
      </c>
      <c r="I19" s="153"/>
      <c r="J19" s="145">
        <f t="shared" ref="J19:K23" si="0">G19-D19</f>
        <v>39501931</v>
      </c>
      <c r="K19" s="145">
        <f t="shared" si="0"/>
        <v>27120128</v>
      </c>
    </row>
    <row r="20" spans="1:11" x14ac:dyDescent="0.2">
      <c r="A20" s="152">
        <v>31240</v>
      </c>
      <c r="B20" s="153" t="s">
        <v>103</v>
      </c>
      <c r="C20" s="153"/>
      <c r="D20" s="158">
        <v>86404462</v>
      </c>
      <c r="E20" s="158">
        <v>29451887</v>
      </c>
      <c r="F20" s="153"/>
      <c r="G20" s="145">
        <f>'Plant &amp; Reserve'!$D20</f>
        <v>182427706</v>
      </c>
      <c r="H20" s="145">
        <f>'Plant &amp; Reserve'!$E20</f>
        <v>7802043</v>
      </c>
      <c r="I20" s="153"/>
      <c r="J20" s="145">
        <f t="shared" si="0"/>
        <v>96023244</v>
      </c>
      <c r="K20" s="145">
        <f t="shared" si="0"/>
        <v>-21649844</v>
      </c>
    </row>
    <row r="21" spans="1:11" x14ac:dyDescent="0.2">
      <c r="A21" s="152">
        <v>31440</v>
      </c>
      <c r="B21" s="153" t="s">
        <v>103</v>
      </c>
      <c r="C21" s="153"/>
      <c r="D21" s="158">
        <v>7058427</v>
      </c>
      <c r="E21" s="158">
        <v>2065618</v>
      </c>
      <c r="F21" s="153"/>
      <c r="G21" s="145">
        <f>'Plant &amp; Reserve'!$D21</f>
        <v>8810869</v>
      </c>
      <c r="H21" s="145">
        <f>'Plant &amp; Reserve'!$E21</f>
        <v>2697279</v>
      </c>
      <c r="I21" s="153"/>
      <c r="J21" s="145">
        <f t="shared" si="0"/>
        <v>1752442</v>
      </c>
      <c r="K21" s="145">
        <f t="shared" si="0"/>
        <v>631661</v>
      </c>
    </row>
    <row r="22" spans="1:11" x14ac:dyDescent="0.2">
      <c r="A22" s="152">
        <v>31540</v>
      </c>
      <c r="B22" s="153" t="s">
        <v>103</v>
      </c>
      <c r="C22" s="153"/>
      <c r="D22" s="158">
        <v>21925445</v>
      </c>
      <c r="E22" s="158">
        <v>10882223</v>
      </c>
      <c r="F22" s="153"/>
      <c r="G22" s="145">
        <f>'Plant &amp; Reserve'!$D22</f>
        <v>43317292</v>
      </c>
      <c r="H22" s="145">
        <f>'Plant &amp; Reserve'!$E22</f>
        <v>12249101</v>
      </c>
      <c r="I22" s="153"/>
      <c r="J22" s="145">
        <f t="shared" si="0"/>
        <v>21391847</v>
      </c>
      <c r="K22" s="145">
        <f t="shared" si="0"/>
        <v>1366878</v>
      </c>
    </row>
    <row r="23" spans="1:11" ht="15" x14ac:dyDescent="0.2">
      <c r="A23" s="152">
        <v>31640</v>
      </c>
      <c r="B23" s="164" t="s">
        <v>103</v>
      </c>
      <c r="C23" s="153"/>
      <c r="D23" s="165">
        <v>9482237</v>
      </c>
      <c r="E23" s="165">
        <v>3332278</v>
      </c>
      <c r="F23" s="153"/>
      <c r="G23" s="166">
        <f>'Plant &amp; Reserve'!$D23</f>
        <v>24865518</v>
      </c>
      <c r="H23" s="166">
        <f>'Plant &amp; Reserve'!$E23</f>
        <v>7544101</v>
      </c>
      <c r="I23" s="153"/>
      <c r="J23" s="166">
        <f t="shared" si="0"/>
        <v>15383281</v>
      </c>
      <c r="K23" s="166">
        <f t="shared" si="0"/>
        <v>4211823</v>
      </c>
    </row>
    <row r="24" spans="1:11" x14ac:dyDescent="0.2">
      <c r="A24" s="134"/>
      <c r="B24" s="125" t="s">
        <v>75</v>
      </c>
      <c r="C24" s="153"/>
      <c r="D24" s="173">
        <f>SUM(D19:D23)</f>
        <v>309610260</v>
      </c>
      <c r="E24" s="173">
        <f>SUM(E19:E23)</f>
        <v>76361433</v>
      </c>
      <c r="F24" s="153"/>
      <c r="G24" s="173">
        <f>SUM(G19:G23)</f>
        <v>483663005</v>
      </c>
      <c r="H24" s="173">
        <f>SUM(H19:H23)</f>
        <v>88042079</v>
      </c>
      <c r="I24" s="153"/>
      <c r="J24" s="174">
        <f>SUM(J19:J23)</f>
        <v>174052745</v>
      </c>
      <c r="K24" s="174">
        <f>SUM(K19:K23)</f>
        <v>11680646</v>
      </c>
    </row>
    <row r="25" spans="1:11" x14ac:dyDescent="0.2">
      <c r="A25" s="140"/>
      <c r="B25" s="129"/>
      <c r="C25" s="153"/>
      <c r="D25" s="158"/>
      <c r="E25" s="158"/>
      <c r="F25" s="153"/>
      <c r="G25" s="145"/>
      <c r="H25" s="145"/>
      <c r="I25" s="153"/>
      <c r="J25" s="145"/>
      <c r="K25" s="145"/>
    </row>
    <row r="26" spans="1:11" x14ac:dyDescent="0.2">
      <c r="A26" s="152">
        <v>31141</v>
      </c>
      <c r="B26" s="159" t="s">
        <v>104</v>
      </c>
      <c r="C26" s="153"/>
      <c r="D26" s="158">
        <v>7805229</v>
      </c>
      <c r="E26" s="158">
        <v>4536435</v>
      </c>
      <c r="F26" s="153"/>
      <c r="G26" s="145">
        <f>'Plant &amp; Reserve'!$D26</f>
        <v>7287126</v>
      </c>
      <c r="H26" s="145">
        <f>'Plant &amp; Reserve'!$E26</f>
        <v>4372602</v>
      </c>
      <c r="I26" s="153"/>
      <c r="J26" s="145">
        <f t="shared" ref="J26:K30" si="1">G26-D26</f>
        <v>-518103</v>
      </c>
      <c r="K26" s="145">
        <f t="shared" si="1"/>
        <v>-163833</v>
      </c>
    </row>
    <row r="27" spans="1:11" x14ac:dyDescent="0.2">
      <c r="A27" s="152">
        <v>31241</v>
      </c>
      <c r="B27" s="153" t="s">
        <v>104</v>
      </c>
      <c r="C27" s="153"/>
      <c r="D27" s="158">
        <v>110807525</v>
      </c>
      <c r="E27" s="158">
        <v>31144084</v>
      </c>
      <c r="F27" s="153"/>
      <c r="G27" s="145">
        <f>'Plant &amp; Reserve'!$D27</f>
        <v>103010917</v>
      </c>
      <c r="H27" s="145">
        <f>'Plant &amp; Reserve'!$E27</f>
        <v>32899782</v>
      </c>
      <c r="I27" s="153"/>
      <c r="J27" s="145">
        <f t="shared" si="1"/>
        <v>-7796608</v>
      </c>
      <c r="K27" s="145">
        <f t="shared" si="1"/>
        <v>1755698</v>
      </c>
    </row>
    <row r="28" spans="1:11" x14ac:dyDescent="0.2">
      <c r="A28" s="152">
        <v>31441</v>
      </c>
      <c r="B28" s="153" t="s">
        <v>104</v>
      </c>
      <c r="C28" s="153"/>
      <c r="D28" s="158">
        <v>33222208</v>
      </c>
      <c r="E28" s="158">
        <v>13005155</v>
      </c>
      <c r="F28" s="153"/>
      <c r="G28" s="145">
        <f>'Plant &amp; Reserve'!$D28</f>
        <v>50483741</v>
      </c>
      <c r="H28" s="145">
        <f>'Plant &amp; Reserve'!$E28</f>
        <v>14981107</v>
      </c>
      <c r="I28" s="153"/>
      <c r="J28" s="145">
        <f t="shared" si="1"/>
        <v>17261533</v>
      </c>
      <c r="K28" s="145">
        <f t="shared" si="1"/>
        <v>1975952</v>
      </c>
    </row>
    <row r="29" spans="1:11" x14ac:dyDescent="0.2">
      <c r="A29" s="152">
        <v>31541</v>
      </c>
      <c r="B29" s="153" t="s">
        <v>104</v>
      </c>
      <c r="C29" s="153"/>
      <c r="D29" s="158">
        <v>16169520</v>
      </c>
      <c r="E29" s="158">
        <v>6334917</v>
      </c>
      <c r="F29" s="153"/>
      <c r="G29" s="145">
        <f>'Plant &amp; Reserve'!$D29</f>
        <v>17018634</v>
      </c>
      <c r="H29" s="145">
        <f>'Plant &amp; Reserve'!$E29</f>
        <v>7874214</v>
      </c>
      <c r="I29" s="153"/>
      <c r="J29" s="145">
        <f t="shared" si="1"/>
        <v>849114</v>
      </c>
      <c r="K29" s="145">
        <f t="shared" si="1"/>
        <v>1539297</v>
      </c>
    </row>
    <row r="30" spans="1:11" ht="15" x14ac:dyDescent="0.2">
      <c r="A30" s="152">
        <v>31641</v>
      </c>
      <c r="B30" s="164" t="s">
        <v>104</v>
      </c>
      <c r="C30" s="153"/>
      <c r="D30" s="165">
        <v>1039413</v>
      </c>
      <c r="E30" s="165">
        <v>510345</v>
      </c>
      <c r="F30" s="153"/>
      <c r="G30" s="166">
        <f>'Plant &amp; Reserve'!$D30</f>
        <v>969784</v>
      </c>
      <c r="H30" s="166">
        <f>'Plant &amp; Reserve'!$E30</f>
        <v>505230</v>
      </c>
      <c r="I30" s="153"/>
      <c r="J30" s="166">
        <f t="shared" si="1"/>
        <v>-69629</v>
      </c>
      <c r="K30" s="166">
        <f t="shared" si="1"/>
        <v>-5115</v>
      </c>
    </row>
    <row r="31" spans="1:11" x14ac:dyDescent="0.2">
      <c r="A31" s="134"/>
      <c r="B31" s="125" t="s">
        <v>75</v>
      </c>
      <c r="C31" s="153"/>
      <c r="D31" s="173">
        <f>SUM(D26:D30)</f>
        <v>169043895</v>
      </c>
      <c r="E31" s="174">
        <f>SUM(E26:E30)</f>
        <v>55530936</v>
      </c>
      <c r="F31" s="153"/>
      <c r="G31" s="173">
        <f>SUM(G26:G30)</f>
        <v>178770202</v>
      </c>
      <c r="H31" s="173">
        <f>SUM(H26:H30)</f>
        <v>60632935</v>
      </c>
      <c r="I31" s="153"/>
      <c r="J31" s="174">
        <f>SUM(J26:J30)</f>
        <v>9726307</v>
      </c>
      <c r="K31" s="174">
        <f>SUM(K26:K30)</f>
        <v>5101999</v>
      </c>
    </row>
    <row r="32" spans="1:11" x14ac:dyDescent="0.2">
      <c r="A32" s="140"/>
      <c r="B32" s="129"/>
      <c r="C32" s="153"/>
      <c r="D32" s="158"/>
      <c r="E32" s="158"/>
      <c r="F32" s="153"/>
      <c r="G32" s="145"/>
      <c r="H32" s="145"/>
      <c r="I32" s="153"/>
      <c r="J32" s="145"/>
      <c r="K32" s="145"/>
    </row>
    <row r="33" spans="1:11" x14ac:dyDescent="0.2">
      <c r="A33" s="152">
        <v>31142</v>
      </c>
      <c r="B33" s="159" t="s">
        <v>105</v>
      </c>
      <c r="C33" s="153"/>
      <c r="D33" s="158">
        <v>7942204</v>
      </c>
      <c r="E33" s="158">
        <v>4128797</v>
      </c>
      <c r="F33" s="153"/>
      <c r="G33" s="145">
        <f>'Plant &amp; Reserve'!$D33</f>
        <v>7047810</v>
      </c>
      <c r="H33" s="145">
        <f>'Plant &amp; Reserve'!$E33</f>
        <v>3899544</v>
      </c>
      <c r="I33" s="153"/>
      <c r="J33" s="145">
        <f t="shared" ref="J33:K37" si="2">G33-D33</f>
        <v>-894394</v>
      </c>
      <c r="K33" s="145">
        <f t="shared" si="2"/>
        <v>-229253</v>
      </c>
    </row>
    <row r="34" spans="1:11" x14ac:dyDescent="0.2">
      <c r="A34" s="152">
        <v>31242</v>
      </c>
      <c r="B34" s="153" t="s">
        <v>105</v>
      </c>
      <c r="C34" s="153"/>
      <c r="D34" s="158">
        <v>93060774</v>
      </c>
      <c r="E34" s="158">
        <v>22446660</v>
      </c>
      <c r="F34" s="153"/>
      <c r="G34" s="145">
        <f>'Plant &amp; Reserve'!$D34</f>
        <v>86094075</v>
      </c>
      <c r="H34" s="145">
        <f>'Plant &amp; Reserve'!$E34</f>
        <v>28513715</v>
      </c>
      <c r="I34" s="153"/>
      <c r="J34" s="145">
        <f t="shared" si="2"/>
        <v>-6966699</v>
      </c>
      <c r="K34" s="145">
        <f t="shared" si="2"/>
        <v>6067055</v>
      </c>
    </row>
    <row r="35" spans="1:11" x14ac:dyDescent="0.2">
      <c r="A35" s="152">
        <v>31442</v>
      </c>
      <c r="B35" s="153" t="s">
        <v>105</v>
      </c>
      <c r="C35" s="153"/>
      <c r="D35" s="158">
        <v>45929087</v>
      </c>
      <c r="E35" s="158">
        <v>9311423</v>
      </c>
      <c r="F35" s="153"/>
      <c r="G35" s="145">
        <f>'Plant &amp; Reserve'!$D35</f>
        <v>50791176</v>
      </c>
      <c r="H35" s="145">
        <f>'Plant &amp; Reserve'!$E35</f>
        <v>23173471</v>
      </c>
      <c r="I35" s="153"/>
      <c r="J35" s="145">
        <f t="shared" si="2"/>
        <v>4862089</v>
      </c>
      <c r="K35" s="145">
        <f t="shared" si="2"/>
        <v>13862048</v>
      </c>
    </row>
    <row r="36" spans="1:11" x14ac:dyDescent="0.2">
      <c r="A36" s="152">
        <v>31542</v>
      </c>
      <c r="B36" s="153" t="s">
        <v>105</v>
      </c>
      <c r="C36" s="153"/>
      <c r="D36" s="158">
        <v>13655156</v>
      </c>
      <c r="E36" s="158">
        <v>5592260</v>
      </c>
      <c r="F36" s="153"/>
      <c r="G36" s="145">
        <f>'Plant &amp; Reserve'!$D36</f>
        <v>18870058</v>
      </c>
      <c r="H36" s="145">
        <f>'Plant &amp; Reserve'!$E36</f>
        <v>6995820</v>
      </c>
      <c r="I36" s="153"/>
      <c r="J36" s="145">
        <f t="shared" si="2"/>
        <v>5214902</v>
      </c>
      <c r="K36" s="145">
        <f t="shared" si="2"/>
        <v>1403560</v>
      </c>
    </row>
    <row r="37" spans="1:11" ht="15" x14ac:dyDescent="0.2">
      <c r="A37" s="152">
        <v>31642</v>
      </c>
      <c r="B37" s="164" t="s">
        <v>105</v>
      </c>
      <c r="C37" s="153"/>
      <c r="D37" s="165">
        <v>680141</v>
      </c>
      <c r="E37" s="165">
        <v>340771</v>
      </c>
      <c r="F37" s="153"/>
      <c r="G37" s="166">
        <f>'Plant &amp; Reserve'!$D37</f>
        <v>546950</v>
      </c>
      <c r="H37" s="166">
        <f>'Plant &amp; Reserve'!$E37</f>
        <v>469004</v>
      </c>
      <c r="I37" s="153"/>
      <c r="J37" s="166">
        <f t="shared" si="2"/>
        <v>-133191</v>
      </c>
      <c r="K37" s="166">
        <f t="shared" si="2"/>
        <v>128233</v>
      </c>
    </row>
    <row r="38" spans="1:11" x14ac:dyDescent="0.2">
      <c r="A38" s="134"/>
      <c r="B38" s="125" t="s">
        <v>75</v>
      </c>
      <c r="C38" s="153"/>
      <c r="D38" s="173">
        <f>SUM(D33:D37)</f>
        <v>161267362</v>
      </c>
      <c r="E38" s="173">
        <f>SUM(E33:E37)</f>
        <v>41819911</v>
      </c>
      <c r="F38" s="153"/>
      <c r="G38" s="173">
        <f>SUM(G33:G37)</f>
        <v>163350069</v>
      </c>
      <c r="H38" s="173">
        <f>SUM(H33:H37)</f>
        <v>63051554</v>
      </c>
      <c r="I38" s="153"/>
      <c r="J38" s="174">
        <f>SUM(J33:J37)</f>
        <v>2082707</v>
      </c>
      <c r="K38" s="174">
        <f>SUM(K33:K37)</f>
        <v>21231643</v>
      </c>
    </row>
    <row r="39" spans="1:11" x14ac:dyDescent="0.2">
      <c r="A39" s="140"/>
      <c r="B39" s="129"/>
      <c r="C39" s="153"/>
      <c r="D39" s="158"/>
      <c r="E39" s="158"/>
      <c r="F39" s="153"/>
      <c r="G39" s="145"/>
      <c r="H39" s="145"/>
      <c r="I39" s="153"/>
      <c r="J39" s="145"/>
      <c r="K39" s="145"/>
    </row>
    <row r="40" spans="1:11" x14ac:dyDescent="0.2">
      <c r="A40" s="152">
        <v>31143</v>
      </c>
      <c r="B40" s="159" t="s">
        <v>106</v>
      </c>
      <c r="C40" s="153"/>
      <c r="D40" s="158">
        <v>15210736</v>
      </c>
      <c r="E40" s="158">
        <v>8497884</v>
      </c>
      <c r="F40" s="153"/>
      <c r="G40" s="145">
        <f>'Plant &amp; Reserve'!$D40</f>
        <v>15325678</v>
      </c>
      <c r="H40" s="145">
        <f>'Plant &amp; Reserve'!$E40</f>
        <v>10046181</v>
      </c>
      <c r="I40" s="153"/>
      <c r="J40" s="145">
        <f t="shared" ref="J40:K44" si="3">G40-D40</f>
        <v>114942</v>
      </c>
      <c r="K40" s="145">
        <f t="shared" si="3"/>
        <v>1548297</v>
      </c>
    </row>
    <row r="41" spans="1:11" x14ac:dyDescent="0.2">
      <c r="A41" s="152">
        <v>31243</v>
      </c>
      <c r="B41" s="153" t="s">
        <v>106</v>
      </c>
      <c r="C41" s="153"/>
      <c r="D41" s="158">
        <v>136134008</v>
      </c>
      <c r="E41" s="158">
        <v>48095949</v>
      </c>
      <c r="F41" s="153"/>
      <c r="G41" s="145">
        <f>'Plant &amp; Reserve'!$D41</f>
        <v>161974329</v>
      </c>
      <c r="H41" s="145">
        <f>'Plant &amp; Reserve'!$E41</f>
        <v>57370340</v>
      </c>
      <c r="I41" s="153"/>
      <c r="J41" s="145">
        <f t="shared" si="3"/>
        <v>25840321</v>
      </c>
      <c r="K41" s="145">
        <f t="shared" si="3"/>
        <v>9274391</v>
      </c>
    </row>
    <row r="42" spans="1:11" x14ac:dyDescent="0.2">
      <c r="A42" s="152">
        <v>31443</v>
      </c>
      <c r="B42" s="153" t="s">
        <v>106</v>
      </c>
      <c r="C42" s="153"/>
      <c r="D42" s="158">
        <v>41712186</v>
      </c>
      <c r="E42" s="158">
        <v>17130833</v>
      </c>
      <c r="F42" s="153"/>
      <c r="G42" s="145">
        <f>'Plant &amp; Reserve'!$D42</f>
        <v>51936423</v>
      </c>
      <c r="H42" s="145">
        <f>'Plant &amp; Reserve'!$E42</f>
        <v>22630224</v>
      </c>
      <c r="I42" s="153"/>
      <c r="J42" s="145">
        <f t="shared" si="3"/>
        <v>10224237</v>
      </c>
      <c r="K42" s="145">
        <f t="shared" si="3"/>
        <v>5499391</v>
      </c>
    </row>
    <row r="43" spans="1:11" x14ac:dyDescent="0.2">
      <c r="A43" s="152">
        <v>31543</v>
      </c>
      <c r="B43" s="153" t="s">
        <v>106</v>
      </c>
      <c r="C43" s="153"/>
      <c r="D43" s="158">
        <v>23601913</v>
      </c>
      <c r="E43" s="158">
        <v>12660571</v>
      </c>
      <c r="F43" s="153"/>
      <c r="G43" s="145">
        <f>'Plant &amp; Reserve'!$D43</f>
        <v>24874085</v>
      </c>
      <c r="H43" s="145">
        <f>'Plant &amp; Reserve'!$E43</f>
        <v>14670556</v>
      </c>
      <c r="I43" s="153"/>
      <c r="J43" s="145">
        <f t="shared" si="3"/>
        <v>1272172</v>
      </c>
      <c r="K43" s="145">
        <f t="shared" si="3"/>
        <v>2009985</v>
      </c>
    </row>
    <row r="44" spans="1:11" ht="15" x14ac:dyDescent="0.2">
      <c r="A44" s="152">
        <v>31643</v>
      </c>
      <c r="B44" s="164" t="s">
        <v>106</v>
      </c>
      <c r="C44" s="153"/>
      <c r="D44" s="165">
        <v>1421289</v>
      </c>
      <c r="E44" s="165">
        <v>595657</v>
      </c>
      <c r="F44" s="153"/>
      <c r="G44" s="166">
        <f>'Plant &amp; Reserve'!$D44</f>
        <v>1988253</v>
      </c>
      <c r="H44" s="166">
        <f>'Plant &amp; Reserve'!$E44</f>
        <v>841326</v>
      </c>
      <c r="I44" s="153"/>
      <c r="J44" s="166">
        <f t="shared" si="3"/>
        <v>566964</v>
      </c>
      <c r="K44" s="166">
        <f t="shared" si="3"/>
        <v>245669</v>
      </c>
    </row>
    <row r="45" spans="1:11" x14ac:dyDescent="0.2">
      <c r="A45" s="134"/>
      <c r="B45" s="125" t="s">
        <v>75</v>
      </c>
      <c r="C45" s="153"/>
      <c r="D45" s="173">
        <f>SUM(D40:D44)</f>
        <v>218080132</v>
      </c>
      <c r="E45" s="173">
        <f>SUM(E40:E44)</f>
        <v>86980894</v>
      </c>
      <c r="F45" s="153"/>
      <c r="G45" s="173">
        <f>SUM(G40:G44)</f>
        <v>256098768</v>
      </c>
      <c r="H45" s="173">
        <f>SUM(H40:H44)</f>
        <v>105558627</v>
      </c>
      <c r="I45" s="153"/>
      <c r="J45" s="174">
        <f>SUM(J40:J44)</f>
        <v>38018636</v>
      </c>
      <c r="K45" s="174">
        <f>SUM(K40:K44)</f>
        <v>18577733</v>
      </c>
    </row>
    <row r="46" spans="1:11" x14ac:dyDescent="0.2">
      <c r="A46" s="140"/>
      <c r="B46" s="129"/>
      <c r="C46" s="153"/>
      <c r="D46" s="158"/>
      <c r="E46" s="158"/>
      <c r="F46" s="153"/>
      <c r="G46" s="145"/>
      <c r="H46" s="145"/>
      <c r="I46" s="153"/>
      <c r="J46" s="145"/>
      <c r="K46" s="145"/>
    </row>
    <row r="47" spans="1:11" x14ac:dyDescent="0.2">
      <c r="A47" s="152">
        <v>31144</v>
      </c>
      <c r="B47" s="157" t="s">
        <v>107</v>
      </c>
      <c r="C47" s="153"/>
      <c r="D47" s="158">
        <v>62252419</v>
      </c>
      <c r="E47" s="158">
        <v>27092074</v>
      </c>
      <c r="F47" s="153"/>
      <c r="G47" s="145">
        <f>'Plant &amp; Reserve'!$D47</f>
        <v>63363346</v>
      </c>
      <c r="H47" s="145">
        <f>'Plant &amp; Reserve'!$E47</f>
        <v>35084564</v>
      </c>
      <c r="I47" s="153"/>
      <c r="J47" s="145">
        <f t="shared" ref="J47:K51" si="4">G47-D47</f>
        <v>1110927</v>
      </c>
      <c r="K47" s="145">
        <f t="shared" si="4"/>
        <v>7992490</v>
      </c>
    </row>
    <row r="48" spans="1:11" x14ac:dyDescent="0.2">
      <c r="A48" s="152">
        <v>31244</v>
      </c>
      <c r="B48" s="153" t="s">
        <v>107</v>
      </c>
      <c r="C48" s="153"/>
      <c r="D48" s="158">
        <v>240825925</v>
      </c>
      <c r="E48" s="158">
        <v>101634583</v>
      </c>
      <c r="F48" s="153"/>
      <c r="G48" s="145">
        <f>'Plant &amp; Reserve'!$D48</f>
        <v>256349257</v>
      </c>
      <c r="H48" s="145">
        <f>'Plant &amp; Reserve'!$E48</f>
        <v>107883134</v>
      </c>
      <c r="I48" s="153"/>
      <c r="J48" s="145">
        <f t="shared" si="4"/>
        <v>15523332</v>
      </c>
      <c r="K48" s="145">
        <f t="shared" si="4"/>
        <v>6248551</v>
      </c>
    </row>
    <row r="49" spans="1:11" x14ac:dyDescent="0.2">
      <c r="A49" s="152">
        <v>31444</v>
      </c>
      <c r="B49" s="153" t="s">
        <v>107</v>
      </c>
      <c r="C49" s="153"/>
      <c r="D49" s="158">
        <v>95816193</v>
      </c>
      <c r="E49" s="158">
        <v>35760022</v>
      </c>
      <c r="F49" s="153"/>
      <c r="G49" s="145">
        <f>'Plant &amp; Reserve'!$D49</f>
        <v>97781085</v>
      </c>
      <c r="H49" s="145">
        <f>'Plant &amp; Reserve'!$E49</f>
        <v>46820220</v>
      </c>
      <c r="I49" s="153"/>
      <c r="J49" s="145">
        <f t="shared" si="4"/>
        <v>1964892</v>
      </c>
      <c r="K49" s="145">
        <f t="shared" si="4"/>
        <v>11060198</v>
      </c>
    </row>
    <row r="50" spans="1:11" x14ac:dyDescent="0.2">
      <c r="A50" s="152">
        <v>31544</v>
      </c>
      <c r="B50" s="153" t="s">
        <v>107</v>
      </c>
      <c r="C50" s="153"/>
      <c r="D50" s="158">
        <v>44845324</v>
      </c>
      <c r="E50" s="158">
        <v>21780062</v>
      </c>
      <c r="F50" s="153"/>
      <c r="G50" s="145">
        <f>'Plant &amp; Reserve'!$D50</f>
        <v>44729060</v>
      </c>
      <c r="H50" s="145">
        <f>'Plant &amp; Reserve'!$E50</f>
        <v>27972672</v>
      </c>
      <c r="I50" s="153"/>
      <c r="J50" s="145">
        <f t="shared" si="4"/>
        <v>-116264</v>
      </c>
      <c r="K50" s="145">
        <f t="shared" si="4"/>
        <v>6192610</v>
      </c>
    </row>
    <row r="51" spans="1:11" ht="15" x14ac:dyDescent="0.2">
      <c r="A51" s="152">
        <v>31644</v>
      </c>
      <c r="B51" s="164" t="s">
        <v>107</v>
      </c>
      <c r="C51" s="153"/>
      <c r="D51" s="165">
        <v>5824796</v>
      </c>
      <c r="E51" s="165">
        <v>2852667</v>
      </c>
      <c r="F51" s="153"/>
      <c r="G51" s="166">
        <f>'Plant &amp; Reserve'!$D51</f>
        <v>5865812</v>
      </c>
      <c r="H51" s="166">
        <f>'Plant &amp; Reserve'!$E51</f>
        <v>3789636</v>
      </c>
      <c r="I51" s="153"/>
      <c r="J51" s="166">
        <f t="shared" si="4"/>
        <v>41016</v>
      </c>
      <c r="K51" s="166">
        <f t="shared" si="4"/>
        <v>936969</v>
      </c>
    </row>
    <row r="52" spans="1:11" x14ac:dyDescent="0.2">
      <c r="A52" s="134"/>
      <c r="B52" s="125" t="s">
        <v>75</v>
      </c>
      <c r="C52" s="153"/>
      <c r="D52" s="173">
        <f>SUM(D47:D51)</f>
        <v>449564657</v>
      </c>
      <c r="E52" s="173">
        <f>SUM(E47:E51)</f>
        <v>189119408</v>
      </c>
      <c r="F52" s="153"/>
      <c r="G52" s="173">
        <f>SUM(G47:G51)</f>
        <v>468088560</v>
      </c>
      <c r="H52" s="173">
        <f>SUM(H47:H51)</f>
        <v>221550226</v>
      </c>
      <c r="I52" s="153"/>
      <c r="J52" s="174">
        <f>SUM(J47:J51)</f>
        <v>18523903</v>
      </c>
      <c r="K52" s="174">
        <f>SUM(K47:K51)</f>
        <v>32430818</v>
      </c>
    </row>
    <row r="53" spans="1:11" x14ac:dyDescent="0.2">
      <c r="A53" s="140"/>
      <c r="B53" s="129"/>
      <c r="C53" s="153"/>
      <c r="D53" s="158"/>
      <c r="E53" s="158"/>
      <c r="F53" s="153"/>
      <c r="G53" s="145"/>
      <c r="H53" s="145"/>
      <c r="I53" s="153"/>
      <c r="J53" s="145"/>
      <c r="K53" s="145"/>
    </row>
    <row r="54" spans="1:11" x14ac:dyDescent="0.2">
      <c r="A54" s="152">
        <v>31146</v>
      </c>
      <c r="B54" s="153" t="s">
        <v>81</v>
      </c>
      <c r="C54" s="153"/>
      <c r="D54" s="158">
        <v>12704905</v>
      </c>
      <c r="E54" s="158">
        <v>4620199</v>
      </c>
      <c r="F54" s="153"/>
      <c r="G54" s="145">
        <f>'Plant &amp; Reserve'!$D54</f>
        <v>12704432</v>
      </c>
      <c r="H54" s="145">
        <f>'Plant &amp; Reserve'!$E54</f>
        <v>6963736</v>
      </c>
      <c r="I54" s="153"/>
      <c r="J54" s="145">
        <f t="shared" ref="J54:K57" si="5">G54-D54</f>
        <v>-473</v>
      </c>
      <c r="K54" s="145">
        <f t="shared" si="5"/>
        <v>2343537</v>
      </c>
    </row>
    <row r="55" spans="1:11" x14ac:dyDescent="0.2">
      <c r="A55" s="152">
        <v>31246</v>
      </c>
      <c r="B55" s="153" t="s">
        <v>81</v>
      </c>
      <c r="C55" s="153"/>
      <c r="D55" s="158">
        <v>62048197</v>
      </c>
      <c r="E55" s="158">
        <v>22720358</v>
      </c>
      <c r="F55" s="153"/>
      <c r="G55" s="145">
        <f>'Plant &amp; Reserve'!$D55</f>
        <v>54859777</v>
      </c>
      <c r="H55" s="145">
        <f>'Plant &amp; Reserve'!$E55</f>
        <v>17563767</v>
      </c>
      <c r="I55" s="153"/>
      <c r="J55" s="145">
        <f t="shared" si="5"/>
        <v>-7188420</v>
      </c>
      <c r="K55" s="145">
        <f t="shared" si="5"/>
        <v>-5156591</v>
      </c>
    </row>
    <row r="56" spans="1:11" x14ac:dyDescent="0.2">
      <c r="A56" s="152">
        <v>31546</v>
      </c>
      <c r="B56" s="153" t="s">
        <v>81</v>
      </c>
      <c r="C56" s="153"/>
      <c r="D56" s="158">
        <v>9106525</v>
      </c>
      <c r="E56" s="158">
        <v>3658094</v>
      </c>
      <c r="F56" s="153"/>
      <c r="G56" s="145">
        <f>'Plant &amp; Reserve'!$D56</f>
        <v>9765956</v>
      </c>
      <c r="H56" s="145">
        <f>'Plant &amp; Reserve'!$E56</f>
        <v>4472632</v>
      </c>
      <c r="I56" s="153"/>
      <c r="J56" s="145">
        <f t="shared" si="5"/>
        <v>659431</v>
      </c>
      <c r="K56" s="145">
        <f t="shared" si="5"/>
        <v>814538</v>
      </c>
    </row>
    <row r="57" spans="1:11" ht="15" x14ac:dyDescent="0.2">
      <c r="A57" s="152">
        <v>31646</v>
      </c>
      <c r="B57" s="164" t="s">
        <v>81</v>
      </c>
      <c r="C57" s="153"/>
      <c r="D57" s="165">
        <v>1779904</v>
      </c>
      <c r="E57" s="165">
        <v>611361</v>
      </c>
      <c r="F57" s="153"/>
      <c r="G57" s="166">
        <f>'Plant &amp; Reserve'!$D57</f>
        <v>1725496</v>
      </c>
      <c r="H57" s="166">
        <f>'Plant &amp; Reserve'!$E57</f>
        <v>940785</v>
      </c>
      <c r="I57" s="153"/>
      <c r="J57" s="166">
        <f t="shared" si="5"/>
        <v>-54408</v>
      </c>
      <c r="K57" s="166">
        <f t="shared" si="5"/>
        <v>329424</v>
      </c>
    </row>
    <row r="58" spans="1:11" x14ac:dyDescent="0.2">
      <c r="A58" s="134"/>
      <c r="B58" s="125" t="s">
        <v>75</v>
      </c>
      <c r="C58" s="153"/>
      <c r="D58" s="173">
        <f>SUM(D54:D57)</f>
        <v>85639531</v>
      </c>
      <c r="E58" s="173">
        <f>SUM(E54:E57)</f>
        <v>31610012</v>
      </c>
      <c r="F58" s="153"/>
      <c r="G58" s="173">
        <f>SUM(G54:G57)</f>
        <v>79055661</v>
      </c>
      <c r="H58" s="173">
        <f>SUM(H54:H57)</f>
        <v>29940920</v>
      </c>
      <c r="I58" s="153"/>
      <c r="J58" s="174">
        <f>SUM(J54:J57)</f>
        <v>-6583870</v>
      </c>
      <c r="K58" s="174">
        <f>SUM(K54:K57)</f>
        <v>-1669092</v>
      </c>
    </row>
    <row r="59" spans="1:11" x14ac:dyDescent="0.2">
      <c r="A59" s="140"/>
      <c r="B59" s="129"/>
      <c r="C59" s="153"/>
      <c r="D59" s="158"/>
      <c r="E59" s="158"/>
      <c r="F59" s="153"/>
      <c r="G59" s="145"/>
      <c r="H59" s="145"/>
      <c r="I59" s="153"/>
      <c r="J59" s="145"/>
      <c r="K59" s="145"/>
    </row>
    <row r="60" spans="1:11" x14ac:dyDescent="0.2">
      <c r="A60" s="152">
        <v>31145</v>
      </c>
      <c r="B60" s="153" t="s">
        <v>82</v>
      </c>
      <c r="C60" s="153"/>
      <c r="D60" s="158">
        <v>22335775</v>
      </c>
      <c r="E60" s="158">
        <v>9841485</v>
      </c>
      <c r="F60" s="153"/>
      <c r="G60" s="145">
        <f>'Plant &amp; Reserve'!$D60</f>
        <v>23911919</v>
      </c>
      <c r="H60" s="145">
        <f>'Plant &amp; Reserve'!$E60</f>
        <v>12429312</v>
      </c>
      <c r="I60" s="153"/>
      <c r="J60" s="145">
        <f t="shared" ref="J60:K63" si="6">G60-D60</f>
        <v>1576144</v>
      </c>
      <c r="K60" s="145">
        <f t="shared" si="6"/>
        <v>2587827</v>
      </c>
    </row>
    <row r="61" spans="1:11" x14ac:dyDescent="0.2">
      <c r="A61" s="152">
        <v>31245</v>
      </c>
      <c r="B61" s="153" t="s">
        <v>82</v>
      </c>
      <c r="C61" s="153"/>
      <c r="D61" s="158">
        <v>158320811</v>
      </c>
      <c r="E61" s="158">
        <v>73301149</v>
      </c>
      <c r="F61" s="153"/>
      <c r="G61" s="145">
        <f>'Plant &amp; Reserve'!$D61</f>
        <v>159201062</v>
      </c>
      <c r="H61" s="145">
        <f>'Plant &amp; Reserve'!$E61</f>
        <v>59943108</v>
      </c>
      <c r="I61" s="153"/>
      <c r="J61" s="145">
        <f t="shared" si="6"/>
        <v>880251</v>
      </c>
      <c r="K61" s="145">
        <f t="shared" si="6"/>
        <v>-13358041</v>
      </c>
    </row>
    <row r="62" spans="1:11" x14ac:dyDescent="0.2">
      <c r="A62" s="152">
        <v>31545</v>
      </c>
      <c r="B62" s="153" t="s">
        <v>82</v>
      </c>
      <c r="C62" s="153"/>
      <c r="D62" s="158">
        <v>23158012</v>
      </c>
      <c r="E62" s="158">
        <v>11537510</v>
      </c>
      <c r="F62" s="153"/>
      <c r="G62" s="145">
        <f>'Plant &amp; Reserve'!$D62</f>
        <v>26927794</v>
      </c>
      <c r="H62" s="145">
        <f>'Plant &amp; Reserve'!$E62</f>
        <v>15730990</v>
      </c>
      <c r="I62" s="153"/>
      <c r="J62" s="145">
        <f t="shared" si="6"/>
        <v>3769782</v>
      </c>
      <c r="K62" s="145">
        <f t="shared" si="6"/>
        <v>4193480</v>
      </c>
    </row>
    <row r="63" spans="1:11" ht="15" x14ac:dyDescent="0.2">
      <c r="A63" s="152">
        <v>31645</v>
      </c>
      <c r="B63" s="164" t="s">
        <v>82</v>
      </c>
      <c r="C63" s="153"/>
      <c r="D63" s="165">
        <v>752024</v>
      </c>
      <c r="E63" s="165">
        <v>588866</v>
      </c>
      <c r="F63" s="153"/>
      <c r="G63" s="166">
        <f>'Plant &amp; Reserve'!$D63</f>
        <v>689414</v>
      </c>
      <c r="H63" s="166">
        <f>'Plant &amp; Reserve'!$E63</f>
        <v>611169</v>
      </c>
      <c r="I63" s="153"/>
      <c r="J63" s="166">
        <f t="shared" si="6"/>
        <v>-62610</v>
      </c>
      <c r="K63" s="166">
        <f t="shared" si="6"/>
        <v>22303</v>
      </c>
    </row>
    <row r="64" spans="1:11" x14ac:dyDescent="0.2">
      <c r="A64" s="134"/>
      <c r="B64" s="125" t="s">
        <v>75</v>
      </c>
      <c r="C64" s="153"/>
      <c r="D64" s="173">
        <f>SUM(D60:D63)</f>
        <v>204566622</v>
      </c>
      <c r="E64" s="174">
        <f>SUM(E60:E63)</f>
        <v>95269010</v>
      </c>
      <c r="F64" s="153"/>
      <c r="G64" s="173">
        <f>SUM(G60:G63)</f>
        <v>210730189</v>
      </c>
      <c r="H64" s="173">
        <f>SUM(H60:H63)</f>
        <v>88714579</v>
      </c>
      <c r="I64" s="153"/>
      <c r="J64" s="174">
        <f>SUM(J60:J63)</f>
        <v>6163567</v>
      </c>
      <c r="K64" s="174">
        <f>SUM(K60:K63)</f>
        <v>-6554431</v>
      </c>
    </row>
    <row r="65" spans="1:11" x14ac:dyDescent="0.2">
      <c r="A65" s="140"/>
      <c r="B65" s="129"/>
      <c r="C65" s="153"/>
      <c r="D65" s="158"/>
      <c r="E65" s="158"/>
      <c r="F65" s="153"/>
      <c r="G65" s="145"/>
      <c r="H65" s="145"/>
      <c r="I65" s="153"/>
      <c r="J65" s="145"/>
      <c r="K65" s="145"/>
    </row>
    <row r="66" spans="1:11" x14ac:dyDescent="0.2">
      <c r="A66" s="178">
        <v>31151</v>
      </c>
      <c r="B66" s="159" t="s">
        <v>95</v>
      </c>
      <c r="C66" s="153"/>
      <c r="D66" s="158">
        <v>22651018</v>
      </c>
      <c r="E66" s="158">
        <v>1374658</v>
      </c>
      <c r="F66" s="153"/>
      <c r="G66" s="145">
        <f>'Plant &amp; Reserve'!$D66</f>
        <v>23136623</v>
      </c>
      <c r="H66" s="145">
        <f>'Plant &amp; Reserve'!$E66</f>
        <v>9010952</v>
      </c>
      <c r="I66" s="153"/>
      <c r="J66" s="145">
        <f t="shared" ref="J66:K69" si="7">G66-D66</f>
        <v>485605</v>
      </c>
      <c r="K66" s="145">
        <f t="shared" si="7"/>
        <v>7636294</v>
      </c>
    </row>
    <row r="67" spans="1:11" x14ac:dyDescent="0.2">
      <c r="A67" s="178">
        <v>31251</v>
      </c>
      <c r="B67" s="153" t="s">
        <v>95</v>
      </c>
      <c r="C67" s="153"/>
      <c r="D67" s="158">
        <v>45302037</v>
      </c>
      <c r="E67" s="158">
        <v>2974633</v>
      </c>
      <c r="F67" s="153"/>
      <c r="G67" s="145">
        <f>'Plant &amp; Reserve'!$D67</f>
        <v>46985093</v>
      </c>
      <c r="H67" s="145">
        <f>'Plant &amp; Reserve'!$E67</f>
        <v>20192629</v>
      </c>
      <c r="I67" s="153"/>
      <c r="J67" s="145">
        <f t="shared" si="7"/>
        <v>1683056</v>
      </c>
      <c r="K67" s="145">
        <f t="shared" si="7"/>
        <v>17217996</v>
      </c>
    </row>
    <row r="68" spans="1:11" x14ac:dyDescent="0.2">
      <c r="A68" s="178">
        <v>31551</v>
      </c>
      <c r="B68" s="153" t="s">
        <v>95</v>
      </c>
      <c r="C68" s="153"/>
      <c r="D68" s="158">
        <v>15100679</v>
      </c>
      <c r="E68" s="158">
        <v>1090377</v>
      </c>
      <c r="F68" s="153"/>
      <c r="G68" s="145">
        <f>'Plant &amp; Reserve'!$D68</f>
        <v>14576031</v>
      </c>
      <c r="H68" s="145">
        <f>'Plant &amp; Reserve'!$E68</f>
        <v>6626055</v>
      </c>
      <c r="I68" s="153"/>
      <c r="J68" s="145">
        <f t="shared" si="7"/>
        <v>-524648</v>
      </c>
      <c r="K68" s="145">
        <f t="shared" si="7"/>
        <v>5535678</v>
      </c>
    </row>
    <row r="69" spans="1:11" ht="15" x14ac:dyDescent="0.2">
      <c r="A69" s="178">
        <v>31651</v>
      </c>
      <c r="B69" s="164" t="s">
        <v>95</v>
      </c>
      <c r="C69" s="153"/>
      <c r="D69" s="165">
        <v>838927</v>
      </c>
      <c r="E69" s="165">
        <v>50887</v>
      </c>
      <c r="F69" s="153"/>
      <c r="G69" s="166">
        <f>'Plant &amp; Reserve'!$D69</f>
        <v>879815</v>
      </c>
      <c r="H69" s="166">
        <f>'Plant &amp; Reserve'!$E69</f>
        <v>347892</v>
      </c>
      <c r="I69" s="153"/>
      <c r="J69" s="166">
        <f t="shared" si="7"/>
        <v>40888</v>
      </c>
      <c r="K69" s="166">
        <f t="shared" si="7"/>
        <v>297005</v>
      </c>
    </row>
    <row r="70" spans="1:11" x14ac:dyDescent="0.2">
      <c r="A70" s="178"/>
      <c r="B70" s="125" t="s">
        <v>75</v>
      </c>
      <c r="C70" s="153"/>
      <c r="D70" s="173">
        <f>SUM(D66:D69)</f>
        <v>83892661</v>
      </c>
      <c r="E70" s="174">
        <f>SUM(E66:E69)</f>
        <v>5490555</v>
      </c>
      <c r="F70" s="153"/>
      <c r="G70" s="173">
        <f>SUM(G66:G69)</f>
        <v>85577562</v>
      </c>
      <c r="H70" s="173">
        <f>SUM(H66:H69)</f>
        <v>36177528</v>
      </c>
      <c r="I70" s="153"/>
      <c r="J70" s="174">
        <f>SUM(J66:J69)</f>
        <v>1684901</v>
      </c>
      <c r="K70" s="174">
        <f>SUM(K66:K69)</f>
        <v>30686973</v>
      </c>
    </row>
    <row r="71" spans="1:11" x14ac:dyDescent="0.2">
      <c r="A71" s="178"/>
      <c r="B71" s="129"/>
      <c r="C71" s="153"/>
      <c r="D71" s="158"/>
      <c r="E71" s="158"/>
      <c r="F71" s="153"/>
      <c r="G71" s="145"/>
      <c r="H71" s="145"/>
      <c r="I71" s="153"/>
      <c r="J71" s="145"/>
      <c r="K71" s="145"/>
    </row>
    <row r="72" spans="1:11" x14ac:dyDescent="0.2">
      <c r="A72" s="178">
        <v>31152</v>
      </c>
      <c r="B72" s="157" t="s">
        <v>96</v>
      </c>
      <c r="C72" s="153"/>
      <c r="D72" s="158">
        <v>25208869</v>
      </c>
      <c r="E72" s="158">
        <v>2206663</v>
      </c>
      <c r="F72" s="153"/>
      <c r="G72" s="145">
        <f>'Plant &amp; Reserve'!$D72</f>
        <v>25208869</v>
      </c>
      <c r="H72" s="145">
        <f>'Plant &amp; Reserve'!$E72</f>
        <v>9263616</v>
      </c>
      <c r="I72" s="153"/>
      <c r="J72" s="145">
        <f t="shared" ref="J72:K75" si="8">G72-D72</f>
        <v>0</v>
      </c>
      <c r="K72" s="145">
        <f t="shared" si="8"/>
        <v>7056953</v>
      </c>
    </row>
    <row r="73" spans="1:11" x14ac:dyDescent="0.2">
      <c r="A73" s="178">
        <v>31252</v>
      </c>
      <c r="B73" s="153" t="s">
        <v>96</v>
      </c>
      <c r="C73" s="153"/>
      <c r="D73" s="158">
        <v>49413609</v>
      </c>
      <c r="E73" s="158">
        <v>4972788</v>
      </c>
      <c r="F73" s="153"/>
      <c r="G73" s="145">
        <f>'Plant &amp; Reserve'!$D73</f>
        <v>51260287</v>
      </c>
      <c r="H73" s="145">
        <f>'Plant &amp; Reserve'!$E73</f>
        <v>18330971</v>
      </c>
      <c r="I73" s="153"/>
      <c r="J73" s="145">
        <f t="shared" si="8"/>
        <v>1846678</v>
      </c>
      <c r="K73" s="145">
        <f t="shared" si="8"/>
        <v>13358183</v>
      </c>
    </row>
    <row r="74" spans="1:11" x14ac:dyDescent="0.2">
      <c r="A74" s="178">
        <v>31552</v>
      </c>
      <c r="B74" s="153" t="s">
        <v>96</v>
      </c>
      <c r="C74" s="153"/>
      <c r="D74" s="158">
        <v>15914427</v>
      </c>
      <c r="E74" s="158">
        <v>1648354</v>
      </c>
      <c r="F74" s="153"/>
      <c r="G74" s="145">
        <f>'Plant &amp; Reserve'!$D74</f>
        <v>15951073</v>
      </c>
      <c r="H74" s="145">
        <f>'Plant &amp; Reserve'!$E74</f>
        <v>6776734</v>
      </c>
      <c r="I74" s="153"/>
      <c r="J74" s="145">
        <f t="shared" si="8"/>
        <v>36646</v>
      </c>
      <c r="K74" s="145">
        <f t="shared" si="8"/>
        <v>5128380</v>
      </c>
    </row>
    <row r="75" spans="1:11" ht="15" x14ac:dyDescent="0.2">
      <c r="A75" s="178">
        <v>31652</v>
      </c>
      <c r="B75" s="164" t="s">
        <v>96</v>
      </c>
      <c r="C75" s="153"/>
      <c r="D75" s="165">
        <v>958616</v>
      </c>
      <c r="E75" s="165">
        <v>87780</v>
      </c>
      <c r="F75" s="153"/>
      <c r="G75" s="166">
        <f>'Plant &amp; Reserve'!$D75</f>
        <v>958616</v>
      </c>
      <c r="H75" s="166">
        <f>'Plant &amp; Reserve'!$E75</f>
        <v>371463</v>
      </c>
      <c r="I75" s="153"/>
      <c r="J75" s="166">
        <f t="shared" si="8"/>
        <v>0</v>
      </c>
      <c r="K75" s="166">
        <f t="shared" si="8"/>
        <v>283683</v>
      </c>
    </row>
    <row r="76" spans="1:11" x14ac:dyDescent="0.2">
      <c r="A76" s="178"/>
      <c r="B76" s="125" t="s">
        <v>75</v>
      </c>
      <c r="C76" s="153"/>
      <c r="D76" s="173">
        <f>SUM(D72:D75)</f>
        <v>91495521</v>
      </c>
      <c r="E76" s="174">
        <f>SUM(E72:E75)</f>
        <v>8915585</v>
      </c>
      <c r="F76" s="153"/>
      <c r="G76" s="173">
        <f>SUM(G72:G75)</f>
        <v>93378845</v>
      </c>
      <c r="H76" s="173">
        <f>SUM(H72:H75)</f>
        <v>34742784</v>
      </c>
      <c r="I76" s="153"/>
      <c r="J76" s="174">
        <f>SUM(J72:J75)</f>
        <v>1883324</v>
      </c>
      <c r="K76" s="174">
        <f>SUM(K72:K75)</f>
        <v>25827199</v>
      </c>
    </row>
    <row r="77" spans="1:11" x14ac:dyDescent="0.2">
      <c r="A77" s="178"/>
      <c r="B77" s="129"/>
      <c r="C77" s="153"/>
      <c r="D77" s="158"/>
      <c r="E77" s="158"/>
      <c r="F77" s="153"/>
      <c r="G77" s="145"/>
      <c r="H77" s="145"/>
      <c r="I77" s="153"/>
      <c r="J77" s="145"/>
      <c r="K77" s="145"/>
    </row>
    <row r="78" spans="1:11" x14ac:dyDescent="0.2">
      <c r="A78" s="178">
        <v>31153</v>
      </c>
      <c r="B78" s="157" t="s">
        <v>97</v>
      </c>
      <c r="C78" s="153"/>
      <c r="D78" s="158">
        <v>21689422</v>
      </c>
      <c r="E78" s="158">
        <v>2348848</v>
      </c>
      <c r="F78" s="153"/>
      <c r="G78" s="145">
        <f>'Plant &amp; Reserve'!$D78</f>
        <v>21689422</v>
      </c>
      <c r="H78" s="145">
        <f>'Plant &amp; Reserve'!$E78</f>
        <v>7727825</v>
      </c>
      <c r="I78" s="153"/>
      <c r="J78" s="145">
        <f t="shared" ref="J78:K81" si="9">G78-D78</f>
        <v>0</v>
      </c>
      <c r="K78" s="145">
        <f t="shared" si="9"/>
        <v>5378977</v>
      </c>
    </row>
    <row r="79" spans="1:11" x14ac:dyDescent="0.2">
      <c r="A79" s="178">
        <v>31253</v>
      </c>
      <c r="B79" s="153" t="s">
        <v>97</v>
      </c>
      <c r="C79" s="153"/>
      <c r="D79" s="158">
        <v>42509823</v>
      </c>
      <c r="E79" s="158">
        <v>5710290</v>
      </c>
      <c r="F79" s="153"/>
      <c r="G79" s="145">
        <f>'Plant &amp; Reserve'!$D79</f>
        <v>44040159</v>
      </c>
      <c r="H79" s="145">
        <f>'Plant &amp; Reserve'!$E79</f>
        <v>17922908</v>
      </c>
      <c r="I79" s="153"/>
      <c r="J79" s="145">
        <f t="shared" si="9"/>
        <v>1530336</v>
      </c>
      <c r="K79" s="145">
        <f t="shared" si="9"/>
        <v>12212618</v>
      </c>
    </row>
    <row r="80" spans="1:11" x14ac:dyDescent="0.2">
      <c r="A80" s="178">
        <v>31553</v>
      </c>
      <c r="B80" s="153" t="s">
        <v>97</v>
      </c>
      <c r="C80" s="153"/>
      <c r="D80" s="158">
        <v>13690954</v>
      </c>
      <c r="E80" s="158">
        <v>1905197</v>
      </c>
      <c r="F80" s="153"/>
      <c r="G80" s="145">
        <f>'Plant &amp; Reserve'!$D80</f>
        <v>13761422</v>
      </c>
      <c r="H80" s="145">
        <f>'Plant &amp; Reserve'!$E80</f>
        <v>6245604</v>
      </c>
      <c r="I80" s="153"/>
      <c r="J80" s="145">
        <f t="shared" si="9"/>
        <v>70468</v>
      </c>
      <c r="K80" s="145">
        <f t="shared" si="9"/>
        <v>4340407</v>
      </c>
    </row>
    <row r="81" spans="1:11" ht="15" x14ac:dyDescent="0.2">
      <c r="A81" s="178">
        <v>31653</v>
      </c>
      <c r="B81" s="164" t="s">
        <v>97</v>
      </c>
      <c r="C81" s="153"/>
      <c r="D81" s="165">
        <v>824684</v>
      </c>
      <c r="E81" s="165">
        <v>99029</v>
      </c>
      <c r="F81" s="153"/>
      <c r="G81" s="166">
        <f>'Plant &amp; Reserve'!$D81</f>
        <v>824684</v>
      </c>
      <c r="H81" s="166">
        <f>'Plant &amp; Reserve'!$E81</f>
        <v>323345</v>
      </c>
      <c r="I81" s="153"/>
      <c r="J81" s="166">
        <f t="shared" si="9"/>
        <v>0</v>
      </c>
      <c r="K81" s="166">
        <f t="shared" si="9"/>
        <v>224316</v>
      </c>
    </row>
    <row r="82" spans="1:11" x14ac:dyDescent="0.2">
      <c r="A82" s="178"/>
      <c r="B82" s="125" t="s">
        <v>75</v>
      </c>
      <c r="C82" s="153"/>
      <c r="D82" s="173">
        <f>SUM(D78:D81)</f>
        <v>78714883</v>
      </c>
      <c r="E82" s="174">
        <f>SUM(E78:E81)</f>
        <v>10063364</v>
      </c>
      <c r="F82" s="153"/>
      <c r="G82" s="173">
        <f>SUM(G78:G81)</f>
        <v>80315687</v>
      </c>
      <c r="H82" s="173">
        <f>SUM(H78:H81)</f>
        <v>32219682</v>
      </c>
      <c r="I82" s="153"/>
      <c r="J82" s="174">
        <f>SUM(J78:J81)</f>
        <v>1600804</v>
      </c>
      <c r="K82" s="174">
        <f>SUM(K78:K81)</f>
        <v>22156318</v>
      </c>
    </row>
    <row r="83" spans="1:11" x14ac:dyDescent="0.2">
      <c r="A83" s="178"/>
      <c r="B83" s="129"/>
      <c r="C83" s="153"/>
      <c r="D83" s="158"/>
      <c r="E83" s="158"/>
      <c r="F83" s="153"/>
      <c r="G83" s="145"/>
      <c r="H83" s="145"/>
      <c r="I83" s="153"/>
      <c r="J83" s="145"/>
      <c r="K83" s="145"/>
    </row>
    <row r="84" spans="1:11" x14ac:dyDescent="0.2">
      <c r="A84" s="178">
        <v>31154</v>
      </c>
      <c r="B84" s="157" t="s">
        <v>98</v>
      </c>
      <c r="C84" s="153"/>
      <c r="D84" s="158">
        <v>16857250</v>
      </c>
      <c r="E84" s="158">
        <v>1828439</v>
      </c>
      <c r="F84" s="153"/>
      <c r="G84" s="145">
        <f>'Plant &amp; Reserve'!$D84</f>
        <v>16857250</v>
      </c>
      <c r="H84" s="145">
        <f>'Plant &amp; Reserve'!$E84</f>
        <v>5065029</v>
      </c>
      <c r="I84" s="153"/>
      <c r="J84" s="145">
        <f t="shared" ref="J84:K87" si="10">G84-D84</f>
        <v>0</v>
      </c>
      <c r="K84" s="145">
        <f t="shared" si="10"/>
        <v>3236590</v>
      </c>
    </row>
    <row r="85" spans="1:11" x14ac:dyDescent="0.2">
      <c r="A85" s="178">
        <v>31254</v>
      </c>
      <c r="B85" s="153" t="s">
        <v>98</v>
      </c>
      <c r="C85" s="153"/>
      <c r="D85" s="158">
        <v>32996130</v>
      </c>
      <c r="E85" s="158">
        <v>5567306</v>
      </c>
      <c r="F85" s="153"/>
      <c r="G85" s="145">
        <f>'Plant &amp; Reserve'!$D85</f>
        <v>30373191</v>
      </c>
      <c r="H85" s="145">
        <f>'Plant &amp; Reserve'!$E85</f>
        <v>8103249</v>
      </c>
      <c r="I85" s="153"/>
      <c r="J85" s="145">
        <f t="shared" si="10"/>
        <v>-2622939</v>
      </c>
      <c r="K85" s="145">
        <f t="shared" si="10"/>
        <v>2535943</v>
      </c>
    </row>
    <row r="86" spans="1:11" x14ac:dyDescent="0.2">
      <c r="A86" s="178">
        <v>31554</v>
      </c>
      <c r="B86" s="153" t="s">
        <v>98</v>
      </c>
      <c r="C86" s="153"/>
      <c r="D86" s="158">
        <v>10642027</v>
      </c>
      <c r="E86" s="158">
        <v>1875963</v>
      </c>
      <c r="F86" s="153"/>
      <c r="G86" s="145">
        <f>'Plant &amp; Reserve'!$D86</f>
        <v>10642027</v>
      </c>
      <c r="H86" s="145">
        <f>'Plant &amp; Reserve'!$E86</f>
        <v>5196277</v>
      </c>
      <c r="I86" s="153"/>
      <c r="J86" s="145">
        <f t="shared" si="10"/>
        <v>0</v>
      </c>
      <c r="K86" s="145">
        <f t="shared" si="10"/>
        <v>3320314</v>
      </c>
    </row>
    <row r="87" spans="1:11" ht="15" x14ac:dyDescent="0.2">
      <c r="A87" s="178">
        <v>31654</v>
      </c>
      <c r="B87" s="164" t="s">
        <v>98</v>
      </c>
      <c r="C87" s="153"/>
      <c r="D87" s="165">
        <v>687934</v>
      </c>
      <c r="E87" s="165">
        <v>100978</v>
      </c>
      <c r="F87" s="153"/>
      <c r="G87" s="166">
        <f>'Plant &amp; Reserve'!$D87</f>
        <v>687934</v>
      </c>
      <c r="H87" s="166">
        <f>'Plant &amp; Reserve'!$E87</f>
        <v>282593</v>
      </c>
      <c r="I87" s="153"/>
      <c r="J87" s="166">
        <f t="shared" si="10"/>
        <v>0</v>
      </c>
      <c r="K87" s="166">
        <f t="shared" si="10"/>
        <v>181615</v>
      </c>
    </row>
    <row r="88" spans="1:11" x14ac:dyDescent="0.2">
      <c r="A88" s="140"/>
      <c r="B88" s="125" t="s">
        <v>75</v>
      </c>
      <c r="C88" s="153"/>
      <c r="D88" s="173">
        <f>SUM(D84:D87)</f>
        <v>61183341</v>
      </c>
      <c r="E88" s="174">
        <f>SUM(E84:E87)</f>
        <v>9372686</v>
      </c>
      <c r="F88" s="153"/>
      <c r="G88" s="173">
        <f>SUM(G84:G87)</f>
        <v>58560402</v>
      </c>
      <c r="H88" s="173">
        <f>SUM(H84:H87)</f>
        <v>18647148</v>
      </c>
      <c r="I88" s="153"/>
      <c r="J88" s="174">
        <f>SUM(J84:J87)</f>
        <v>-2622939</v>
      </c>
      <c r="K88" s="174">
        <f>SUM(K84:K87)</f>
        <v>9274462</v>
      </c>
    </row>
    <row r="89" spans="1:11" x14ac:dyDescent="0.2">
      <c r="A89" s="140"/>
      <c r="B89" s="129"/>
      <c r="C89" s="153"/>
      <c r="D89" s="158"/>
      <c r="E89" s="158"/>
      <c r="F89" s="153"/>
      <c r="G89" s="145"/>
      <c r="H89" s="145"/>
      <c r="I89" s="153"/>
      <c r="J89" s="145"/>
      <c r="K89" s="145"/>
    </row>
    <row r="90" spans="1:11" x14ac:dyDescent="0.2">
      <c r="A90" s="152">
        <v>31647</v>
      </c>
      <c r="B90" s="153" t="s">
        <v>61</v>
      </c>
      <c r="C90" s="153"/>
      <c r="D90" s="158">
        <v>2218867.1500000004</v>
      </c>
      <c r="E90" s="158">
        <v>1252483.1599999999</v>
      </c>
      <c r="F90" s="153"/>
      <c r="G90" s="145">
        <f>'Plant &amp; Reserve'!$D90</f>
        <v>1304313.1999999997</v>
      </c>
      <c r="H90" s="145">
        <f>'Plant &amp; Reserve'!$E90</f>
        <v>828679</v>
      </c>
      <c r="I90" s="153"/>
      <c r="J90" s="145">
        <f>G90-D90</f>
        <v>-914553.95000000065</v>
      </c>
      <c r="K90" s="145">
        <f>H90-E90</f>
        <v>-423804.15999999992</v>
      </c>
    </row>
    <row r="91" spans="1:11" x14ac:dyDescent="0.2">
      <c r="A91" s="152"/>
      <c r="B91" s="153"/>
      <c r="C91" s="153"/>
      <c r="D91" s="158"/>
      <c r="E91" s="158"/>
      <c r="F91" s="153"/>
      <c r="G91" s="145"/>
      <c r="H91" s="145"/>
      <c r="I91" s="153"/>
      <c r="J91" s="145"/>
      <c r="K91" s="145"/>
    </row>
    <row r="92" spans="1:11" x14ac:dyDescent="0.2">
      <c r="A92" s="152">
        <v>31247</v>
      </c>
      <c r="B92" s="153" t="s">
        <v>168</v>
      </c>
      <c r="C92" s="153"/>
      <c r="D92" s="158">
        <v>0</v>
      </c>
      <c r="E92" s="158">
        <v>0</v>
      </c>
      <c r="F92" s="153"/>
      <c r="G92" s="145">
        <f>'Plant &amp; Reserve'!$D92</f>
        <v>21440068.73</v>
      </c>
      <c r="H92" s="145">
        <f>'Plant &amp; Reserve'!$E92</f>
        <v>18159300</v>
      </c>
      <c r="I92" s="153"/>
      <c r="J92" s="145">
        <f>G92-D92</f>
        <v>21440068.73</v>
      </c>
      <c r="K92" s="145">
        <f>H92-E92</f>
        <v>18159300</v>
      </c>
    </row>
    <row r="93" spans="1:11" ht="13.5" thickBot="1" x14ac:dyDescent="0.25">
      <c r="A93" s="180"/>
      <c r="B93" s="180"/>
      <c r="C93" s="153"/>
      <c r="D93" s="181"/>
      <c r="E93" s="181"/>
      <c r="F93" s="153"/>
      <c r="G93" s="182"/>
      <c r="H93" s="182"/>
      <c r="I93" s="153"/>
      <c r="J93" s="182"/>
      <c r="K93" s="182"/>
    </row>
    <row r="94" spans="1:11" ht="19.5" customHeight="1" thickTop="1" thickBot="1" x14ac:dyDescent="0.25">
      <c r="A94" s="185"/>
      <c r="B94" s="383" t="s">
        <v>72</v>
      </c>
      <c r="C94" s="153"/>
      <c r="D94" s="186">
        <f>SUM(D24,D31,D38,D45,D52,D64,D58,D70,D76,D82,D88,D90,D92)</f>
        <v>1915277732.1500001</v>
      </c>
      <c r="E94" s="186">
        <f>SUM(E24,E31,E38,E45,E52,E64,E58,E70,E76,E82,E88,E90,E92)</f>
        <v>611786277.15999997</v>
      </c>
      <c r="F94" s="153"/>
      <c r="G94" s="186">
        <f>SUM(G24,G31,G38,G45,G52,G64,G58,G70,G76,G82,G88,G90,G92)</f>
        <v>2180333331.9299998</v>
      </c>
      <c r="H94" s="186">
        <f>SUM(H24,H31,H38,H45,H52,H64,H58,H70,H76,H82,H88,H90,H92)</f>
        <v>798266041</v>
      </c>
      <c r="I94" s="153"/>
      <c r="J94" s="186">
        <f>SUM(J24,J31,J38,J45,J52,J64,J58,J70,J76,J82,J88,J90,J92)</f>
        <v>265055599.78</v>
      </c>
      <c r="K94" s="186">
        <f>SUM(K24,K31,K38,K45,K52,K64,K58,K70,K76,K82,K88,K90,K92)</f>
        <v>186479763.84</v>
      </c>
    </row>
    <row r="95" spans="1:11" ht="13.5" thickTop="1" x14ac:dyDescent="0.2">
      <c r="A95" s="140"/>
      <c r="B95" s="385"/>
      <c r="C95" s="153"/>
      <c r="D95" s="145"/>
      <c r="E95" s="145"/>
      <c r="F95" s="153"/>
      <c r="G95" s="145"/>
      <c r="H95" s="145"/>
      <c r="I95" s="153"/>
      <c r="J95" s="145"/>
      <c r="K95" s="145"/>
    </row>
    <row r="96" spans="1:11" ht="13.5" thickBot="1" x14ac:dyDescent="0.25">
      <c r="A96" s="187"/>
      <c r="B96" s="388"/>
      <c r="C96" s="153"/>
      <c r="D96" s="188"/>
      <c r="E96" s="188"/>
      <c r="F96" s="153"/>
      <c r="G96" s="188"/>
      <c r="H96" s="188"/>
      <c r="I96" s="153"/>
      <c r="J96" s="188"/>
      <c r="K96" s="188"/>
    </row>
    <row r="97" spans="1:11" ht="19.5" customHeight="1" thickTop="1" thickBot="1" x14ac:dyDescent="0.25">
      <c r="A97" s="191"/>
      <c r="B97" s="191" t="s">
        <v>68</v>
      </c>
      <c r="C97" s="130"/>
      <c r="D97" s="192">
        <f>D94</f>
        <v>1915277732.1500001</v>
      </c>
      <c r="E97" s="192">
        <f>E94</f>
        <v>611786277.15999997</v>
      </c>
      <c r="F97" s="130"/>
      <c r="G97" s="192">
        <f>G94</f>
        <v>2180333331.9299998</v>
      </c>
      <c r="H97" s="192">
        <f>H94</f>
        <v>798266041</v>
      </c>
      <c r="I97" s="130"/>
      <c r="J97" s="192">
        <f>J94</f>
        <v>265055599.78</v>
      </c>
      <c r="K97" s="192">
        <f>K94</f>
        <v>186479763.84</v>
      </c>
    </row>
    <row r="98" spans="1:11" ht="13.5" thickTop="1" x14ac:dyDescent="0.2">
      <c r="A98" s="140"/>
      <c r="B98" s="129"/>
      <c r="C98" s="153"/>
      <c r="D98" s="145"/>
      <c r="E98" s="145"/>
      <c r="F98" s="153"/>
      <c r="G98" s="145"/>
      <c r="H98" s="145"/>
      <c r="I98" s="153"/>
      <c r="J98" s="145"/>
      <c r="K98" s="145"/>
    </row>
    <row r="99" spans="1:11" x14ac:dyDescent="0.2">
      <c r="A99" s="140"/>
      <c r="B99" s="144" t="s">
        <v>63</v>
      </c>
      <c r="C99" s="153"/>
      <c r="D99" s="145"/>
      <c r="E99" s="145"/>
      <c r="F99" s="153"/>
      <c r="G99" s="145"/>
      <c r="H99" s="145"/>
      <c r="I99" s="153"/>
      <c r="J99" s="145"/>
      <c r="K99" s="145"/>
    </row>
    <row r="100" spans="1:11" x14ac:dyDescent="0.2">
      <c r="A100" s="140"/>
      <c r="B100" s="129"/>
      <c r="C100" s="153"/>
      <c r="D100" s="145"/>
      <c r="E100" s="145"/>
      <c r="F100" s="153"/>
      <c r="G100" s="145"/>
      <c r="H100" s="145"/>
      <c r="I100" s="153"/>
      <c r="J100" s="145"/>
      <c r="K100" s="145"/>
    </row>
    <row r="101" spans="1:11" x14ac:dyDescent="0.2">
      <c r="A101" s="140"/>
      <c r="B101" s="144" t="s">
        <v>59</v>
      </c>
      <c r="C101" s="153"/>
      <c r="D101" s="145"/>
      <c r="E101" s="145"/>
      <c r="F101" s="153"/>
      <c r="G101" s="145"/>
      <c r="H101" s="145"/>
      <c r="I101" s="153"/>
      <c r="J101" s="145"/>
      <c r="K101" s="145"/>
    </row>
    <row r="102" spans="1:11" x14ac:dyDescent="0.2">
      <c r="A102" s="140"/>
      <c r="B102" s="129"/>
      <c r="C102" s="153"/>
      <c r="D102" s="145"/>
      <c r="E102" s="145"/>
      <c r="F102" s="153"/>
      <c r="G102" s="145"/>
      <c r="H102" s="145"/>
      <c r="I102" s="153"/>
      <c r="J102" s="145"/>
      <c r="K102" s="145"/>
    </row>
    <row r="103" spans="1:11" x14ac:dyDescent="0.2">
      <c r="A103" s="152">
        <v>34144</v>
      </c>
      <c r="B103" s="157" t="s">
        <v>108</v>
      </c>
      <c r="C103" s="153"/>
      <c r="D103" s="158">
        <v>7040910</v>
      </c>
      <c r="E103" s="158">
        <v>449446</v>
      </c>
      <c r="F103" s="153"/>
      <c r="G103" s="145">
        <f>'Plant &amp; Reserve'!$D103</f>
        <v>3311083</v>
      </c>
      <c r="H103" s="145">
        <f>'Plant &amp; Reserve'!$E103</f>
        <v>519031</v>
      </c>
      <c r="I103" s="153"/>
      <c r="J103" s="145">
        <f t="shared" ref="J103:K107" si="11">G103-D103</f>
        <v>-3729827</v>
      </c>
      <c r="K103" s="145">
        <f t="shared" si="11"/>
        <v>69585</v>
      </c>
    </row>
    <row r="104" spans="1:11" x14ac:dyDescent="0.2">
      <c r="A104" s="152">
        <v>34244</v>
      </c>
      <c r="B104" s="193" t="s">
        <v>108</v>
      </c>
      <c r="C104" s="153"/>
      <c r="D104" s="158">
        <v>2899198</v>
      </c>
      <c r="E104" s="158">
        <v>262283</v>
      </c>
      <c r="F104" s="153"/>
      <c r="G104" s="145">
        <f>'Plant &amp; Reserve'!$D104</f>
        <v>2353181</v>
      </c>
      <c r="H104" s="145">
        <f>'Plant &amp; Reserve'!$E104</f>
        <v>666345</v>
      </c>
      <c r="I104" s="153"/>
      <c r="J104" s="145">
        <f t="shared" si="11"/>
        <v>-546017</v>
      </c>
      <c r="K104" s="145">
        <f t="shared" si="11"/>
        <v>404062</v>
      </c>
    </row>
    <row r="105" spans="1:11" x14ac:dyDescent="0.2">
      <c r="A105" s="152">
        <v>34344</v>
      </c>
      <c r="B105" s="193" t="s">
        <v>108</v>
      </c>
      <c r="C105" s="153"/>
      <c r="D105" s="158">
        <v>25264441</v>
      </c>
      <c r="E105" s="158">
        <v>2540309</v>
      </c>
      <c r="F105" s="153"/>
      <c r="G105" s="145">
        <f>'Plant &amp; Reserve'!$D105</f>
        <v>19748806</v>
      </c>
      <c r="H105" s="145">
        <f>'Plant &amp; Reserve'!$E105</f>
        <v>8162526</v>
      </c>
      <c r="I105" s="153"/>
      <c r="J105" s="145">
        <f t="shared" si="11"/>
        <v>-5515635</v>
      </c>
      <c r="K105" s="145">
        <f t="shared" si="11"/>
        <v>5622217</v>
      </c>
    </row>
    <row r="106" spans="1:11" x14ac:dyDescent="0.2">
      <c r="A106" s="152">
        <v>34544</v>
      </c>
      <c r="B106" s="193" t="s">
        <v>108</v>
      </c>
      <c r="C106" s="153"/>
      <c r="D106" s="158">
        <v>6212567</v>
      </c>
      <c r="E106" s="158">
        <v>635517</v>
      </c>
      <c r="F106" s="153"/>
      <c r="G106" s="145">
        <f>'Plant &amp; Reserve'!$D106</f>
        <v>14918401</v>
      </c>
      <c r="H106" s="145">
        <f>'Plant &amp; Reserve'!$E106</f>
        <v>5227799</v>
      </c>
      <c r="I106" s="153"/>
      <c r="J106" s="145">
        <f t="shared" si="11"/>
        <v>8705834</v>
      </c>
      <c r="K106" s="145">
        <f t="shared" si="11"/>
        <v>4592282</v>
      </c>
    </row>
    <row r="107" spans="1:11" ht="15" x14ac:dyDescent="0.2">
      <c r="A107" s="152">
        <v>34644</v>
      </c>
      <c r="B107" s="194" t="s">
        <v>108</v>
      </c>
      <c r="C107" s="153"/>
      <c r="D107" s="165">
        <v>0</v>
      </c>
      <c r="E107" s="165">
        <v>0</v>
      </c>
      <c r="F107" s="153"/>
      <c r="G107" s="166">
        <f>'Plant &amp; Reserve'!$D107</f>
        <v>510665</v>
      </c>
      <c r="H107" s="166">
        <f>'Plant &amp; Reserve'!$E107</f>
        <v>167706</v>
      </c>
      <c r="I107" s="153"/>
      <c r="J107" s="171">
        <f t="shared" si="11"/>
        <v>510665</v>
      </c>
      <c r="K107" s="171">
        <f t="shared" si="11"/>
        <v>167706</v>
      </c>
    </row>
    <row r="108" spans="1:11" x14ac:dyDescent="0.2">
      <c r="A108" s="134"/>
      <c r="B108" s="125" t="s">
        <v>75</v>
      </c>
      <c r="C108" s="153"/>
      <c r="D108" s="173">
        <f>SUM(D103:D107)</f>
        <v>41417116</v>
      </c>
      <c r="E108" s="173">
        <f>SUM(E103:E107)</f>
        <v>3887555</v>
      </c>
      <c r="F108" s="153"/>
      <c r="G108" s="173">
        <f>SUM(G103:G107)</f>
        <v>40842136</v>
      </c>
      <c r="H108" s="173">
        <f>SUM(H103:H107)</f>
        <v>14743407</v>
      </c>
      <c r="I108" s="153"/>
      <c r="J108" s="174">
        <f>SUM(J103:J107)</f>
        <v>-574980</v>
      </c>
      <c r="K108" s="174">
        <f>SUM(K103:K107)</f>
        <v>10855852</v>
      </c>
    </row>
    <row r="109" spans="1:11" x14ac:dyDescent="0.2">
      <c r="A109" s="140"/>
      <c r="B109" s="129"/>
      <c r="C109" s="153"/>
      <c r="D109" s="145"/>
      <c r="E109" s="145"/>
      <c r="F109" s="153"/>
      <c r="G109" s="145"/>
      <c r="H109" s="145"/>
      <c r="I109" s="153"/>
      <c r="J109" s="145"/>
      <c r="K109" s="145"/>
    </row>
    <row r="110" spans="1:11" x14ac:dyDescent="0.2">
      <c r="A110" s="152">
        <v>34145</v>
      </c>
      <c r="B110" s="157" t="s">
        <v>1116</v>
      </c>
      <c r="C110" s="153"/>
      <c r="D110" s="465">
        <v>0</v>
      </c>
      <c r="E110" s="465">
        <v>0</v>
      </c>
      <c r="F110" s="153"/>
      <c r="G110" s="145">
        <f>'Plant &amp; Reserve'!$D110</f>
        <v>0</v>
      </c>
      <c r="H110" s="145">
        <f>'Plant &amp; Reserve'!$E110</f>
        <v>0</v>
      </c>
      <c r="I110" s="153"/>
      <c r="J110" s="145">
        <f t="shared" ref="J110:K114" si="12">G110-D110</f>
        <v>0</v>
      </c>
      <c r="K110" s="145">
        <f t="shared" si="12"/>
        <v>0</v>
      </c>
    </row>
    <row r="111" spans="1:11" x14ac:dyDescent="0.2">
      <c r="A111" s="152">
        <v>34245</v>
      </c>
      <c r="B111" s="157" t="s">
        <v>1116</v>
      </c>
      <c r="C111" s="153"/>
      <c r="D111" s="465">
        <v>0</v>
      </c>
      <c r="E111" s="465">
        <v>0</v>
      </c>
      <c r="F111" s="153"/>
      <c r="G111" s="145">
        <f>'Plant &amp; Reserve'!$D111</f>
        <v>0</v>
      </c>
      <c r="H111" s="145">
        <f>'Plant &amp; Reserve'!$E111</f>
        <v>0</v>
      </c>
      <c r="I111" s="153"/>
      <c r="J111" s="145">
        <f t="shared" si="12"/>
        <v>0</v>
      </c>
      <c r="K111" s="145">
        <f t="shared" si="12"/>
        <v>0</v>
      </c>
    </row>
    <row r="112" spans="1:11" x14ac:dyDescent="0.2">
      <c r="A112" s="152">
        <v>34345</v>
      </c>
      <c r="B112" s="157" t="s">
        <v>1116</v>
      </c>
      <c r="C112" s="153"/>
      <c r="D112" s="465">
        <v>0</v>
      </c>
      <c r="E112" s="465">
        <v>0</v>
      </c>
      <c r="F112" s="153"/>
      <c r="G112" s="145">
        <f>'Plant &amp; Reserve'!$D112</f>
        <v>0</v>
      </c>
      <c r="H112" s="145">
        <f>'Plant &amp; Reserve'!$E112</f>
        <v>0</v>
      </c>
      <c r="I112" s="153"/>
      <c r="J112" s="145">
        <f t="shared" si="12"/>
        <v>0</v>
      </c>
      <c r="K112" s="145">
        <f t="shared" si="12"/>
        <v>0</v>
      </c>
    </row>
    <row r="113" spans="1:11" x14ac:dyDescent="0.2">
      <c r="A113" s="152">
        <v>34545</v>
      </c>
      <c r="B113" s="157" t="s">
        <v>1116</v>
      </c>
      <c r="C113" s="153"/>
      <c r="D113" s="465">
        <v>0</v>
      </c>
      <c r="E113" s="465">
        <v>0</v>
      </c>
      <c r="F113" s="153"/>
      <c r="G113" s="145">
        <f>'Plant &amp; Reserve'!$D113</f>
        <v>0</v>
      </c>
      <c r="H113" s="145">
        <f>'Plant &amp; Reserve'!$E113</f>
        <v>0</v>
      </c>
      <c r="I113" s="153"/>
      <c r="J113" s="145">
        <f t="shared" si="12"/>
        <v>0</v>
      </c>
      <c r="K113" s="145">
        <f t="shared" si="12"/>
        <v>0</v>
      </c>
    </row>
    <row r="114" spans="1:11" ht="15" x14ac:dyDescent="0.2">
      <c r="A114" s="152">
        <v>34645</v>
      </c>
      <c r="B114" s="199" t="s">
        <v>1116</v>
      </c>
      <c r="C114" s="153"/>
      <c r="D114" s="466">
        <v>0</v>
      </c>
      <c r="E114" s="466">
        <v>0</v>
      </c>
      <c r="F114" s="153"/>
      <c r="G114" s="166">
        <f>'Plant &amp; Reserve'!$D114</f>
        <v>0</v>
      </c>
      <c r="H114" s="166">
        <f>'Plant &amp; Reserve'!$E114</f>
        <v>0</v>
      </c>
      <c r="I114" s="153"/>
      <c r="J114" s="171">
        <f t="shared" si="12"/>
        <v>0</v>
      </c>
      <c r="K114" s="171">
        <f t="shared" si="12"/>
        <v>0</v>
      </c>
    </row>
    <row r="115" spans="1:11" x14ac:dyDescent="0.2">
      <c r="A115" s="134"/>
      <c r="B115" s="125" t="s">
        <v>75</v>
      </c>
      <c r="C115" s="153"/>
      <c r="D115" s="173">
        <f>SUM(D110:D114)</f>
        <v>0</v>
      </c>
      <c r="E115" s="173">
        <f>SUM(E110:E114)</f>
        <v>0</v>
      </c>
      <c r="F115" s="153"/>
      <c r="G115" s="173">
        <f>SUM(G110:G114)</f>
        <v>0</v>
      </c>
      <c r="H115" s="173">
        <f>SUM(H110:H114)</f>
        <v>0</v>
      </c>
      <c r="I115" s="153"/>
      <c r="J115" s="174">
        <f>SUM(J110:J114)</f>
        <v>0</v>
      </c>
      <c r="K115" s="174">
        <f>SUM(K110:K114)</f>
        <v>0</v>
      </c>
    </row>
    <row r="116" spans="1:11" x14ac:dyDescent="0.2">
      <c r="A116" s="140"/>
      <c r="B116" s="129"/>
      <c r="C116" s="153"/>
      <c r="D116" s="145"/>
      <c r="E116" s="145"/>
      <c r="F116" s="153"/>
      <c r="G116" s="145"/>
      <c r="H116" s="145"/>
      <c r="I116" s="153"/>
      <c r="J116" s="145"/>
      <c r="K116" s="145"/>
    </row>
    <row r="117" spans="1:11" x14ac:dyDescent="0.2">
      <c r="A117" s="152">
        <v>34146</v>
      </c>
      <c r="B117" s="157" t="s">
        <v>1117</v>
      </c>
      <c r="C117" s="153"/>
      <c r="D117" s="465">
        <v>0</v>
      </c>
      <c r="E117" s="465">
        <v>0</v>
      </c>
      <c r="F117" s="153"/>
      <c r="G117" s="145">
        <f>'Plant &amp; Reserve'!$D117</f>
        <v>0</v>
      </c>
      <c r="H117" s="145">
        <f>'Plant &amp; Reserve'!$E117</f>
        <v>0</v>
      </c>
      <c r="I117" s="153"/>
      <c r="J117" s="145">
        <f t="shared" ref="J117:K121" si="13">G117-D117</f>
        <v>0</v>
      </c>
      <c r="K117" s="145">
        <f t="shared" si="13"/>
        <v>0</v>
      </c>
    </row>
    <row r="118" spans="1:11" x14ac:dyDescent="0.2">
      <c r="A118" s="152">
        <v>34246</v>
      </c>
      <c r="B118" s="157" t="s">
        <v>1117</v>
      </c>
      <c r="C118" s="153"/>
      <c r="D118" s="465">
        <v>0</v>
      </c>
      <c r="E118" s="465">
        <v>0</v>
      </c>
      <c r="F118" s="153"/>
      <c r="G118" s="145">
        <f>'Plant &amp; Reserve'!$D118</f>
        <v>0</v>
      </c>
      <c r="H118" s="145">
        <f>'Plant &amp; Reserve'!$E118</f>
        <v>0</v>
      </c>
      <c r="I118" s="153"/>
      <c r="J118" s="145">
        <f t="shared" si="13"/>
        <v>0</v>
      </c>
      <c r="K118" s="145">
        <f t="shared" si="13"/>
        <v>0</v>
      </c>
    </row>
    <row r="119" spans="1:11" x14ac:dyDescent="0.2">
      <c r="A119" s="152">
        <v>34346</v>
      </c>
      <c r="B119" s="157" t="s">
        <v>1117</v>
      </c>
      <c r="C119" s="153"/>
      <c r="D119" s="465">
        <v>0</v>
      </c>
      <c r="E119" s="465">
        <v>0</v>
      </c>
      <c r="F119" s="153"/>
      <c r="G119" s="145">
        <f>'Plant &amp; Reserve'!$D119</f>
        <v>0</v>
      </c>
      <c r="H119" s="145">
        <f>'Plant &amp; Reserve'!$E119</f>
        <v>0</v>
      </c>
      <c r="I119" s="153"/>
      <c r="J119" s="145">
        <f t="shared" si="13"/>
        <v>0</v>
      </c>
      <c r="K119" s="145">
        <f t="shared" si="13"/>
        <v>0</v>
      </c>
    </row>
    <row r="120" spans="1:11" x14ac:dyDescent="0.2">
      <c r="A120" s="152">
        <v>34546</v>
      </c>
      <c r="B120" s="157" t="s">
        <v>1117</v>
      </c>
      <c r="C120" s="153"/>
      <c r="D120" s="465">
        <v>0</v>
      </c>
      <c r="E120" s="465">
        <v>0</v>
      </c>
      <c r="F120" s="153"/>
      <c r="G120" s="145">
        <f>'Plant &amp; Reserve'!$D120</f>
        <v>0</v>
      </c>
      <c r="H120" s="145">
        <f>'Plant &amp; Reserve'!$E120</f>
        <v>0</v>
      </c>
      <c r="I120" s="153"/>
      <c r="J120" s="145">
        <f t="shared" si="13"/>
        <v>0</v>
      </c>
      <c r="K120" s="145">
        <f t="shared" si="13"/>
        <v>0</v>
      </c>
    </row>
    <row r="121" spans="1:11" ht="15" x14ac:dyDescent="0.2">
      <c r="A121" s="152">
        <v>34646</v>
      </c>
      <c r="B121" s="199" t="s">
        <v>1117</v>
      </c>
      <c r="C121" s="153"/>
      <c r="D121" s="466">
        <v>0</v>
      </c>
      <c r="E121" s="466">
        <v>0</v>
      </c>
      <c r="F121" s="153"/>
      <c r="G121" s="166">
        <f>'Plant &amp; Reserve'!$D121</f>
        <v>0</v>
      </c>
      <c r="H121" s="166">
        <f>'Plant &amp; Reserve'!$E121</f>
        <v>0</v>
      </c>
      <c r="I121" s="153"/>
      <c r="J121" s="171">
        <f t="shared" si="13"/>
        <v>0</v>
      </c>
      <c r="K121" s="171">
        <f t="shared" si="13"/>
        <v>0</v>
      </c>
    </row>
    <row r="122" spans="1:11" x14ac:dyDescent="0.2">
      <c r="A122" s="134"/>
      <c r="B122" s="125" t="s">
        <v>75</v>
      </c>
      <c r="C122" s="153"/>
      <c r="D122" s="173">
        <f>SUM(D117:D121)</f>
        <v>0</v>
      </c>
      <c r="E122" s="173">
        <f>SUM(E117:E121)</f>
        <v>0</v>
      </c>
      <c r="F122" s="153"/>
      <c r="G122" s="173">
        <f>SUM(G117:G121)</f>
        <v>0</v>
      </c>
      <c r="H122" s="173">
        <f>SUM(H117:H121)</f>
        <v>0</v>
      </c>
      <c r="I122" s="153"/>
      <c r="J122" s="174">
        <f>SUM(J117:J121)</f>
        <v>0</v>
      </c>
      <c r="K122" s="174">
        <f>SUM(K117:K121)</f>
        <v>0</v>
      </c>
    </row>
    <row r="123" spans="1:11" x14ac:dyDescent="0.2">
      <c r="A123" s="140"/>
      <c r="B123" s="129"/>
      <c r="C123" s="153"/>
      <c r="D123" s="145"/>
      <c r="E123" s="145"/>
      <c r="F123" s="153"/>
      <c r="G123" s="145"/>
      <c r="H123" s="145"/>
      <c r="I123" s="153"/>
      <c r="J123" s="145"/>
      <c r="K123" s="145"/>
    </row>
    <row r="124" spans="1:11" x14ac:dyDescent="0.2">
      <c r="A124" s="152">
        <v>34147</v>
      </c>
      <c r="B124" s="157" t="s">
        <v>1118</v>
      </c>
      <c r="C124" s="153"/>
      <c r="D124" s="465">
        <v>0</v>
      </c>
      <c r="E124" s="465">
        <v>0</v>
      </c>
      <c r="F124" s="153"/>
      <c r="G124" s="145">
        <f>'Plant &amp; Reserve'!$D124</f>
        <v>0</v>
      </c>
      <c r="H124" s="145">
        <f>'Plant &amp; Reserve'!$E124</f>
        <v>0</v>
      </c>
      <c r="I124" s="153"/>
      <c r="J124" s="145">
        <f t="shared" ref="J124:K128" si="14">G124-D124</f>
        <v>0</v>
      </c>
      <c r="K124" s="145">
        <f t="shared" si="14"/>
        <v>0</v>
      </c>
    </row>
    <row r="125" spans="1:11" x14ac:dyDescent="0.2">
      <c r="A125" s="152">
        <v>34247</v>
      </c>
      <c r="B125" s="157" t="s">
        <v>1118</v>
      </c>
      <c r="C125" s="153"/>
      <c r="D125" s="465">
        <v>0</v>
      </c>
      <c r="E125" s="465">
        <v>0</v>
      </c>
      <c r="F125" s="153"/>
      <c r="G125" s="145">
        <f>'Plant &amp; Reserve'!$D125</f>
        <v>0</v>
      </c>
      <c r="H125" s="145">
        <f>'Plant &amp; Reserve'!$E125</f>
        <v>0</v>
      </c>
      <c r="I125" s="153"/>
      <c r="J125" s="145">
        <f t="shared" si="14"/>
        <v>0</v>
      </c>
      <c r="K125" s="145">
        <f t="shared" si="14"/>
        <v>0</v>
      </c>
    </row>
    <row r="126" spans="1:11" x14ac:dyDescent="0.2">
      <c r="A126" s="152">
        <v>34347</v>
      </c>
      <c r="B126" s="157" t="s">
        <v>1118</v>
      </c>
      <c r="C126" s="153"/>
      <c r="D126" s="465">
        <v>0</v>
      </c>
      <c r="E126" s="465">
        <v>0</v>
      </c>
      <c r="F126" s="153"/>
      <c r="G126" s="145">
        <f>'Plant &amp; Reserve'!$D126</f>
        <v>0</v>
      </c>
      <c r="H126" s="145">
        <f>'Plant &amp; Reserve'!$E126</f>
        <v>0</v>
      </c>
      <c r="I126" s="153"/>
      <c r="J126" s="145">
        <f t="shared" si="14"/>
        <v>0</v>
      </c>
      <c r="K126" s="145">
        <f t="shared" si="14"/>
        <v>0</v>
      </c>
    </row>
    <row r="127" spans="1:11" x14ac:dyDescent="0.2">
      <c r="A127" s="152">
        <v>34547</v>
      </c>
      <c r="B127" s="157" t="s">
        <v>1118</v>
      </c>
      <c r="C127" s="153"/>
      <c r="D127" s="465">
        <v>0</v>
      </c>
      <c r="E127" s="465">
        <v>0</v>
      </c>
      <c r="F127" s="153"/>
      <c r="G127" s="145">
        <f>'Plant &amp; Reserve'!$D127</f>
        <v>0</v>
      </c>
      <c r="H127" s="145">
        <f>'Plant &amp; Reserve'!$E127</f>
        <v>0</v>
      </c>
      <c r="I127" s="153"/>
      <c r="J127" s="145">
        <f t="shared" si="14"/>
        <v>0</v>
      </c>
      <c r="K127" s="145">
        <f t="shared" si="14"/>
        <v>0</v>
      </c>
    </row>
    <row r="128" spans="1:11" ht="15" x14ac:dyDescent="0.2">
      <c r="A128" s="152">
        <v>34647</v>
      </c>
      <c r="B128" s="199" t="s">
        <v>1118</v>
      </c>
      <c r="C128" s="153"/>
      <c r="D128" s="466">
        <v>0</v>
      </c>
      <c r="E128" s="466">
        <v>0</v>
      </c>
      <c r="F128" s="153"/>
      <c r="G128" s="166">
        <f>'Plant &amp; Reserve'!$D128</f>
        <v>0</v>
      </c>
      <c r="H128" s="166">
        <f>'Plant &amp; Reserve'!$E128</f>
        <v>0</v>
      </c>
      <c r="I128" s="153"/>
      <c r="J128" s="171">
        <f t="shared" si="14"/>
        <v>0</v>
      </c>
      <c r="K128" s="171">
        <f t="shared" si="14"/>
        <v>0</v>
      </c>
    </row>
    <row r="129" spans="1:11" x14ac:dyDescent="0.2">
      <c r="A129" s="134"/>
      <c r="B129" s="125" t="s">
        <v>75</v>
      </c>
      <c r="C129" s="153"/>
      <c r="D129" s="173">
        <f>SUM(D124:D128)</f>
        <v>0</v>
      </c>
      <c r="E129" s="173">
        <f>SUM(E124:E128)</f>
        <v>0</v>
      </c>
      <c r="F129" s="153"/>
      <c r="G129" s="173">
        <f>SUM(G124:G128)</f>
        <v>0</v>
      </c>
      <c r="H129" s="173">
        <f>SUM(H124:H128)</f>
        <v>0</v>
      </c>
      <c r="I129" s="153"/>
      <c r="J129" s="174">
        <f>SUM(J124:J128)</f>
        <v>0</v>
      </c>
      <c r="K129" s="174">
        <f>SUM(K124:K128)</f>
        <v>0</v>
      </c>
    </row>
    <row r="130" spans="1:11" ht="13.5" thickBot="1" x14ac:dyDescent="0.25">
      <c r="A130" s="180"/>
      <c r="B130" s="180"/>
      <c r="C130" s="153"/>
      <c r="D130" s="181"/>
      <c r="E130" s="181"/>
      <c r="F130" s="153"/>
      <c r="G130" s="182"/>
      <c r="H130" s="182"/>
      <c r="I130" s="153"/>
      <c r="J130" s="182"/>
      <c r="K130" s="182"/>
    </row>
    <row r="131" spans="1:11" ht="19.5" customHeight="1" thickTop="1" thickBot="1" x14ac:dyDescent="0.25">
      <c r="A131" s="185"/>
      <c r="B131" s="383" t="s">
        <v>72</v>
      </c>
      <c r="C131" s="153"/>
      <c r="D131" s="196">
        <f>SUM(D108,D115,D122,D129)</f>
        <v>41417116</v>
      </c>
      <c r="E131" s="196">
        <f>SUM(E108,E115,E122,E129)</f>
        <v>3887555</v>
      </c>
      <c r="F131" s="153"/>
      <c r="G131" s="196">
        <f>SUM(G108,G115,G122,G129)</f>
        <v>40842136</v>
      </c>
      <c r="H131" s="196">
        <f>SUM(H108,H115,H122,H129)</f>
        <v>14743407</v>
      </c>
      <c r="I131" s="153"/>
      <c r="J131" s="196">
        <f>SUM(J108,J115,J122,J129)</f>
        <v>-574980</v>
      </c>
      <c r="K131" s="196">
        <f>SUM(K108,K115,K122,K129)</f>
        <v>10855852</v>
      </c>
    </row>
    <row r="132" spans="1:11" ht="13.5" thickTop="1" x14ac:dyDescent="0.2">
      <c r="A132" s="134"/>
      <c r="B132" s="197"/>
      <c r="C132" s="153"/>
      <c r="D132" s="158"/>
      <c r="E132" s="158"/>
      <c r="F132" s="153"/>
      <c r="G132" s="145"/>
      <c r="H132" s="145"/>
      <c r="I132" s="153"/>
      <c r="J132" s="145"/>
      <c r="K132" s="145"/>
    </row>
    <row r="133" spans="1:11" x14ac:dyDescent="0.2">
      <c r="A133" s="134"/>
      <c r="B133" s="144" t="s">
        <v>62</v>
      </c>
      <c r="C133" s="153"/>
      <c r="D133" s="158"/>
      <c r="E133" s="158"/>
      <c r="F133" s="153"/>
      <c r="G133" s="145"/>
      <c r="H133" s="145"/>
      <c r="I133" s="153"/>
      <c r="J133" s="145"/>
      <c r="K133" s="145"/>
    </row>
    <row r="134" spans="1:11" x14ac:dyDescent="0.2">
      <c r="A134" s="134"/>
      <c r="B134" s="129"/>
      <c r="C134" s="153"/>
      <c r="D134" s="158"/>
      <c r="E134" s="158"/>
      <c r="F134" s="153"/>
      <c r="G134" s="145"/>
      <c r="H134" s="145"/>
      <c r="I134" s="153"/>
      <c r="J134" s="145"/>
      <c r="K134" s="145"/>
    </row>
    <row r="135" spans="1:11" x14ac:dyDescent="0.2">
      <c r="A135" s="152">
        <v>34130</v>
      </c>
      <c r="B135" s="157" t="s">
        <v>109</v>
      </c>
      <c r="C135" s="153"/>
      <c r="D135" s="158">
        <v>69650715</v>
      </c>
      <c r="E135" s="158">
        <v>19226341</v>
      </c>
      <c r="F135" s="153"/>
      <c r="G135" s="145">
        <f>'Plant &amp; Reserve'!$D135</f>
        <v>81547564</v>
      </c>
      <c r="H135" s="145">
        <f>'Plant &amp; Reserve'!$E135</f>
        <v>19408920</v>
      </c>
      <c r="I135" s="153"/>
      <c r="J135" s="145">
        <f t="shared" ref="J135:K139" si="15">G135-D135</f>
        <v>11896849</v>
      </c>
      <c r="K135" s="145">
        <f t="shared" si="15"/>
        <v>182579</v>
      </c>
    </row>
    <row r="136" spans="1:11" x14ac:dyDescent="0.2">
      <c r="A136" s="152">
        <v>34230</v>
      </c>
      <c r="B136" s="153" t="s">
        <v>109</v>
      </c>
      <c r="C136" s="153"/>
      <c r="D136" s="158">
        <v>18524138</v>
      </c>
      <c r="E136" s="158">
        <v>4229021</v>
      </c>
      <c r="F136" s="153"/>
      <c r="G136" s="145">
        <f>'Plant &amp; Reserve'!$D136</f>
        <v>22466368</v>
      </c>
      <c r="H136" s="145">
        <f>'Plant &amp; Reserve'!$E136</f>
        <v>6639604</v>
      </c>
      <c r="I136" s="153"/>
      <c r="J136" s="145">
        <f t="shared" si="15"/>
        <v>3942230</v>
      </c>
      <c r="K136" s="145">
        <f t="shared" si="15"/>
        <v>2410583</v>
      </c>
    </row>
    <row r="137" spans="1:11" x14ac:dyDescent="0.2">
      <c r="A137" s="152">
        <v>34330</v>
      </c>
      <c r="B137" s="153" t="s">
        <v>109</v>
      </c>
      <c r="C137" s="153"/>
      <c r="D137" s="158">
        <v>33845452</v>
      </c>
      <c r="E137" s="158">
        <v>4315066</v>
      </c>
      <c r="F137" s="153"/>
      <c r="G137" s="145">
        <f>'Plant &amp; Reserve'!$D137</f>
        <v>35297617</v>
      </c>
      <c r="H137" s="145">
        <f>'Plant &amp; Reserve'!$E137</f>
        <v>12106612</v>
      </c>
      <c r="I137" s="153"/>
      <c r="J137" s="145">
        <f t="shared" si="15"/>
        <v>1452165</v>
      </c>
      <c r="K137" s="145">
        <f t="shared" si="15"/>
        <v>7791546</v>
      </c>
    </row>
    <row r="138" spans="1:11" x14ac:dyDescent="0.2">
      <c r="A138" s="152">
        <v>34530</v>
      </c>
      <c r="B138" s="153" t="s">
        <v>109</v>
      </c>
      <c r="C138" s="153"/>
      <c r="D138" s="158">
        <v>11657108</v>
      </c>
      <c r="E138" s="158">
        <v>4635113</v>
      </c>
      <c r="F138" s="153"/>
      <c r="G138" s="145">
        <f>'Plant &amp; Reserve'!$D138</f>
        <v>28880280</v>
      </c>
      <c r="H138" s="145">
        <f>'Plant &amp; Reserve'!$E138</f>
        <v>11452844</v>
      </c>
      <c r="I138" s="153"/>
      <c r="J138" s="145">
        <f t="shared" si="15"/>
        <v>17223172</v>
      </c>
      <c r="K138" s="145">
        <f t="shared" si="15"/>
        <v>6817731</v>
      </c>
    </row>
    <row r="139" spans="1:11" ht="15" x14ac:dyDescent="0.2">
      <c r="A139" s="152">
        <v>34630</v>
      </c>
      <c r="B139" s="164" t="s">
        <v>109</v>
      </c>
      <c r="C139" s="153"/>
      <c r="D139" s="165">
        <v>8898792</v>
      </c>
      <c r="E139" s="165">
        <v>3082149</v>
      </c>
      <c r="F139" s="153"/>
      <c r="G139" s="166">
        <f>'Plant &amp; Reserve'!$D139</f>
        <v>10878707</v>
      </c>
      <c r="H139" s="166">
        <f>'Plant &amp; Reserve'!$E139</f>
        <v>3569123</v>
      </c>
      <c r="I139" s="153"/>
      <c r="J139" s="166">
        <f t="shared" si="15"/>
        <v>1979915</v>
      </c>
      <c r="K139" s="166">
        <f t="shared" si="15"/>
        <v>486974</v>
      </c>
    </row>
    <row r="140" spans="1:11" x14ac:dyDescent="0.2">
      <c r="A140" s="134"/>
      <c r="B140" s="125" t="s">
        <v>75</v>
      </c>
      <c r="C140" s="153"/>
      <c r="D140" s="173">
        <f>SUM(D135:D139)</f>
        <v>142576205</v>
      </c>
      <c r="E140" s="174">
        <f>SUM(E135:E139)</f>
        <v>35487690</v>
      </c>
      <c r="F140" s="153"/>
      <c r="G140" s="173">
        <f>SUM(G135:G139)</f>
        <v>179070536</v>
      </c>
      <c r="H140" s="173">
        <f>SUM(H135:H139)</f>
        <v>53177103</v>
      </c>
      <c r="I140" s="153"/>
      <c r="J140" s="174">
        <f>SUM(J135:J139)</f>
        <v>36494331</v>
      </c>
      <c r="K140" s="174">
        <f>SUM(K135:K139)</f>
        <v>17689413</v>
      </c>
    </row>
    <row r="141" spans="1:11" x14ac:dyDescent="0.2">
      <c r="A141" s="134"/>
      <c r="B141" s="129"/>
      <c r="C141" s="153"/>
      <c r="D141" s="158"/>
      <c r="E141" s="158"/>
      <c r="F141" s="153"/>
      <c r="G141" s="145"/>
      <c r="H141" s="145"/>
      <c r="I141" s="153"/>
      <c r="J141" s="145"/>
      <c r="K141" s="145"/>
    </row>
    <row r="142" spans="1:11" x14ac:dyDescent="0.2">
      <c r="A142" s="152">
        <v>34131</v>
      </c>
      <c r="B142" s="159" t="s">
        <v>110</v>
      </c>
      <c r="C142" s="153"/>
      <c r="D142" s="158">
        <v>22011484</v>
      </c>
      <c r="E142" s="158">
        <v>5298564</v>
      </c>
      <c r="F142" s="153"/>
      <c r="G142" s="145">
        <f>'Plant &amp; Reserve'!$D142</f>
        <v>21609095</v>
      </c>
      <c r="H142" s="145">
        <f>'Plant &amp; Reserve'!$E142</f>
        <v>8006595</v>
      </c>
      <c r="I142" s="153"/>
      <c r="J142" s="145">
        <f t="shared" ref="J142:K146" si="16">G142-D142</f>
        <v>-402389</v>
      </c>
      <c r="K142" s="145">
        <f t="shared" si="16"/>
        <v>2708031</v>
      </c>
    </row>
    <row r="143" spans="1:11" x14ac:dyDescent="0.2">
      <c r="A143" s="152">
        <v>34231</v>
      </c>
      <c r="B143" s="153" t="s">
        <v>110</v>
      </c>
      <c r="C143" s="153"/>
      <c r="D143" s="158">
        <v>71365423</v>
      </c>
      <c r="E143" s="158">
        <v>16603948</v>
      </c>
      <c r="F143" s="153"/>
      <c r="G143" s="145">
        <f>'Plant &amp; Reserve'!$D143</f>
        <v>77801542</v>
      </c>
      <c r="H143" s="145">
        <f>'Plant &amp; Reserve'!$E143</f>
        <v>30617098</v>
      </c>
      <c r="I143" s="153"/>
      <c r="J143" s="145">
        <f t="shared" si="16"/>
        <v>6436119</v>
      </c>
      <c r="K143" s="145">
        <f t="shared" si="16"/>
        <v>14013150</v>
      </c>
    </row>
    <row r="144" spans="1:11" x14ac:dyDescent="0.2">
      <c r="A144" s="152">
        <v>34331</v>
      </c>
      <c r="B144" s="153" t="s">
        <v>110</v>
      </c>
      <c r="C144" s="153"/>
      <c r="D144" s="158">
        <v>192110068</v>
      </c>
      <c r="E144" s="158">
        <v>47681209.599999994</v>
      </c>
      <c r="F144" s="153"/>
      <c r="G144" s="145">
        <f>'Plant &amp; Reserve'!$D144</f>
        <v>209303216</v>
      </c>
      <c r="H144" s="145">
        <f>'Plant &amp; Reserve'!$E144</f>
        <v>56465759</v>
      </c>
      <c r="I144" s="153"/>
      <c r="J144" s="145">
        <f t="shared" si="16"/>
        <v>17193148</v>
      </c>
      <c r="K144" s="145">
        <f t="shared" si="16"/>
        <v>8784549.400000006</v>
      </c>
    </row>
    <row r="145" spans="1:11" x14ac:dyDescent="0.2">
      <c r="A145" s="152">
        <v>34531</v>
      </c>
      <c r="B145" s="153" t="s">
        <v>110</v>
      </c>
      <c r="C145" s="153"/>
      <c r="D145" s="158">
        <v>32671244</v>
      </c>
      <c r="E145" s="158">
        <v>9426226</v>
      </c>
      <c r="F145" s="153"/>
      <c r="G145" s="145">
        <f>'Plant &amp; Reserve'!$D145</f>
        <v>38933916</v>
      </c>
      <c r="H145" s="145">
        <f>'Plant &amp; Reserve'!$E145</f>
        <v>16548964</v>
      </c>
      <c r="I145" s="153"/>
      <c r="J145" s="145">
        <f t="shared" si="16"/>
        <v>6262672</v>
      </c>
      <c r="K145" s="145">
        <f t="shared" si="16"/>
        <v>7122738</v>
      </c>
    </row>
    <row r="146" spans="1:11" ht="15" x14ac:dyDescent="0.2">
      <c r="A146" s="152">
        <v>34631</v>
      </c>
      <c r="B146" s="164" t="s">
        <v>110</v>
      </c>
      <c r="C146" s="153"/>
      <c r="D146" s="165">
        <v>1257702</v>
      </c>
      <c r="E146" s="165">
        <v>345765</v>
      </c>
      <c r="F146" s="153"/>
      <c r="G146" s="166">
        <f>'Plant &amp; Reserve'!$D146</f>
        <v>1152706</v>
      </c>
      <c r="H146" s="166">
        <f>'Plant &amp; Reserve'!$E146</f>
        <v>498317</v>
      </c>
      <c r="I146" s="153"/>
      <c r="J146" s="166">
        <f t="shared" si="16"/>
        <v>-104996</v>
      </c>
      <c r="K146" s="166">
        <f t="shared" si="16"/>
        <v>152552</v>
      </c>
    </row>
    <row r="147" spans="1:11" x14ac:dyDescent="0.2">
      <c r="A147" s="134"/>
      <c r="B147" s="125" t="s">
        <v>75</v>
      </c>
      <c r="C147" s="153"/>
      <c r="D147" s="173">
        <f>SUM(D142:D146)</f>
        <v>319415921</v>
      </c>
      <c r="E147" s="174">
        <f>SUM(E142:E146)</f>
        <v>79355712.599999994</v>
      </c>
      <c r="F147" s="153"/>
      <c r="G147" s="173">
        <f>SUM(G142:G146)</f>
        <v>348800475</v>
      </c>
      <c r="H147" s="173">
        <f>SUM(H142:H146)</f>
        <v>112136733</v>
      </c>
      <c r="I147" s="153"/>
      <c r="J147" s="174">
        <f>SUM(J142:J146)</f>
        <v>29384554</v>
      </c>
      <c r="K147" s="174">
        <f>SUM(K142:K146)</f>
        <v>32781020.400000006</v>
      </c>
    </row>
    <row r="148" spans="1:11" x14ac:dyDescent="0.2">
      <c r="A148" s="134"/>
      <c r="B148" s="129"/>
      <c r="C148" s="153"/>
      <c r="D148" s="158"/>
      <c r="E148" s="158"/>
      <c r="F148" s="153"/>
      <c r="G148" s="145"/>
      <c r="H148" s="145"/>
      <c r="I148" s="153"/>
      <c r="J148" s="145"/>
      <c r="K148" s="145"/>
    </row>
    <row r="149" spans="1:11" x14ac:dyDescent="0.2">
      <c r="A149" s="152">
        <v>34132</v>
      </c>
      <c r="B149" s="157" t="s">
        <v>111</v>
      </c>
      <c r="C149" s="153"/>
      <c r="D149" s="158">
        <v>26009395</v>
      </c>
      <c r="E149" s="158">
        <v>5387343</v>
      </c>
      <c r="F149" s="153"/>
      <c r="G149" s="145">
        <f>'Plant &amp; Reserve'!$D149</f>
        <v>26971966</v>
      </c>
      <c r="H149" s="145">
        <f>'Plant &amp; Reserve'!$E149</f>
        <v>10361333</v>
      </c>
      <c r="I149" s="153"/>
      <c r="J149" s="145">
        <f t="shared" ref="J149:K153" si="17">G149-D149</f>
        <v>962571</v>
      </c>
      <c r="K149" s="145">
        <f t="shared" si="17"/>
        <v>4973990</v>
      </c>
    </row>
    <row r="150" spans="1:11" x14ac:dyDescent="0.2">
      <c r="A150" s="152">
        <v>34232</v>
      </c>
      <c r="B150" s="153" t="s">
        <v>111</v>
      </c>
      <c r="C150" s="153"/>
      <c r="D150" s="158">
        <v>95561270</v>
      </c>
      <c r="E150" s="158">
        <v>20337261</v>
      </c>
      <c r="F150" s="153"/>
      <c r="G150" s="145">
        <f>'Plant &amp; Reserve'!$D150</f>
        <v>98699482</v>
      </c>
      <c r="H150" s="145">
        <f>'Plant &amp; Reserve'!$E150</f>
        <v>39055273</v>
      </c>
      <c r="I150" s="153"/>
      <c r="J150" s="145">
        <f t="shared" si="17"/>
        <v>3138212</v>
      </c>
      <c r="K150" s="145">
        <f t="shared" si="17"/>
        <v>18718012</v>
      </c>
    </row>
    <row r="151" spans="1:11" x14ac:dyDescent="0.2">
      <c r="A151" s="152">
        <v>34332</v>
      </c>
      <c r="B151" s="153" t="s">
        <v>111</v>
      </c>
      <c r="C151" s="153"/>
      <c r="D151" s="158">
        <v>266985236</v>
      </c>
      <c r="E151" s="158">
        <v>62656483.600000001</v>
      </c>
      <c r="F151" s="153"/>
      <c r="G151" s="145">
        <f>'Plant &amp; Reserve'!$D151</f>
        <v>286570778</v>
      </c>
      <c r="H151" s="145">
        <f>'Plant &amp; Reserve'!$E151</f>
        <v>65637162</v>
      </c>
      <c r="I151" s="153"/>
      <c r="J151" s="145">
        <f t="shared" si="17"/>
        <v>19585542</v>
      </c>
      <c r="K151" s="145">
        <f t="shared" si="17"/>
        <v>2980678.3999999985</v>
      </c>
    </row>
    <row r="152" spans="1:11" x14ac:dyDescent="0.2">
      <c r="A152" s="152">
        <v>34532</v>
      </c>
      <c r="B152" s="153" t="s">
        <v>111</v>
      </c>
      <c r="C152" s="153"/>
      <c r="D152" s="158">
        <v>40495824</v>
      </c>
      <c r="E152" s="158">
        <v>10025303</v>
      </c>
      <c r="F152" s="153"/>
      <c r="G152" s="145">
        <f>'Plant &amp; Reserve'!$D152</f>
        <v>43953041</v>
      </c>
      <c r="H152" s="145">
        <f>'Plant &amp; Reserve'!$E152</f>
        <v>17672807</v>
      </c>
      <c r="I152" s="153"/>
      <c r="J152" s="145">
        <f t="shared" si="17"/>
        <v>3457217</v>
      </c>
      <c r="K152" s="145">
        <f t="shared" si="17"/>
        <v>7647504</v>
      </c>
    </row>
    <row r="153" spans="1:11" ht="15" x14ac:dyDescent="0.2">
      <c r="A153" s="152">
        <v>34632</v>
      </c>
      <c r="B153" s="164" t="s">
        <v>111</v>
      </c>
      <c r="C153" s="153"/>
      <c r="D153" s="165">
        <v>1517756</v>
      </c>
      <c r="E153" s="165">
        <v>378867</v>
      </c>
      <c r="F153" s="153"/>
      <c r="G153" s="166">
        <f>'Plant &amp; Reserve'!$D153</f>
        <v>1455592</v>
      </c>
      <c r="H153" s="166">
        <f>'Plant &amp; Reserve'!$E153</f>
        <v>628172</v>
      </c>
      <c r="I153" s="153"/>
      <c r="J153" s="166">
        <f t="shared" si="17"/>
        <v>-62164</v>
      </c>
      <c r="K153" s="166">
        <f t="shared" si="17"/>
        <v>249305</v>
      </c>
    </row>
    <row r="154" spans="1:11" x14ac:dyDescent="0.2">
      <c r="A154" s="134"/>
      <c r="B154" s="125" t="s">
        <v>75</v>
      </c>
      <c r="C154" s="153"/>
      <c r="D154" s="173">
        <f>SUM(D149:D153)</f>
        <v>430569481</v>
      </c>
      <c r="E154" s="174">
        <f>SUM(E149:E153)</f>
        <v>98785257.599999994</v>
      </c>
      <c r="F154" s="153"/>
      <c r="G154" s="173">
        <f>SUM(G149:G153)</f>
        <v>457650859</v>
      </c>
      <c r="H154" s="173">
        <f>SUM(H149:H153)</f>
        <v>133354747</v>
      </c>
      <c r="I154" s="153"/>
      <c r="J154" s="174">
        <f>SUM(J149:J153)</f>
        <v>27081378</v>
      </c>
      <c r="K154" s="174">
        <f>SUM(K149:K153)</f>
        <v>34569489.399999999</v>
      </c>
    </row>
    <row r="155" spans="1:11" x14ac:dyDescent="0.2">
      <c r="A155" s="134"/>
      <c r="B155" s="125"/>
      <c r="C155" s="153"/>
      <c r="D155" s="173"/>
      <c r="E155" s="174"/>
      <c r="F155" s="153"/>
      <c r="G155" s="173"/>
      <c r="H155" s="173"/>
      <c r="I155" s="153"/>
      <c r="J155" s="174"/>
      <c r="K155" s="174"/>
    </row>
    <row r="156" spans="1:11" x14ac:dyDescent="0.2">
      <c r="A156" s="152">
        <v>34133</v>
      </c>
      <c r="B156" s="157" t="s">
        <v>112</v>
      </c>
      <c r="C156" s="153"/>
      <c r="D156" s="158">
        <v>4541767</v>
      </c>
      <c r="E156" s="158">
        <v>289917</v>
      </c>
      <c r="F156" s="153"/>
      <c r="G156" s="145">
        <f>'Plant &amp; Reserve'!$D156</f>
        <v>656349</v>
      </c>
      <c r="H156" s="145">
        <f>'Plant &amp; Reserve'!$E156</f>
        <v>-27876</v>
      </c>
      <c r="I156" s="153"/>
      <c r="J156" s="145">
        <f t="shared" ref="J156:K160" si="18">G156-D156</f>
        <v>-3885418</v>
      </c>
      <c r="K156" s="145">
        <f t="shared" si="18"/>
        <v>-317793</v>
      </c>
    </row>
    <row r="157" spans="1:11" x14ac:dyDescent="0.2">
      <c r="A157" s="152">
        <v>34233</v>
      </c>
      <c r="B157" s="153" t="s">
        <v>112</v>
      </c>
      <c r="C157" s="153"/>
      <c r="D157" s="158">
        <v>1870139</v>
      </c>
      <c r="E157" s="158">
        <v>169187</v>
      </c>
      <c r="F157" s="153"/>
      <c r="G157" s="145">
        <f>'Plant &amp; Reserve'!$D157</f>
        <v>3389690</v>
      </c>
      <c r="H157" s="145">
        <f>'Plant &amp; Reserve'!$E157</f>
        <v>873679</v>
      </c>
      <c r="I157" s="153"/>
      <c r="J157" s="145">
        <f t="shared" si="18"/>
        <v>1519551</v>
      </c>
      <c r="K157" s="145">
        <f t="shared" si="18"/>
        <v>704492</v>
      </c>
    </row>
    <row r="158" spans="1:11" x14ac:dyDescent="0.2">
      <c r="A158" s="152">
        <v>34333</v>
      </c>
      <c r="B158" s="153" t="s">
        <v>112</v>
      </c>
      <c r="C158" s="153"/>
      <c r="D158" s="158">
        <v>16296928</v>
      </c>
      <c r="E158" s="158">
        <v>1638637</v>
      </c>
      <c r="F158" s="153"/>
      <c r="G158" s="145">
        <f>'Plant &amp; Reserve'!$D158</f>
        <v>15422171</v>
      </c>
      <c r="H158" s="145">
        <f>'Plant &amp; Reserve'!$E158</f>
        <v>6941617</v>
      </c>
      <c r="I158" s="153"/>
      <c r="J158" s="145">
        <f t="shared" si="18"/>
        <v>-874757</v>
      </c>
      <c r="K158" s="145">
        <f t="shared" si="18"/>
        <v>5302980</v>
      </c>
    </row>
    <row r="159" spans="1:11" x14ac:dyDescent="0.2">
      <c r="A159" s="152">
        <v>34533</v>
      </c>
      <c r="B159" s="153" t="s">
        <v>112</v>
      </c>
      <c r="C159" s="153"/>
      <c r="D159" s="158">
        <v>4007441</v>
      </c>
      <c r="E159" s="158">
        <v>409943</v>
      </c>
      <c r="F159" s="153"/>
      <c r="G159" s="145">
        <f>'Plant &amp; Reserve'!$D159</f>
        <v>13966337</v>
      </c>
      <c r="H159" s="145">
        <f>'Plant &amp; Reserve'!$E159</f>
        <v>4237970</v>
      </c>
      <c r="I159" s="153"/>
      <c r="J159" s="145">
        <f t="shared" si="18"/>
        <v>9958896</v>
      </c>
      <c r="K159" s="145">
        <f t="shared" si="18"/>
        <v>3828027</v>
      </c>
    </row>
    <row r="160" spans="1:11" ht="15" x14ac:dyDescent="0.2">
      <c r="A160" s="152">
        <v>34633</v>
      </c>
      <c r="B160" s="164" t="s">
        <v>112</v>
      </c>
      <c r="C160" s="153"/>
      <c r="D160" s="165">
        <v>0</v>
      </c>
      <c r="E160" s="165">
        <v>0</v>
      </c>
      <c r="F160" s="153"/>
      <c r="G160" s="166">
        <f>'Plant &amp; Reserve'!$D160</f>
        <v>905</v>
      </c>
      <c r="H160" s="166">
        <f>'Plant &amp; Reserve'!$E160</f>
        <v>322</v>
      </c>
      <c r="I160" s="153"/>
      <c r="J160" s="166">
        <f t="shared" si="18"/>
        <v>905</v>
      </c>
      <c r="K160" s="166">
        <f t="shared" si="18"/>
        <v>322</v>
      </c>
    </row>
    <row r="161" spans="1:11" x14ac:dyDescent="0.2">
      <c r="A161" s="134"/>
      <c r="B161" s="125" t="s">
        <v>75</v>
      </c>
      <c r="C161" s="153"/>
      <c r="D161" s="173">
        <f>SUM(D156:D160)</f>
        <v>26716275</v>
      </c>
      <c r="E161" s="174">
        <f>SUM(E156:E160)</f>
        <v>2507684</v>
      </c>
      <c r="F161" s="153"/>
      <c r="G161" s="173">
        <f>SUM(G156:G160)</f>
        <v>33435452</v>
      </c>
      <c r="H161" s="173">
        <f>SUM(H156:H160)</f>
        <v>12025712</v>
      </c>
      <c r="I161" s="153"/>
      <c r="J161" s="174">
        <f>SUM(J156:J160)</f>
        <v>6719177</v>
      </c>
      <c r="K161" s="174">
        <f>SUM(K156:K160)</f>
        <v>9518028</v>
      </c>
    </row>
    <row r="162" spans="1:11" x14ac:dyDescent="0.2">
      <c r="A162" s="134"/>
      <c r="B162" s="125"/>
      <c r="C162" s="153"/>
      <c r="D162" s="173"/>
      <c r="E162" s="174"/>
      <c r="F162" s="153"/>
      <c r="G162" s="173"/>
      <c r="H162" s="173"/>
      <c r="I162" s="153"/>
      <c r="J162" s="174"/>
      <c r="K162" s="174"/>
    </row>
    <row r="163" spans="1:11" x14ac:dyDescent="0.2">
      <c r="A163" s="152">
        <v>34134</v>
      </c>
      <c r="B163" s="157" t="s">
        <v>113</v>
      </c>
      <c r="C163" s="153"/>
      <c r="D163" s="158">
        <v>4533758</v>
      </c>
      <c r="E163" s="158">
        <v>289406</v>
      </c>
      <c r="F163" s="153"/>
      <c r="G163" s="145">
        <f>'Plant &amp; Reserve'!$D163</f>
        <v>242334</v>
      </c>
      <c r="H163" s="145">
        <f>'Plant &amp; Reserve'!$E163</f>
        <v>-122817</v>
      </c>
      <c r="I163" s="153"/>
      <c r="J163" s="145">
        <f t="shared" ref="J163:K167" si="19">G163-D163</f>
        <v>-4291424</v>
      </c>
      <c r="K163" s="145">
        <f t="shared" si="19"/>
        <v>-412223</v>
      </c>
    </row>
    <row r="164" spans="1:11" x14ac:dyDescent="0.2">
      <c r="A164" s="152">
        <v>34234</v>
      </c>
      <c r="B164" s="153" t="s">
        <v>113</v>
      </c>
      <c r="C164" s="153"/>
      <c r="D164" s="158">
        <v>1866842</v>
      </c>
      <c r="E164" s="158">
        <v>168888</v>
      </c>
      <c r="F164" s="153"/>
      <c r="G164" s="145">
        <f>'Plant &amp; Reserve'!$D164</f>
        <v>3362087</v>
      </c>
      <c r="H164" s="145">
        <f>'Plant &amp; Reserve'!$E164</f>
        <v>866518</v>
      </c>
      <c r="I164" s="153"/>
      <c r="J164" s="145">
        <f t="shared" si="19"/>
        <v>1495245</v>
      </c>
      <c r="K164" s="145">
        <f t="shared" si="19"/>
        <v>697630</v>
      </c>
    </row>
    <row r="165" spans="1:11" x14ac:dyDescent="0.2">
      <c r="A165" s="152">
        <v>34334</v>
      </c>
      <c r="B165" s="153" t="s">
        <v>113</v>
      </c>
      <c r="C165" s="153"/>
      <c r="D165" s="158">
        <v>16268191</v>
      </c>
      <c r="E165" s="158">
        <v>1635747</v>
      </c>
      <c r="F165" s="153"/>
      <c r="G165" s="145">
        <f>'Plant &amp; Reserve'!$D165</f>
        <v>15839920</v>
      </c>
      <c r="H165" s="145">
        <f>'Plant &amp; Reserve'!$E165</f>
        <v>6950153</v>
      </c>
      <c r="I165" s="153"/>
      <c r="J165" s="145">
        <f t="shared" si="19"/>
        <v>-428271</v>
      </c>
      <c r="K165" s="145">
        <f t="shared" si="19"/>
        <v>5314406</v>
      </c>
    </row>
    <row r="166" spans="1:11" x14ac:dyDescent="0.2">
      <c r="A166" s="152">
        <v>34534</v>
      </c>
      <c r="B166" s="153" t="s">
        <v>113</v>
      </c>
      <c r="C166" s="153"/>
      <c r="D166" s="158">
        <v>4000375</v>
      </c>
      <c r="E166" s="158">
        <v>409220</v>
      </c>
      <c r="F166" s="153"/>
      <c r="G166" s="145">
        <f>'Plant &amp; Reserve'!$D166</f>
        <v>4041456</v>
      </c>
      <c r="H166" s="145">
        <f>'Plant &amp; Reserve'!$E166</f>
        <v>1379865</v>
      </c>
      <c r="I166" s="153"/>
      <c r="J166" s="145">
        <f t="shared" si="19"/>
        <v>41081</v>
      </c>
      <c r="K166" s="145">
        <f t="shared" si="19"/>
        <v>970645</v>
      </c>
    </row>
    <row r="167" spans="1:11" ht="15" x14ac:dyDescent="0.2">
      <c r="A167" s="152">
        <v>34634</v>
      </c>
      <c r="B167" s="164" t="s">
        <v>113</v>
      </c>
      <c r="C167" s="153"/>
      <c r="D167" s="165">
        <v>0</v>
      </c>
      <c r="E167" s="165">
        <v>0</v>
      </c>
      <c r="F167" s="153"/>
      <c r="G167" s="166">
        <f>'Plant &amp; Reserve'!$D167</f>
        <v>905</v>
      </c>
      <c r="H167" s="166">
        <f>'Plant &amp; Reserve'!$E167</f>
        <v>322</v>
      </c>
      <c r="I167" s="153"/>
      <c r="J167" s="166">
        <f t="shared" si="19"/>
        <v>905</v>
      </c>
      <c r="K167" s="166">
        <f t="shared" si="19"/>
        <v>322</v>
      </c>
    </row>
    <row r="168" spans="1:11" x14ac:dyDescent="0.2">
      <c r="A168" s="134"/>
      <c r="B168" s="125" t="s">
        <v>75</v>
      </c>
      <c r="C168" s="153"/>
      <c r="D168" s="173">
        <f>SUM(D163:D167)</f>
        <v>26669166</v>
      </c>
      <c r="E168" s="174">
        <f>SUM(E163:E167)</f>
        <v>2503261</v>
      </c>
      <c r="F168" s="153"/>
      <c r="G168" s="173">
        <f>SUM(G163:G167)</f>
        <v>23486702</v>
      </c>
      <c r="H168" s="173">
        <f>SUM(H163:H167)</f>
        <v>9074041</v>
      </c>
      <c r="I168" s="153"/>
      <c r="J168" s="174">
        <f>SUM(J163:J167)</f>
        <v>-3182464</v>
      </c>
      <c r="K168" s="174">
        <f>SUM(K163:K167)</f>
        <v>6570780</v>
      </c>
    </row>
    <row r="169" spans="1:11" x14ac:dyDescent="0.2">
      <c r="A169" s="134"/>
      <c r="B169" s="125"/>
      <c r="C169" s="153"/>
      <c r="D169" s="173"/>
      <c r="E169" s="174"/>
      <c r="F169" s="153"/>
      <c r="G169" s="173"/>
      <c r="H169" s="173"/>
      <c r="I169" s="153"/>
      <c r="J169" s="174"/>
      <c r="K169" s="174"/>
    </row>
    <row r="170" spans="1:11" x14ac:dyDescent="0.2">
      <c r="A170" s="152">
        <v>34135</v>
      </c>
      <c r="B170" s="157" t="s">
        <v>114</v>
      </c>
      <c r="C170" s="153"/>
      <c r="D170" s="158">
        <v>6823777</v>
      </c>
      <c r="E170" s="158">
        <v>435586</v>
      </c>
      <c r="F170" s="153"/>
      <c r="G170" s="145">
        <f>'Plant &amp; Reserve'!$D170</f>
        <v>793114</v>
      </c>
      <c r="H170" s="145">
        <f>'Plant &amp; Reserve'!$E170</f>
        <v>-173609</v>
      </c>
      <c r="I170" s="153"/>
      <c r="J170" s="145">
        <f t="shared" ref="J170:K174" si="20">G170-D170</f>
        <v>-6030663</v>
      </c>
      <c r="K170" s="145">
        <f t="shared" si="20"/>
        <v>-609195</v>
      </c>
    </row>
    <row r="171" spans="1:11" x14ac:dyDescent="0.2">
      <c r="A171" s="152">
        <v>34235</v>
      </c>
      <c r="B171" s="153" t="s">
        <v>114</v>
      </c>
      <c r="C171" s="153"/>
      <c r="D171" s="158">
        <v>2809791</v>
      </c>
      <c r="E171" s="158">
        <v>254194</v>
      </c>
      <c r="F171" s="153"/>
      <c r="G171" s="145">
        <f>'Plant &amp; Reserve'!$D171</f>
        <v>2008467</v>
      </c>
      <c r="H171" s="145">
        <f>'Plant &amp; Reserve'!$E171</f>
        <v>542183</v>
      </c>
      <c r="I171" s="153"/>
      <c r="J171" s="145">
        <f t="shared" si="20"/>
        <v>-801324</v>
      </c>
      <c r="K171" s="145">
        <f t="shared" si="20"/>
        <v>287989</v>
      </c>
    </row>
    <row r="172" spans="1:11" x14ac:dyDescent="0.2">
      <c r="A172" s="152">
        <v>34335</v>
      </c>
      <c r="B172" s="153" t="s">
        <v>114</v>
      </c>
      <c r="C172" s="153"/>
      <c r="D172" s="158">
        <v>24485319</v>
      </c>
      <c r="E172" s="158">
        <v>2461969</v>
      </c>
      <c r="F172" s="153"/>
      <c r="G172" s="145">
        <f>'Plant &amp; Reserve'!$D172</f>
        <v>18588289</v>
      </c>
      <c r="H172" s="145">
        <f>'Plant &amp; Reserve'!$E172</f>
        <v>8715074</v>
      </c>
      <c r="I172" s="153"/>
      <c r="J172" s="145">
        <f t="shared" si="20"/>
        <v>-5897030</v>
      </c>
      <c r="K172" s="145">
        <f t="shared" si="20"/>
        <v>6253105</v>
      </c>
    </row>
    <row r="173" spans="1:11" x14ac:dyDescent="0.2">
      <c r="A173" s="152">
        <v>34535</v>
      </c>
      <c r="B173" s="153" t="s">
        <v>114</v>
      </c>
      <c r="C173" s="153"/>
      <c r="D173" s="158">
        <v>6020980</v>
      </c>
      <c r="E173" s="158">
        <v>615918</v>
      </c>
      <c r="F173" s="153"/>
      <c r="G173" s="145">
        <f>'Plant &amp; Reserve'!$D173</f>
        <v>10147531</v>
      </c>
      <c r="H173" s="145">
        <f>'Plant &amp; Reserve'!$E173</f>
        <v>3538101</v>
      </c>
      <c r="I173" s="153"/>
      <c r="J173" s="145">
        <f t="shared" si="20"/>
        <v>4126551</v>
      </c>
      <c r="K173" s="145">
        <f t="shared" si="20"/>
        <v>2922183</v>
      </c>
    </row>
    <row r="174" spans="1:11" ht="15" x14ac:dyDescent="0.2">
      <c r="A174" s="152">
        <v>34635</v>
      </c>
      <c r="B174" s="164" t="s">
        <v>114</v>
      </c>
      <c r="C174" s="153"/>
      <c r="D174" s="165">
        <v>0</v>
      </c>
      <c r="E174" s="165">
        <v>0</v>
      </c>
      <c r="F174" s="153"/>
      <c r="G174" s="166">
        <f>'Plant &amp; Reserve'!$D174</f>
        <v>0</v>
      </c>
      <c r="H174" s="166">
        <f>'Plant &amp; Reserve'!$E174</f>
        <v>0</v>
      </c>
      <c r="I174" s="153"/>
      <c r="J174" s="166">
        <f t="shared" si="20"/>
        <v>0</v>
      </c>
      <c r="K174" s="166">
        <f t="shared" si="20"/>
        <v>0</v>
      </c>
    </row>
    <row r="175" spans="1:11" x14ac:dyDescent="0.2">
      <c r="A175" s="134"/>
      <c r="B175" s="125" t="s">
        <v>75</v>
      </c>
      <c r="C175" s="153"/>
      <c r="D175" s="173">
        <f>SUM(D170:D174)</f>
        <v>40139867</v>
      </c>
      <c r="E175" s="174">
        <f>SUM(E170:E174)</f>
        <v>3767667</v>
      </c>
      <c r="F175" s="153"/>
      <c r="G175" s="173">
        <f>SUM(G170:G174)</f>
        <v>31537401</v>
      </c>
      <c r="H175" s="173">
        <f>SUM(H170:H174)</f>
        <v>12621749</v>
      </c>
      <c r="I175" s="153"/>
      <c r="J175" s="174">
        <f>SUM(J170:J174)</f>
        <v>-8602466</v>
      </c>
      <c r="K175" s="174">
        <f>SUM(K170:K174)</f>
        <v>8854082</v>
      </c>
    </row>
    <row r="176" spans="1:11" x14ac:dyDescent="0.2">
      <c r="A176" s="134"/>
      <c r="B176" s="125"/>
      <c r="C176" s="153"/>
      <c r="D176" s="173"/>
      <c r="E176" s="174"/>
      <c r="F176" s="153"/>
      <c r="G176" s="173"/>
      <c r="H176" s="173"/>
      <c r="I176" s="153"/>
      <c r="J176" s="174"/>
      <c r="K176" s="174"/>
    </row>
    <row r="177" spans="1:11" x14ac:dyDescent="0.2">
      <c r="A177" s="152">
        <v>34136</v>
      </c>
      <c r="B177" s="157" t="s">
        <v>115</v>
      </c>
      <c r="C177" s="153"/>
      <c r="D177" s="158">
        <v>6806359</v>
      </c>
      <c r="E177" s="158">
        <v>434474</v>
      </c>
      <c r="F177" s="153"/>
      <c r="G177" s="145">
        <f>'Plant &amp; Reserve'!$D177</f>
        <v>2656232</v>
      </c>
      <c r="H177" s="145">
        <f>'Plant &amp; Reserve'!$E177</f>
        <v>309934</v>
      </c>
      <c r="I177" s="153"/>
      <c r="J177" s="145">
        <f t="shared" ref="J177:K181" si="21">G177-D177</f>
        <v>-4150127</v>
      </c>
      <c r="K177" s="145">
        <f t="shared" si="21"/>
        <v>-124540</v>
      </c>
    </row>
    <row r="178" spans="1:11" x14ac:dyDescent="0.2">
      <c r="A178" s="152">
        <v>34236</v>
      </c>
      <c r="B178" s="157" t="s">
        <v>115</v>
      </c>
      <c r="C178" s="153"/>
      <c r="D178" s="158">
        <v>2802618</v>
      </c>
      <c r="E178" s="158">
        <v>253546</v>
      </c>
      <c r="F178" s="153"/>
      <c r="G178" s="145">
        <f>'Plant &amp; Reserve'!$D178</f>
        <v>1537279</v>
      </c>
      <c r="H178" s="145">
        <f>'Plant &amp; Reserve'!$E178</f>
        <v>365569</v>
      </c>
      <c r="I178" s="153"/>
      <c r="J178" s="145">
        <f t="shared" si="21"/>
        <v>-1265339</v>
      </c>
      <c r="K178" s="145">
        <f t="shared" si="21"/>
        <v>112023</v>
      </c>
    </row>
    <row r="179" spans="1:11" x14ac:dyDescent="0.2">
      <c r="A179" s="152">
        <v>34336</v>
      </c>
      <c r="B179" s="157" t="s">
        <v>115</v>
      </c>
      <c r="C179" s="153"/>
      <c r="D179" s="158">
        <v>24422818</v>
      </c>
      <c r="E179" s="158">
        <v>2455685</v>
      </c>
      <c r="F179" s="153"/>
      <c r="G179" s="145">
        <f>'Plant &amp; Reserve'!$D179</f>
        <v>17478929</v>
      </c>
      <c r="H179" s="145">
        <f>'Plant &amp; Reserve'!$E179</f>
        <v>8817953</v>
      </c>
      <c r="I179" s="153"/>
      <c r="J179" s="145">
        <f t="shared" si="21"/>
        <v>-6943889</v>
      </c>
      <c r="K179" s="145">
        <f t="shared" si="21"/>
        <v>6362268</v>
      </c>
    </row>
    <row r="180" spans="1:11" x14ac:dyDescent="0.2">
      <c r="A180" s="152">
        <v>34536</v>
      </c>
      <c r="B180" s="157" t="s">
        <v>115</v>
      </c>
      <c r="C180" s="153"/>
      <c r="D180" s="158">
        <v>6005611</v>
      </c>
      <c r="E180" s="158">
        <v>614346</v>
      </c>
      <c r="F180" s="153"/>
      <c r="G180" s="145">
        <f>'Plant &amp; Reserve'!$D180</f>
        <v>14209232</v>
      </c>
      <c r="H180" s="145">
        <f>'Plant &amp; Reserve'!$E180</f>
        <v>4871264</v>
      </c>
      <c r="I180" s="153"/>
      <c r="J180" s="145">
        <f t="shared" si="21"/>
        <v>8203621</v>
      </c>
      <c r="K180" s="145">
        <f t="shared" si="21"/>
        <v>4256918</v>
      </c>
    </row>
    <row r="181" spans="1:11" ht="15" x14ac:dyDescent="0.2">
      <c r="A181" s="152">
        <v>34636</v>
      </c>
      <c r="B181" s="199" t="s">
        <v>115</v>
      </c>
      <c r="C181" s="153"/>
      <c r="D181" s="165">
        <v>0</v>
      </c>
      <c r="E181" s="165">
        <v>0</v>
      </c>
      <c r="F181" s="153"/>
      <c r="G181" s="166">
        <f>'Plant &amp; Reserve'!$D181</f>
        <v>11736</v>
      </c>
      <c r="H181" s="166">
        <f>'Plant &amp; Reserve'!$E181</f>
        <v>4176</v>
      </c>
      <c r="I181" s="153"/>
      <c r="J181" s="166">
        <f t="shared" si="21"/>
        <v>11736</v>
      </c>
      <c r="K181" s="166">
        <f t="shared" si="21"/>
        <v>4176</v>
      </c>
    </row>
    <row r="182" spans="1:11" x14ac:dyDescent="0.2">
      <c r="A182" s="134"/>
      <c r="B182" s="125" t="s">
        <v>75</v>
      </c>
      <c r="C182" s="153"/>
      <c r="D182" s="173">
        <f>SUM(D177:D181)</f>
        <v>40037406</v>
      </c>
      <c r="E182" s="174">
        <f>SUM(E177:E181)</f>
        <v>3758051</v>
      </c>
      <c r="F182" s="153"/>
      <c r="G182" s="173">
        <f>SUM(G177:G181)</f>
        <v>35893408</v>
      </c>
      <c r="H182" s="173">
        <f>SUM(H177:H181)</f>
        <v>14368896</v>
      </c>
      <c r="I182" s="153"/>
      <c r="J182" s="174">
        <f>SUM(J177:J181)</f>
        <v>-4143998</v>
      </c>
      <c r="K182" s="174">
        <f>SUM(K177:K181)</f>
        <v>10610845</v>
      </c>
    </row>
    <row r="183" spans="1:11" x14ac:dyDescent="0.2">
      <c r="A183" s="152"/>
      <c r="B183" s="157"/>
      <c r="C183" s="153"/>
      <c r="D183" s="158"/>
      <c r="E183" s="158"/>
      <c r="F183" s="153"/>
      <c r="G183" s="145"/>
      <c r="H183" s="145"/>
      <c r="I183" s="153"/>
      <c r="J183" s="145"/>
      <c r="K183" s="145"/>
    </row>
    <row r="184" spans="1:11" x14ac:dyDescent="0.2">
      <c r="A184" s="152">
        <v>34637</v>
      </c>
      <c r="B184" s="157" t="s">
        <v>83</v>
      </c>
      <c r="C184" s="153"/>
      <c r="D184" s="158">
        <v>0</v>
      </c>
      <c r="E184" s="158">
        <v>0</v>
      </c>
      <c r="F184" s="153"/>
      <c r="G184" s="145">
        <f>'Plant &amp; Reserve'!$D184</f>
        <v>702614.98999999987</v>
      </c>
      <c r="H184" s="145">
        <f>'Plant &amp; Reserve'!$E184</f>
        <v>484556</v>
      </c>
      <c r="I184" s="153"/>
      <c r="J184" s="145">
        <f>G184-D184</f>
        <v>702614.98999999987</v>
      </c>
      <c r="K184" s="145">
        <f>H184-E184</f>
        <v>484556</v>
      </c>
    </row>
    <row r="185" spans="1:11" ht="13.5" thickBot="1" x14ac:dyDescent="0.25">
      <c r="A185" s="180"/>
      <c r="B185" s="180"/>
      <c r="C185" s="153"/>
      <c r="D185" s="181"/>
      <c r="E185" s="181"/>
      <c r="F185" s="153"/>
      <c r="G185" s="182"/>
      <c r="H185" s="182"/>
      <c r="I185" s="153"/>
      <c r="J185" s="182"/>
      <c r="K185" s="182"/>
    </row>
    <row r="186" spans="1:11" ht="19.5" customHeight="1" thickTop="1" thickBot="1" x14ac:dyDescent="0.25">
      <c r="A186" s="185"/>
      <c r="B186" s="383" t="s">
        <v>73</v>
      </c>
      <c r="C186" s="153"/>
      <c r="D186" s="196">
        <f>SUM(D140,D147,D154,D161,D168,D175,D182,D184)</f>
        <v>1026124321</v>
      </c>
      <c r="E186" s="196">
        <f>SUM(E140,E147,E154,E161,E168,E175,E182,E184)</f>
        <v>226165323.19999999</v>
      </c>
      <c r="F186" s="153"/>
      <c r="G186" s="196">
        <f>SUM(G140,G147,G154,G161,G168,G175,G182,G184)</f>
        <v>1110577447.99</v>
      </c>
      <c r="H186" s="196">
        <f>SUM(H140,H147,H154,H161,H168,H175,H182,H184)</f>
        <v>347243537</v>
      </c>
      <c r="I186" s="153"/>
      <c r="J186" s="196">
        <f>SUM(J140,J147,J154,J161,J168,J175,J182,J184)</f>
        <v>84453126.989999995</v>
      </c>
      <c r="K186" s="196">
        <f>SUM(K140,K147,K154,K161,K168,K175,K182,K184)</f>
        <v>121078213.80000001</v>
      </c>
    </row>
    <row r="187" spans="1:11" ht="13.5" thickTop="1" x14ac:dyDescent="0.2">
      <c r="A187" s="140"/>
      <c r="B187" s="129"/>
      <c r="C187" s="153"/>
      <c r="D187" s="158"/>
      <c r="E187" s="158"/>
      <c r="F187" s="153"/>
      <c r="G187" s="145"/>
      <c r="H187" s="145"/>
      <c r="I187" s="153"/>
      <c r="J187" s="145"/>
      <c r="K187" s="145"/>
    </row>
    <row r="188" spans="1:11" x14ac:dyDescent="0.2">
      <c r="A188" s="140"/>
      <c r="B188" s="144" t="s">
        <v>64</v>
      </c>
      <c r="C188" s="153"/>
      <c r="D188" s="158"/>
      <c r="E188" s="158"/>
      <c r="F188" s="153"/>
      <c r="G188" s="145"/>
      <c r="H188" s="145"/>
      <c r="I188" s="153"/>
      <c r="J188" s="145"/>
      <c r="K188" s="145"/>
    </row>
    <row r="189" spans="1:11" x14ac:dyDescent="0.2">
      <c r="A189" s="140"/>
      <c r="B189" s="129"/>
      <c r="C189" s="153"/>
      <c r="D189" s="158"/>
      <c r="E189" s="158"/>
      <c r="F189" s="153"/>
      <c r="G189" s="145"/>
      <c r="H189" s="145"/>
      <c r="I189" s="153"/>
      <c r="J189" s="145"/>
      <c r="K189" s="145"/>
    </row>
    <row r="190" spans="1:11" x14ac:dyDescent="0.2">
      <c r="A190" s="152">
        <v>34180</v>
      </c>
      <c r="B190" s="157" t="s">
        <v>116</v>
      </c>
      <c r="C190" s="153"/>
      <c r="D190" s="158">
        <v>66319103</v>
      </c>
      <c r="E190" s="158">
        <v>20486027</v>
      </c>
      <c r="F190" s="153"/>
      <c r="G190" s="145">
        <f>'Plant &amp; Reserve'!$D190</f>
        <v>190101668</v>
      </c>
      <c r="H190" s="145">
        <f>'Plant &amp; Reserve'!$E190</f>
        <v>41576855</v>
      </c>
      <c r="I190" s="153"/>
      <c r="J190" s="145">
        <f t="shared" ref="J190:K194" si="22">G190-D190</f>
        <v>123782565</v>
      </c>
      <c r="K190" s="145">
        <f t="shared" si="22"/>
        <v>21090828</v>
      </c>
    </row>
    <row r="191" spans="1:11" x14ac:dyDescent="0.2">
      <c r="A191" s="152">
        <v>34280</v>
      </c>
      <c r="B191" s="153" t="s">
        <v>116</v>
      </c>
      <c r="C191" s="153"/>
      <c r="D191" s="158">
        <v>4325960</v>
      </c>
      <c r="E191" s="158">
        <v>379222</v>
      </c>
      <c r="F191" s="153"/>
      <c r="G191" s="145">
        <f>'Plant &amp; Reserve'!$D191</f>
        <v>9702986</v>
      </c>
      <c r="H191" s="145">
        <f>'Plant &amp; Reserve'!$E191</f>
        <v>3199499</v>
      </c>
      <c r="I191" s="153"/>
      <c r="J191" s="145">
        <f t="shared" si="22"/>
        <v>5377026</v>
      </c>
      <c r="K191" s="145">
        <f t="shared" si="22"/>
        <v>2820277</v>
      </c>
    </row>
    <row r="192" spans="1:11" x14ac:dyDescent="0.2">
      <c r="A192" s="152">
        <v>34380</v>
      </c>
      <c r="B192" s="153" t="s">
        <v>116</v>
      </c>
      <c r="C192" s="153"/>
      <c r="D192" s="158">
        <v>2411777</v>
      </c>
      <c r="E192" s="158">
        <v>728757</v>
      </c>
      <c r="F192" s="153"/>
      <c r="G192" s="145">
        <f>'Plant &amp; Reserve'!$D192</f>
        <v>10424249</v>
      </c>
      <c r="H192" s="145">
        <f>'Plant &amp; Reserve'!$E192</f>
        <v>1646064</v>
      </c>
      <c r="I192" s="153"/>
      <c r="J192" s="145">
        <f t="shared" si="22"/>
        <v>8012472</v>
      </c>
      <c r="K192" s="145">
        <f t="shared" si="22"/>
        <v>917307</v>
      </c>
    </row>
    <row r="193" spans="1:11" x14ac:dyDescent="0.2">
      <c r="A193" s="152">
        <v>34580</v>
      </c>
      <c r="B193" s="153" t="s">
        <v>116</v>
      </c>
      <c r="C193" s="153"/>
      <c r="D193" s="158">
        <v>1939163</v>
      </c>
      <c r="E193" s="158">
        <v>623367</v>
      </c>
      <c r="F193" s="153"/>
      <c r="G193" s="145">
        <f>'Plant &amp; Reserve'!$D193</f>
        <v>13904146</v>
      </c>
      <c r="H193" s="145">
        <f>'Plant &amp; Reserve'!$E193</f>
        <v>2012288</v>
      </c>
      <c r="I193" s="153"/>
      <c r="J193" s="145">
        <f t="shared" si="22"/>
        <v>11964983</v>
      </c>
      <c r="K193" s="145">
        <f t="shared" si="22"/>
        <v>1388921</v>
      </c>
    </row>
    <row r="194" spans="1:11" ht="15" x14ac:dyDescent="0.2">
      <c r="A194" s="152">
        <v>34680</v>
      </c>
      <c r="B194" s="164" t="s">
        <v>116</v>
      </c>
      <c r="C194" s="153"/>
      <c r="D194" s="165">
        <v>798064</v>
      </c>
      <c r="E194" s="165">
        <v>264417</v>
      </c>
      <c r="F194" s="153"/>
      <c r="G194" s="166">
        <f>'Plant &amp; Reserve'!$D194</f>
        <v>850631</v>
      </c>
      <c r="H194" s="166">
        <f>'Plant &amp; Reserve'!$E194</f>
        <v>-131378</v>
      </c>
      <c r="I194" s="153"/>
      <c r="J194" s="171">
        <f t="shared" si="22"/>
        <v>52567</v>
      </c>
      <c r="K194" s="171">
        <f t="shared" si="22"/>
        <v>-395795</v>
      </c>
    </row>
    <row r="195" spans="1:11" x14ac:dyDescent="0.2">
      <c r="A195" s="134"/>
      <c r="B195" s="125" t="s">
        <v>75</v>
      </c>
      <c r="C195" s="153"/>
      <c r="D195" s="173">
        <f>SUM(D190:D194)</f>
        <v>75794067</v>
      </c>
      <c r="E195" s="174">
        <f>SUM(E190:E194)</f>
        <v>22481790</v>
      </c>
      <c r="F195" s="153"/>
      <c r="G195" s="173">
        <f>SUM(G190:G194)</f>
        <v>224983680</v>
      </c>
      <c r="H195" s="173">
        <f>SUM(H190:H194)</f>
        <v>48303328</v>
      </c>
      <c r="I195" s="153"/>
      <c r="J195" s="174">
        <f>SUM(J190:J194)</f>
        <v>149189613</v>
      </c>
      <c r="K195" s="174">
        <f>SUM(K190:K194)</f>
        <v>25821538</v>
      </c>
    </row>
    <row r="196" spans="1:11" x14ac:dyDescent="0.2">
      <c r="A196" s="200"/>
      <c r="B196" s="129"/>
      <c r="C196" s="153"/>
      <c r="D196" s="158"/>
      <c r="E196" s="158"/>
      <c r="F196" s="153"/>
      <c r="G196" s="145"/>
      <c r="H196" s="145"/>
      <c r="I196" s="153"/>
      <c r="J196" s="145"/>
      <c r="K196" s="145"/>
    </row>
    <row r="197" spans="1:11" x14ac:dyDescent="0.2">
      <c r="A197" s="152">
        <v>34181</v>
      </c>
      <c r="B197" s="159" t="s">
        <v>117</v>
      </c>
      <c r="C197" s="153"/>
      <c r="D197" s="158">
        <v>46737185</v>
      </c>
      <c r="E197" s="158">
        <v>16403857</v>
      </c>
      <c r="F197" s="153"/>
      <c r="G197" s="145">
        <f>'Plant &amp; Reserve'!$D197</f>
        <v>49619944</v>
      </c>
      <c r="H197" s="145">
        <f>'Plant &amp; Reserve'!$E197</f>
        <v>22146505</v>
      </c>
      <c r="I197" s="153"/>
      <c r="J197" s="145">
        <f t="shared" ref="J197:K201" si="23">G197-D197</f>
        <v>2882759</v>
      </c>
      <c r="K197" s="145">
        <f t="shared" si="23"/>
        <v>5742648</v>
      </c>
    </row>
    <row r="198" spans="1:11" x14ac:dyDescent="0.2">
      <c r="A198" s="152">
        <v>34281</v>
      </c>
      <c r="B198" s="153" t="s">
        <v>117</v>
      </c>
      <c r="C198" s="153"/>
      <c r="D198" s="158">
        <v>233680022</v>
      </c>
      <c r="E198" s="158">
        <v>98812652</v>
      </c>
      <c r="F198" s="153"/>
      <c r="G198" s="145">
        <f>'Plant &amp; Reserve'!$D198</f>
        <v>243837822</v>
      </c>
      <c r="H198" s="145">
        <f>'Plant &amp; Reserve'!$E198</f>
        <v>108967420</v>
      </c>
      <c r="I198" s="153"/>
      <c r="J198" s="145">
        <f t="shared" si="23"/>
        <v>10157800</v>
      </c>
      <c r="K198" s="145">
        <f t="shared" si="23"/>
        <v>10154768</v>
      </c>
    </row>
    <row r="199" spans="1:11" x14ac:dyDescent="0.2">
      <c r="A199" s="152">
        <v>34381</v>
      </c>
      <c r="B199" s="153" t="s">
        <v>117</v>
      </c>
      <c r="C199" s="153"/>
      <c r="D199" s="158">
        <v>127513225</v>
      </c>
      <c r="E199" s="158">
        <v>63041342</v>
      </c>
      <c r="F199" s="153"/>
      <c r="G199" s="145">
        <f>'Plant &amp; Reserve'!$D199</f>
        <v>146141231</v>
      </c>
      <c r="H199" s="145">
        <f>'Plant &amp; Reserve'!$E199</f>
        <v>68907372</v>
      </c>
      <c r="I199" s="153"/>
      <c r="J199" s="145">
        <f t="shared" si="23"/>
        <v>18628006</v>
      </c>
      <c r="K199" s="145">
        <f t="shared" si="23"/>
        <v>5866030</v>
      </c>
    </row>
    <row r="200" spans="1:11" x14ac:dyDescent="0.2">
      <c r="A200" s="152">
        <v>34581</v>
      </c>
      <c r="B200" s="153" t="s">
        <v>117</v>
      </c>
      <c r="C200" s="153"/>
      <c r="D200" s="158">
        <v>58627599</v>
      </c>
      <c r="E200" s="158">
        <v>27265514</v>
      </c>
      <c r="F200" s="153"/>
      <c r="G200" s="145">
        <f>'Plant &amp; Reserve'!$D200</f>
        <v>57896239</v>
      </c>
      <c r="H200" s="145">
        <f>'Plant &amp; Reserve'!$E200</f>
        <v>35972829</v>
      </c>
      <c r="I200" s="153"/>
      <c r="J200" s="145">
        <f t="shared" si="23"/>
        <v>-731360</v>
      </c>
      <c r="K200" s="145">
        <f t="shared" si="23"/>
        <v>8707315</v>
      </c>
    </row>
    <row r="201" spans="1:11" ht="15" x14ac:dyDescent="0.2">
      <c r="A201" s="152">
        <v>34681</v>
      </c>
      <c r="B201" s="164" t="s">
        <v>117</v>
      </c>
      <c r="C201" s="153"/>
      <c r="D201" s="165">
        <v>5152186</v>
      </c>
      <c r="E201" s="165">
        <v>1950500</v>
      </c>
      <c r="F201" s="153"/>
      <c r="G201" s="166">
        <f>'Plant &amp; Reserve'!$D201</f>
        <v>6060777</v>
      </c>
      <c r="H201" s="166">
        <f>'Plant &amp; Reserve'!$E201</f>
        <v>2192422</v>
      </c>
      <c r="I201" s="153"/>
      <c r="J201" s="166">
        <f t="shared" si="23"/>
        <v>908591</v>
      </c>
      <c r="K201" s="166">
        <f t="shared" si="23"/>
        <v>241922</v>
      </c>
    </row>
    <row r="202" spans="1:11" x14ac:dyDescent="0.2">
      <c r="A202" s="134"/>
      <c r="B202" s="125" t="s">
        <v>75</v>
      </c>
      <c r="C202" s="153"/>
      <c r="D202" s="173">
        <f>SUM(D197:D201)</f>
        <v>471710217</v>
      </c>
      <c r="E202" s="174">
        <f>SUM(E197:E201)</f>
        <v>207473865</v>
      </c>
      <c r="F202" s="153"/>
      <c r="G202" s="173">
        <f>SUM(G197:G201)</f>
        <v>503556013</v>
      </c>
      <c r="H202" s="173">
        <f>SUM(H197:H201)</f>
        <v>238186548</v>
      </c>
      <c r="I202" s="153"/>
      <c r="J202" s="174">
        <f>SUM(J197:J201)</f>
        <v>31845796</v>
      </c>
      <c r="K202" s="174">
        <f>SUM(K197:K201)</f>
        <v>30712683</v>
      </c>
    </row>
    <row r="203" spans="1:11" x14ac:dyDescent="0.2">
      <c r="A203" s="200"/>
      <c r="B203" s="129"/>
      <c r="C203" s="153"/>
      <c r="D203" s="158"/>
      <c r="E203" s="158"/>
      <c r="F203" s="153"/>
      <c r="G203" s="145"/>
      <c r="H203" s="145"/>
      <c r="I203" s="153"/>
      <c r="J203" s="145"/>
      <c r="K203" s="145"/>
    </row>
    <row r="204" spans="1:11" x14ac:dyDescent="0.2">
      <c r="A204" s="152">
        <v>34182</v>
      </c>
      <c r="B204" s="159" t="s">
        <v>118</v>
      </c>
      <c r="C204" s="153"/>
      <c r="D204" s="158">
        <v>2149071</v>
      </c>
      <c r="E204" s="158">
        <v>637076</v>
      </c>
      <c r="F204" s="153"/>
      <c r="G204" s="145">
        <f>'Plant &amp; Reserve'!$D204</f>
        <v>2154013</v>
      </c>
      <c r="H204" s="145">
        <f>'Plant &amp; Reserve'!$E204</f>
        <v>1089209</v>
      </c>
      <c r="I204" s="153"/>
      <c r="J204" s="145">
        <f t="shared" ref="J204:K208" si="24">G204-D204</f>
        <v>4942</v>
      </c>
      <c r="K204" s="145">
        <f t="shared" si="24"/>
        <v>452133</v>
      </c>
    </row>
    <row r="205" spans="1:11" x14ac:dyDescent="0.2">
      <c r="A205" s="152">
        <v>34282</v>
      </c>
      <c r="B205" s="153" t="s">
        <v>118</v>
      </c>
      <c r="C205" s="153"/>
      <c r="D205" s="158">
        <v>1234073</v>
      </c>
      <c r="E205" s="158">
        <v>351801</v>
      </c>
      <c r="F205" s="153"/>
      <c r="G205" s="145">
        <f>'Plant &amp; Reserve'!$D205</f>
        <v>2054235</v>
      </c>
      <c r="H205" s="145">
        <f>'Plant &amp; Reserve'!$E205</f>
        <v>445193</v>
      </c>
      <c r="I205" s="153"/>
      <c r="J205" s="145">
        <f t="shared" si="24"/>
        <v>820162</v>
      </c>
      <c r="K205" s="145">
        <f t="shared" si="24"/>
        <v>93392</v>
      </c>
    </row>
    <row r="206" spans="1:11" x14ac:dyDescent="0.2">
      <c r="A206" s="152">
        <v>34382</v>
      </c>
      <c r="B206" s="153" t="s">
        <v>118</v>
      </c>
      <c r="C206" s="153"/>
      <c r="D206" s="158">
        <v>27673968</v>
      </c>
      <c r="E206" s="158">
        <v>11320450</v>
      </c>
      <c r="F206" s="153"/>
      <c r="G206" s="145">
        <f>'Plant &amp; Reserve'!$D206</f>
        <v>24943446</v>
      </c>
      <c r="H206" s="145">
        <f>'Plant &amp; Reserve'!$E206</f>
        <v>7991874</v>
      </c>
      <c r="I206" s="153"/>
      <c r="J206" s="145">
        <f t="shared" si="24"/>
        <v>-2730522</v>
      </c>
      <c r="K206" s="145">
        <f t="shared" si="24"/>
        <v>-3328576</v>
      </c>
    </row>
    <row r="207" spans="1:11" x14ac:dyDescent="0.2">
      <c r="A207" s="152">
        <v>34582</v>
      </c>
      <c r="B207" s="153" t="s">
        <v>118</v>
      </c>
      <c r="C207" s="153"/>
      <c r="D207" s="158">
        <v>16569568</v>
      </c>
      <c r="E207" s="158">
        <v>5116539</v>
      </c>
      <c r="F207" s="153"/>
      <c r="G207" s="145">
        <f>'Plant &amp; Reserve'!$D207</f>
        <v>17259735</v>
      </c>
      <c r="H207" s="145">
        <f>'Plant &amp; Reserve'!$E207</f>
        <v>8288324</v>
      </c>
      <c r="I207" s="153"/>
      <c r="J207" s="145">
        <f t="shared" si="24"/>
        <v>690167</v>
      </c>
      <c r="K207" s="145">
        <f t="shared" si="24"/>
        <v>3171785</v>
      </c>
    </row>
    <row r="208" spans="1:11" ht="15" x14ac:dyDescent="0.2">
      <c r="A208" s="152">
        <v>34682</v>
      </c>
      <c r="B208" s="164" t="s">
        <v>118</v>
      </c>
      <c r="C208" s="153"/>
      <c r="D208" s="165">
        <v>173210</v>
      </c>
      <c r="E208" s="165">
        <v>69247</v>
      </c>
      <c r="F208" s="153"/>
      <c r="G208" s="166">
        <f>'Plant &amp; Reserve'!$D208</f>
        <v>173210</v>
      </c>
      <c r="H208" s="166">
        <f>'Plant &amp; Reserve'!$E208</f>
        <v>117745</v>
      </c>
      <c r="I208" s="153"/>
      <c r="J208" s="166">
        <f t="shared" si="24"/>
        <v>0</v>
      </c>
      <c r="K208" s="166">
        <f t="shared" si="24"/>
        <v>48498</v>
      </c>
    </row>
    <row r="209" spans="1:11" x14ac:dyDescent="0.2">
      <c r="A209" s="134"/>
      <c r="B209" s="125" t="s">
        <v>75</v>
      </c>
      <c r="C209" s="153"/>
      <c r="D209" s="173">
        <f>SUM(D204:D208)</f>
        <v>47799890</v>
      </c>
      <c r="E209" s="174">
        <f>SUM(E204:E208)</f>
        <v>17495113</v>
      </c>
      <c r="F209" s="153"/>
      <c r="G209" s="173">
        <f>SUM(G204:G208)</f>
        <v>46584639</v>
      </c>
      <c r="H209" s="173">
        <f>SUM(H204:H208)</f>
        <v>17932345</v>
      </c>
      <c r="I209" s="153"/>
      <c r="J209" s="174">
        <f>SUM(J204:J208)</f>
        <v>-1215251</v>
      </c>
      <c r="K209" s="174">
        <f>SUM(K204:K208)</f>
        <v>437232</v>
      </c>
    </row>
    <row r="210" spans="1:11" x14ac:dyDescent="0.2">
      <c r="A210" s="200"/>
      <c r="B210" s="129"/>
      <c r="C210" s="153"/>
      <c r="D210" s="158"/>
      <c r="E210" s="201"/>
      <c r="F210" s="153"/>
      <c r="G210" s="154"/>
      <c r="H210" s="154"/>
      <c r="I210" s="153"/>
      <c r="J210" s="145"/>
      <c r="K210" s="145"/>
    </row>
    <row r="211" spans="1:11" x14ac:dyDescent="0.2">
      <c r="A211" s="152">
        <v>34183</v>
      </c>
      <c r="B211" s="157" t="s">
        <v>119</v>
      </c>
      <c r="C211" s="153"/>
      <c r="D211" s="158">
        <v>10337092</v>
      </c>
      <c r="E211" s="158">
        <v>2480212</v>
      </c>
      <c r="F211" s="153"/>
      <c r="G211" s="145">
        <f>'Plant &amp; Reserve'!$D211</f>
        <v>10533316</v>
      </c>
      <c r="H211" s="145">
        <f>'Plant &amp; Reserve'!$E211</f>
        <v>4635169</v>
      </c>
      <c r="I211" s="153"/>
      <c r="J211" s="145">
        <f t="shared" ref="J211:K215" si="25">G211-D211</f>
        <v>196224</v>
      </c>
      <c r="K211" s="145">
        <f t="shared" si="25"/>
        <v>2154957</v>
      </c>
    </row>
    <row r="212" spans="1:11" x14ac:dyDescent="0.2">
      <c r="A212" s="152">
        <v>34283</v>
      </c>
      <c r="B212" s="153" t="s">
        <v>119</v>
      </c>
      <c r="C212" s="153"/>
      <c r="D212" s="158">
        <v>1162800</v>
      </c>
      <c r="E212" s="158">
        <v>312846</v>
      </c>
      <c r="F212" s="153"/>
      <c r="G212" s="145">
        <f>'Plant &amp; Reserve'!$D212</f>
        <v>1354215</v>
      </c>
      <c r="H212" s="145">
        <f>'Plant &amp; Reserve'!$E212</f>
        <v>519232</v>
      </c>
      <c r="I212" s="153"/>
      <c r="J212" s="145">
        <f t="shared" si="25"/>
        <v>191415</v>
      </c>
      <c r="K212" s="145">
        <f t="shared" si="25"/>
        <v>206386</v>
      </c>
    </row>
    <row r="213" spans="1:11" x14ac:dyDescent="0.2">
      <c r="A213" s="152">
        <v>34383</v>
      </c>
      <c r="B213" s="153" t="s">
        <v>119</v>
      </c>
      <c r="C213" s="153"/>
      <c r="D213" s="158">
        <v>38569247</v>
      </c>
      <c r="E213" s="158">
        <v>12188420</v>
      </c>
      <c r="F213" s="153"/>
      <c r="G213" s="145">
        <f>'Plant &amp; Reserve'!$D213</f>
        <v>32584059</v>
      </c>
      <c r="H213" s="145">
        <f>'Plant &amp; Reserve'!$E213</f>
        <v>16650475</v>
      </c>
      <c r="I213" s="153"/>
      <c r="J213" s="145">
        <f t="shared" si="25"/>
        <v>-5985188</v>
      </c>
      <c r="K213" s="145">
        <f t="shared" si="25"/>
        <v>4462055</v>
      </c>
    </row>
    <row r="214" spans="1:11" x14ac:dyDescent="0.2">
      <c r="A214" s="152">
        <v>34583</v>
      </c>
      <c r="B214" s="153" t="s">
        <v>119</v>
      </c>
      <c r="C214" s="153"/>
      <c r="D214" s="158">
        <v>9119243</v>
      </c>
      <c r="E214" s="158">
        <v>2460335</v>
      </c>
      <c r="F214" s="153"/>
      <c r="G214" s="145">
        <f>'Plant &amp; Reserve'!$D214</f>
        <v>9056070</v>
      </c>
      <c r="H214" s="145">
        <f>'Plant &amp; Reserve'!$E214</f>
        <v>4461661</v>
      </c>
      <c r="I214" s="153"/>
      <c r="J214" s="145">
        <f t="shared" si="25"/>
        <v>-63173</v>
      </c>
      <c r="K214" s="145">
        <f t="shared" si="25"/>
        <v>2001326</v>
      </c>
    </row>
    <row r="215" spans="1:11" ht="15" x14ac:dyDescent="0.2">
      <c r="A215" s="152">
        <v>34683</v>
      </c>
      <c r="B215" s="164" t="s">
        <v>119</v>
      </c>
      <c r="C215" s="153"/>
      <c r="D215" s="165">
        <v>432910</v>
      </c>
      <c r="E215" s="165">
        <v>120923</v>
      </c>
      <c r="F215" s="153"/>
      <c r="G215" s="166">
        <f>'Plant &amp; Reserve'!$D215</f>
        <v>432910</v>
      </c>
      <c r="H215" s="166">
        <f>'Plant &amp; Reserve'!$E215</f>
        <v>228284</v>
      </c>
      <c r="I215" s="153"/>
      <c r="J215" s="166">
        <f t="shared" si="25"/>
        <v>0</v>
      </c>
      <c r="K215" s="166">
        <f t="shared" si="25"/>
        <v>107361</v>
      </c>
    </row>
    <row r="216" spans="1:11" x14ac:dyDescent="0.2">
      <c r="A216" s="134"/>
      <c r="B216" s="125" t="s">
        <v>75</v>
      </c>
      <c r="C216" s="153"/>
      <c r="D216" s="173">
        <f>SUM(D211:D215)</f>
        <v>59621292</v>
      </c>
      <c r="E216" s="174">
        <f>SUM(E211:E215)</f>
        <v>17562736</v>
      </c>
      <c r="F216" s="153"/>
      <c r="G216" s="173">
        <f>SUM(G211:G215)</f>
        <v>53960570</v>
      </c>
      <c r="H216" s="173">
        <f>SUM(H211:H215)</f>
        <v>26494821</v>
      </c>
      <c r="I216" s="153"/>
      <c r="J216" s="174">
        <f>SUM(J211:J215)</f>
        <v>-5660722</v>
      </c>
      <c r="K216" s="174">
        <f>SUM(K211:K215)</f>
        <v>8932085</v>
      </c>
    </row>
    <row r="217" spans="1:11" x14ac:dyDescent="0.2">
      <c r="A217" s="134"/>
      <c r="B217" s="125"/>
      <c r="C217" s="153"/>
      <c r="D217" s="173"/>
      <c r="E217" s="174"/>
      <c r="F217" s="153"/>
      <c r="G217" s="173"/>
      <c r="H217" s="173"/>
      <c r="I217" s="153"/>
      <c r="J217" s="174"/>
      <c r="K217" s="174"/>
    </row>
    <row r="218" spans="1:11" x14ac:dyDescent="0.2">
      <c r="A218" s="152">
        <v>34184</v>
      </c>
      <c r="B218" s="157" t="s">
        <v>120</v>
      </c>
      <c r="C218" s="153"/>
      <c r="D218" s="158">
        <v>5583542</v>
      </c>
      <c r="E218" s="158">
        <v>613520</v>
      </c>
      <c r="F218" s="153"/>
      <c r="G218" s="145">
        <f>'Plant &amp; Reserve'!$D218</f>
        <v>5811520</v>
      </c>
      <c r="H218" s="145">
        <f>'Plant &amp; Reserve'!$E218</f>
        <v>1679892</v>
      </c>
      <c r="I218" s="153"/>
      <c r="J218" s="145">
        <f t="shared" ref="J218:K222" si="26">G218-D218</f>
        <v>227978</v>
      </c>
      <c r="K218" s="145">
        <f t="shared" si="26"/>
        <v>1066372</v>
      </c>
    </row>
    <row r="219" spans="1:11" x14ac:dyDescent="0.2">
      <c r="A219" s="152">
        <v>34284</v>
      </c>
      <c r="B219" s="157" t="s">
        <v>120</v>
      </c>
      <c r="C219" s="153"/>
      <c r="D219" s="158">
        <v>2146174</v>
      </c>
      <c r="E219" s="158">
        <v>323677</v>
      </c>
      <c r="F219" s="153"/>
      <c r="G219" s="145">
        <f>'Plant &amp; Reserve'!$D219</f>
        <v>2167428</v>
      </c>
      <c r="H219" s="145">
        <f>'Plant &amp; Reserve'!$E219</f>
        <v>306066</v>
      </c>
      <c r="I219" s="153"/>
      <c r="J219" s="145">
        <f t="shared" si="26"/>
        <v>21254</v>
      </c>
      <c r="K219" s="145">
        <f t="shared" si="26"/>
        <v>-17611</v>
      </c>
    </row>
    <row r="220" spans="1:11" x14ac:dyDescent="0.2">
      <c r="A220" s="152">
        <v>34384</v>
      </c>
      <c r="B220" s="157" t="s">
        <v>120</v>
      </c>
      <c r="C220" s="153"/>
      <c r="D220" s="158">
        <v>22329271</v>
      </c>
      <c r="E220" s="158">
        <v>3708797</v>
      </c>
      <c r="F220" s="153"/>
      <c r="G220" s="145">
        <f>'Plant &amp; Reserve'!$D220</f>
        <v>22033275</v>
      </c>
      <c r="H220" s="145">
        <f>'Plant &amp; Reserve'!$E220</f>
        <v>2876498</v>
      </c>
      <c r="I220" s="153"/>
      <c r="J220" s="145">
        <f t="shared" si="26"/>
        <v>-295996</v>
      </c>
      <c r="K220" s="145">
        <f t="shared" si="26"/>
        <v>-832299</v>
      </c>
    </row>
    <row r="221" spans="1:11" x14ac:dyDescent="0.2">
      <c r="A221" s="152">
        <v>34584</v>
      </c>
      <c r="B221" s="157" t="s">
        <v>120</v>
      </c>
      <c r="C221" s="153"/>
      <c r="D221" s="158">
        <v>5082686</v>
      </c>
      <c r="E221" s="158">
        <v>879039</v>
      </c>
      <c r="F221" s="153"/>
      <c r="G221" s="145">
        <f>'Plant &amp; Reserve'!$D221</f>
        <v>5563010</v>
      </c>
      <c r="H221" s="145">
        <f>'Plant &amp; Reserve'!$E221</f>
        <v>2584906</v>
      </c>
      <c r="I221" s="153"/>
      <c r="J221" s="145">
        <f t="shared" si="26"/>
        <v>480324</v>
      </c>
      <c r="K221" s="145">
        <f t="shared" si="26"/>
        <v>1705867</v>
      </c>
    </row>
    <row r="222" spans="1:11" ht="15" x14ac:dyDescent="0.2">
      <c r="A222" s="152">
        <v>34684</v>
      </c>
      <c r="B222" s="199" t="s">
        <v>120</v>
      </c>
      <c r="C222" s="153"/>
      <c r="D222" s="165">
        <v>0</v>
      </c>
      <c r="E222" s="165">
        <v>0</v>
      </c>
      <c r="F222" s="153"/>
      <c r="G222" s="166">
        <f>'Plant &amp; Reserve'!$D222</f>
        <v>0</v>
      </c>
      <c r="H222" s="166">
        <f>'Plant &amp; Reserve'!$E222</f>
        <v>0</v>
      </c>
      <c r="I222" s="153"/>
      <c r="J222" s="166">
        <f t="shared" si="26"/>
        <v>0</v>
      </c>
      <c r="K222" s="166">
        <f t="shared" si="26"/>
        <v>0</v>
      </c>
    </row>
    <row r="223" spans="1:11" x14ac:dyDescent="0.2">
      <c r="A223" s="134"/>
      <c r="B223" s="125" t="s">
        <v>75</v>
      </c>
      <c r="C223" s="153"/>
      <c r="D223" s="173">
        <f>SUM(D218:D222)</f>
        <v>35141673</v>
      </c>
      <c r="E223" s="174">
        <f>SUM(E218:E222)</f>
        <v>5525033</v>
      </c>
      <c r="F223" s="153"/>
      <c r="G223" s="173">
        <f>SUM(G218:G222)</f>
        <v>35575233</v>
      </c>
      <c r="H223" s="173">
        <f>SUM(H218:H222)</f>
        <v>7447362</v>
      </c>
      <c r="I223" s="153"/>
      <c r="J223" s="174">
        <f>SUM(J218:J222)</f>
        <v>433560</v>
      </c>
      <c r="K223" s="174">
        <f>SUM(K218:K222)</f>
        <v>1922329</v>
      </c>
    </row>
    <row r="224" spans="1:11" x14ac:dyDescent="0.2">
      <c r="A224" s="134"/>
      <c r="B224" s="125"/>
      <c r="C224" s="153"/>
      <c r="D224" s="173"/>
      <c r="E224" s="174"/>
      <c r="F224" s="153"/>
      <c r="G224" s="173"/>
      <c r="H224" s="173"/>
      <c r="I224" s="153"/>
      <c r="J224" s="174"/>
      <c r="K224" s="174"/>
    </row>
    <row r="225" spans="1:11" x14ac:dyDescent="0.2">
      <c r="A225" s="152">
        <v>34185</v>
      </c>
      <c r="B225" s="157" t="s">
        <v>121</v>
      </c>
      <c r="C225" s="153"/>
      <c r="D225" s="158">
        <v>5594195</v>
      </c>
      <c r="E225" s="158">
        <v>614687</v>
      </c>
      <c r="F225" s="153"/>
      <c r="G225" s="145">
        <f>'Plant &amp; Reserve'!$D225</f>
        <v>5746580</v>
      </c>
      <c r="H225" s="145">
        <f>'Plant &amp; Reserve'!$E225</f>
        <v>1682958</v>
      </c>
      <c r="I225" s="153"/>
      <c r="J225" s="145">
        <f t="shared" ref="J225:K229" si="27">G225-D225</f>
        <v>152385</v>
      </c>
      <c r="K225" s="145">
        <f t="shared" si="27"/>
        <v>1068271</v>
      </c>
    </row>
    <row r="226" spans="1:11" x14ac:dyDescent="0.2">
      <c r="A226" s="152">
        <v>34285</v>
      </c>
      <c r="B226" s="157" t="s">
        <v>121</v>
      </c>
      <c r="C226" s="153"/>
      <c r="D226" s="158">
        <v>2034174</v>
      </c>
      <c r="E226" s="158">
        <v>310743</v>
      </c>
      <c r="F226" s="153"/>
      <c r="G226" s="145">
        <f>'Plant &amp; Reserve'!$D226</f>
        <v>2200050</v>
      </c>
      <c r="H226" s="145">
        <f>'Plant &amp; Reserve'!$E226</f>
        <v>587735</v>
      </c>
      <c r="I226" s="153"/>
      <c r="J226" s="145">
        <f t="shared" si="27"/>
        <v>165876</v>
      </c>
      <c r="K226" s="145">
        <f t="shared" si="27"/>
        <v>276992</v>
      </c>
    </row>
    <row r="227" spans="1:11" x14ac:dyDescent="0.2">
      <c r="A227" s="152">
        <v>34385</v>
      </c>
      <c r="B227" s="157" t="s">
        <v>121</v>
      </c>
      <c r="C227" s="153"/>
      <c r="D227" s="158">
        <v>20723275</v>
      </c>
      <c r="E227" s="158">
        <v>3598809</v>
      </c>
      <c r="F227" s="153"/>
      <c r="G227" s="145">
        <f>'Plant &amp; Reserve'!$D227</f>
        <v>20099642</v>
      </c>
      <c r="H227" s="145">
        <f>'Plant &amp; Reserve'!$E227</f>
        <v>2070957</v>
      </c>
      <c r="I227" s="153"/>
      <c r="J227" s="145">
        <f t="shared" si="27"/>
        <v>-623633</v>
      </c>
      <c r="K227" s="145">
        <f t="shared" si="27"/>
        <v>-1527852</v>
      </c>
    </row>
    <row r="228" spans="1:11" x14ac:dyDescent="0.2">
      <c r="A228" s="152">
        <v>34585</v>
      </c>
      <c r="B228" s="157" t="s">
        <v>121</v>
      </c>
      <c r="C228" s="153"/>
      <c r="D228" s="158">
        <v>5034919</v>
      </c>
      <c r="E228" s="158">
        <v>869753</v>
      </c>
      <c r="F228" s="153"/>
      <c r="G228" s="145">
        <f>'Plant &amp; Reserve'!$D228</f>
        <v>5465055</v>
      </c>
      <c r="H228" s="145">
        <f>'Plant &amp; Reserve'!$E228</f>
        <v>2574765</v>
      </c>
      <c r="I228" s="153"/>
      <c r="J228" s="145">
        <f t="shared" si="27"/>
        <v>430136</v>
      </c>
      <c r="K228" s="145">
        <f t="shared" si="27"/>
        <v>1705012</v>
      </c>
    </row>
    <row r="229" spans="1:11" ht="15" x14ac:dyDescent="0.2">
      <c r="A229" s="152">
        <v>34685</v>
      </c>
      <c r="B229" s="199" t="s">
        <v>121</v>
      </c>
      <c r="C229" s="153"/>
      <c r="D229" s="165">
        <v>0</v>
      </c>
      <c r="E229" s="165">
        <v>0</v>
      </c>
      <c r="F229" s="153"/>
      <c r="G229" s="166">
        <f>'Plant &amp; Reserve'!$D229</f>
        <v>0</v>
      </c>
      <c r="H229" s="166">
        <f>'Plant &amp; Reserve'!$E229</f>
        <v>0</v>
      </c>
      <c r="I229" s="153"/>
      <c r="J229" s="166">
        <f t="shared" si="27"/>
        <v>0</v>
      </c>
      <c r="K229" s="166">
        <f t="shared" si="27"/>
        <v>0</v>
      </c>
    </row>
    <row r="230" spans="1:11" x14ac:dyDescent="0.2">
      <c r="A230" s="134"/>
      <c r="B230" s="125" t="s">
        <v>75</v>
      </c>
      <c r="C230" s="153"/>
      <c r="D230" s="173">
        <f>SUM(D225:D229)</f>
        <v>33386563</v>
      </c>
      <c r="E230" s="174">
        <f>SUM(E225:E229)</f>
        <v>5393992</v>
      </c>
      <c r="F230" s="153"/>
      <c r="G230" s="173">
        <f>SUM(G225:G229)</f>
        <v>33511327</v>
      </c>
      <c r="H230" s="173">
        <f>SUM(H225:H229)</f>
        <v>6916415</v>
      </c>
      <c r="I230" s="153"/>
      <c r="J230" s="174">
        <f>SUM(J225:J229)</f>
        <v>124764</v>
      </c>
      <c r="K230" s="174">
        <f>SUM(K225:K229)</f>
        <v>1522423</v>
      </c>
    </row>
    <row r="231" spans="1:11" x14ac:dyDescent="0.2">
      <c r="A231" s="200"/>
      <c r="B231" s="129"/>
      <c r="C231" s="153"/>
      <c r="D231" s="158"/>
      <c r="E231" s="158"/>
      <c r="F231" s="153"/>
      <c r="G231" s="145"/>
      <c r="H231" s="145"/>
      <c r="I231" s="153"/>
      <c r="J231" s="145"/>
      <c r="K231" s="145"/>
    </row>
    <row r="232" spans="1:11" x14ac:dyDescent="0.2">
      <c r="A232" s="152">
        <v>34186</v>
      </c>
      <c r="B232" s="157" t="s">
        <v>1119</v>
      </c>
      <c r="C232" s="153"/>
      <c r="D232" s="158">
        <v>0</v>
      </c>
      <c r="E232" s="158">
        <v>0</v>
      </c>
      <c r="F232" s="153"/>
      <c r="G232" s="145">
        <f>'Plant &amp; Reserve'!$D232</f>
        <v>13374554.049999999</v>
      </c>
      <c r="H232" s="145">
        <f>'Plant &amp; Reserve'!$E232</f>
        <v>2447643</v>
      </c>
      <c r="I232" s="153"/>
      <c r="J232" s="145">
        <f t="shared" ref="J232:K236" si="28">G232-D232</f>
        <v>13374554.049999999</v>
      </c>
      <c r="K232" s="145">
        <f t="shared" si="28"/>
        <v>2447643</v>
      </c>
    </row>
    <row r="233" spans="1:11" x14ac:dyDescent="0.2">
      <c r="A233" s="152">
        <v>34286</v>
      </c>
      <c r="B233" s="157" t="s">
        <v>1119</v>
      </c>
      <c r="C233" s="153"/>
      <c r="D233" s="158">
        <v>0</v>
      </c>
      <c r="E233" s="158">
        <v>0</v>
      </c>
      <c r="F233" s="153"/>
      <c r="G233" s="145">
        <f>'Plant &amp; Reserve'!$D233</f>
        <v>213579047.27999994</v>
      </c>
      <c r="H233" s="145">
        <f>'Plant &amp; Reserve'!$E233</f>
        <v>17071579</v>
      </c>
      <c r="I233" s="153"/>
      <c r="J233" s="145">
        <f t="shared" si="28"/>
        <v>213579047.27999994</v>
      </c>
      <c r="K233" s="145">
        <f t="shared" si="28"/>
        <v>17071579</v>
      </c>
    </row>
    <row r="234" spans="1:11" x14ac:dyDescent="0.2">
      <c r="A234" s="152">
        <v>34386</v>
      </c>
      <c r="B234" s="157" t="s">
        <v>1119</v>
      </c>
      <c r="C234" s="153"/>
      <c r="D234" s="158">
        <v>0</v>
      </c>
      <c r="E234" s="158">
        <v>0</v>
      </c>
      <c r="F234" s="153"/>
      <c r="G234" s="145">
        <f>'Plant &amp; Reserve'!$D234</f>
        <v>223541175.92999995</v>
      </c>
      <c r="H234" s="145">
        <f>'Plant &amp; Reserve'!$E234</f>
        <v>17777814</v>
      </c>
      <c r="I234" s="153"/>
      <c r="J234" s="145">
        <f t="shared" si="28"/>
        <v>223541175.92999995</v>
      </c>
      <c r="K234" s="145">
        <f t="shared" si="28"/>
        <v>17777814</v>
      </c>
    </row>
    <row r="235" spans="1:11" x14ac:dyDescent="0.2">
      <c r="A235" s="152">
        <v>34586</v>
      </c>
      <c r="B235" s="157" t="s">
        <v>1119</v>
      </c>
      <c r="C235" s="153"/>
      <c r="D235" s="158">
        <v>0</v>
      </c>
      <c r="E235" s="158">
        <v>0</v>
      </c>
      <c r="F235" s="153"/>
      <c r="G235" s="145">
        <f>'Plant &amp; Reserve'!$D235</f>
        <v>18335993.590000004</v>
      </c>
      <c r="H235" s="145">
        <f>'Plant &amp; Reserve'!$E235</f>
        <v>1862512</v>
      </c>
      <c r="I235" s="153"/>
      <c r="J235" s="145">
        <f t="shared" si="28"/>
        <v>18335993.590000004</v>
      </c>
      <c r="K235" s="145">
        <f t="shared" si="28"/>
        <v>1862512</v>
      </c>
    </row>
    <row r="236" spans="1:11" ht="15" x14ac:dyDescent="0.2">
      <c r="A236" s="152">
        <v>34686</v>
      </c>
      <c r="B236" s="199" t="s">
        <v>1119</v>
      </c>
      <c r="C236" s="153"/>
      <c r="D236" s="165">
        <v>0</v>
      </c>
      <c r="E236" s="165">
        <v>0</v>
      </c>
      <c r="F236" s="153"/>
      <c r="G236" s="166">
        <f>'Plant &amp; Reserve'!$D236</f>
        <v>141626.41</v>
      </c>
      <c r="H236" s="166">
        <f>'Plant &amp; Reserve'!$E236</f>
        <v>9926</v>
      </c>
      <c r="I236" s="153"/>
      <c r="J236" s="166">
        <f t="shared" si="28"/>
        <v>141626.41</v>
      </c>
      <c r="K236" s="166">
        <f t="shared" si="28"/>
        <v>9926</v>
      </c>
    </row>
    <row r="237" spans="1:11" x14ac:dyDescent="0.2">
      <c r="A237" s="134"/>
      <c r="B237" s="125" t="s">
        <v>75</v>
      </c>
      <c r="C237" s="153"/>
      <c r="D237" s="173">
        <f>SUM(D231:D236)</f>
        <v>0</v>
      </c>
      <c r="E237" s="174">
        <f>SUM(E232:E236)</f>
        <v>0</v>
      </c>
      <c r="F237" s="153"/>
      <c r="G237" s="173">
        <f>SUM(G232:G236)</f>
        <v>468972397.25999993</v>
      </c>
      <c r="H237" s="173">
        <f>SUM(H232:H236)</f>
        <v>39169474</v>
      </c>
      <c r="I237" s="153"/>
      <c r="J237" s="174">
        <f>SUM(J232:J236)</f>
        <v>468972397.25999993</v>
      </c>
      <c r="K237" s="174">
        <f>SUM(K232:K236)</f>
        <v>39169474</v>
      </c>
    </row>
    <row r="238" spans="1:11" x14ac:dyDescent="0.2">
      <c r="A238" s="134"/>
      <c r="B238" s="125"/>
      <c r="C238" s="153"/>
      <c r="D238" s="173"/>
      <c r="E238" s="174"/>
      <c r="F238" s="153"/>
      <c r="G238" s="173"/>
      <c r="H238" s="173"/>
      <c r="I238" s="153"/>
      <c r="J238" s="174"/>
      <c r="K238" s="174"/>
    </row>
    <row r="239" spans="1:11" x14ac:dyDescent="0.2">
      <c r="A239" s="152">
        <v>34687</v>
      </c>
      <c r="B239" s="153" t="s">
        <v>65</v>
      </c>
      <c r="C239" s="153"/>
      <c r="D239" s="158">
        <v>968610.48999999964</v>
      </c>
      <c r="E239" s="158">
        <v>464408.75</v>
      </c>
      <c r="F239" s="153"/>
      <c r="G239" s="145">
        <f>'Plant &amp; Reserve'!$D239</f>
        <v>1206560.4700000002</v>
      </c>
      <c r="H239" s="145">
        <f>'Plant &amp; Reserve'!$E239</f>
        <v>697965</v>
      </c>
      <c r="I239" s="153"/>
      <c r="J239" s="145">
        <f>G239-D239</f>
        <v>237949.98000000056</v>
      </c>
      <c r="K239" s="145">
        <f>H239-E239</f>
        <v>233556.25</v>
      </c>
    </row>
    <row r="240" spans="1:11" x14ac:dyDescent="0.2">
      <c r="A240" s="152"/>
      <c r="B240" s="153"/>
      <c r="C240" s="153"/>
      <c r="D240" s="158"/>
      <c r="E240" s="158"/>
      <c r="F240" s="153"/>
      <c r="G240" s="145"/>
      <c r="H240" s="145"/>
      <c r="I240" s="153"/>
      <c r="J240" s="145"/>
      <c r="K240" s="145"/>
    </row>
    <row r="241" spans="1:11" x14ac:dyDescent="0.2">
      <c r="A241" s="152">
        <v>34287</v>
      </c>
      <c r="B241" s="159" t="s">
        <v>867</v>
      </c>
      <c r="C241" s="153"/>
      <c r="D241" s="158">
        <v>0</v>
      </c>
      <c r="E241" s="158">
        <v>0</v>
      </c>
      <c r="F241" s="153"/>
      <c r="G241" s="145">
        <f>'Plant &amp; Reserve'!$D241</f>
        <v>0</v>
      </c>
      <c r="H241" s="145">
        <f>'Plant &amp; Reserve'!$E241</f>
        <v>0</v>
      </c>
      <c r="I241" s="153"/>
      <c r="J241" s="145">
        <f>G241-D241</f>
        <v>0</v>
      </c>
      <c r="K241" s="145">
        <f>H241-E241</f>
        <v>0</v>
      </c>
    </row>
    <row r="242" spans="1:11" ht="13.5" thickBot="1" x14ac:dyDescent="0.25">
      <c r="A242" s="181"/>
      <c r="B242" s="181"/>
      <c r="C242" s="153"/>
      <c r="D242" s="158"/>
      <c r="E242" s="158"/>
      <c r="F242" s="153"/>
      <c r="G242" s="145"/>
      <c r="H242" s="145"/>
      <c r="I242" s="153"/>
      <c r="J242" s="145"/>
      <c r="K242" s="145"/>
    </row>
    <row r="243" spans="1:11" ht="19.5" customHeight="1" thickTop="1" thickBot="1" x14ac:dyDescent="0.25">
      <c r="A243" s="185"/>
      <c r="B243" s="383" t="s">
        <v>74</v>
      </c>
      <c r="C243" s="153"/>
      <c r="D243" s="196">
        <f>SUM(D195,D202,D209,D216,D223,D230,D237,D239,D241)</f>
        <v>724422312.49000001</v>
      </c>
      <c r="E243" s="196">
        <f>SUM(E195,E202,E209,E216,E223,E230,E237,E239,E241)</f>
        <v>276396937.75</v>
      </c>
      <c r="F243" s="153"/>
      <c r="G243" s="196">
        <f>SUM(G195,G202,G209,G216,G223,G230,G237,G239,G241)</f>
        <v>1368350419.73</v>
      </c>
      <c r="H243" s="196">
        <f>SUM(H195,H202,H209,H216,H223,H230,H237,H239,H241)</f>
        <v>385148258</v>
      </c>
      <c r="I243" s="153"/>
      <c r="J243" s="196">
        <f>SUM(J195,J202,J209,J216,J223,J230,J237,J239,J241)</f>
        <v>643928107.24000001</v>
      </c>
      <c r="K243" s="196">
        <f>SUM(K195,K202,K209,K216,K223,K230,K237,K239,K241)</f>
        <v>108751320.25</v>
      </c>
    </row>
    <row r="244" spans="1:11" ht="13.5" thickTop="1" x14ac:dyDescent="0.2">
      <c r="A244" s="200"/>
      <c r="B244" s="129"/>
      <c r="C244" s="153"/>
      <c r="D244" s="158"/>
      <c r="E244" s="158"/>
      <c r="F244" s="153"/>
      <c r="G244" s="158"/>
      <c r="H244" s="158"/>
      <c r="I244" s="153"/>
      <c r="J244" s="158"/>
      <c r="K244" s="158"/>
    </row>
    <row r="245" spans="1:11" x14ac:dyDescent="0.2">
      <c r="A245" s="200"/>
      <c r="B245" s="202" t="s">
        <v>861</v>
      </c>
      <c r="C245" s="153"/>
      <c r="D245" s="158"/>
      <c r="E245" s="158"/>
      <c r="F245" s="153"/>
      <c r="G245" s="158"/>
      <c r="H245" s="158"/>
      <c r="I245" s="153"/>
      <c r="J245" s="158"/>
      <c r="K245" s="158"/>
    </row>
    <row r="246" spans="1:11" x14ac:dyDescent="0.2">
      <c r="A246" s="200"/>
      <c r="B246" s="129"/>
      <c r="C246" s="153"/>
      <c r="D246" s="158"/>
      <c r="E246" s="158"/>
      <c r="F246" s="153"/>
      <c r="G246" s="158"/>
      <c r="H246" s="158"/>
      <c r="I246" s="153"/>
      <c r="J246" s="158"/>
      <c r="K246" s="158"/>
    </row>
    <row r="247" spans="1:11" x14ac:dyDescent="0.2">
      <c r="A247" s="152">
        <v>34199</v>
      </c>
      <c r="B247" s="159" t="s">
        <v>851</v>
      </c>
      <c r="C247" s="153"/>
      <c r="D247" s="158">
        <v>0</v>
      </c>
      <c r="E247" s="158">
        <v>0</v>
      </c>
      <c r="F247" s="153"/>
      <c r="G247" s="145">
        <f>'Plant &amp; Reserve'!$D247</f>
        <v>176075355.94000003</v>
      </c>
      <c r="H247" s="145">
        <f>'Plant &amp; Reserve'!$E247</f>
        <v>5959130</v>
      </c>
      <c r="I247" s="153"/>
      <c r="J247" s="145">
        <f t="shared" ref="J247:K252" si="29">G247-D247</f>
        <v>176075355.94000003</v>
      </c>
      <c r="K247" s="145">
        <f t="shared" si="29"/>
        <v>5959130</v>
      </c>
    </row>
    <row r="248" spans="1:11" x14ac:dyDescent="0.2">
      <c r="A248" s="152">
        <v>34299</v>
      </c>
      <c r="B248" s="159" t="s">
        <v>851</v>
      </c>
      <c r="C248" s="153"/>
      <c r="D248" s="158">
        <v>0</v>
      </c>
      <c r="E248" s="158">
        <v>0</v>
      </c>
      <c r="F248" s="153"/>
      <c r="G248" s="145">
        <f>'Plant &amp; Reserve'!$D248</f>
        <v>0</v>
      </c>
      <c r="H248" s="145">
        <f>'Plant &amp; Reserve'!$E248</f>
        <v>0</v>
      </c>
      <c r="I248" s="153"/>
      <c r="J248" s="145">
        <f t="shared" si="29"/>
        <v>0</v>
      </c>
      <c r="K248" s="145">
        <f t="shared" si="29"/>
        <v>0</v>
      </c>
    </row>
    <row r="249" spans="1:11" x14ac:dyDescent="0.2">
      <c r="A249" s="152">
        <v>34399</v>
      </c>
      <c r="B249" s="159" t="s">
        <v>851</v>
      </c>
      <c r="C249" s="153"/>
      <c r="D249" s="158">
        <v>0</v>
      </c>
      <c r="E249" s="158">
        <v>0</v>
      </c>
      <c r="F249" s="153"/>
      <c r="G249" s="145">
        <f>'Plant &amp; Reserve'!$D249</f>
        <v>272856761.74000001</v>
      </c>
      <c r="H249" s="145">
        <f>'Plant &amp; Reserve'!$E249</f>
        <v>11221756</v>
      </c>
      <c r="I249" s="153"/>
      <c r="J249" s="145">
        <f t="shared" si="29"/>
        <v>272856761.74000001</v>
      </c>
      <c r="K249" s="145">
        <f t="shared" si="29"/>
        <v>11221756</v>
      </c>
    </row>
    <row r="250" spans="1:11" x14ac:dyDescent="0.2">
      <c r="A250" s="152">
        <v>34599</v>
      </c>
      <c r="B250" s="159" t="s">
        <v>851</v>
      </c>
      <c r="C250" s="153"/>
      <c r="D250" s="158">
        <v>0</v>
      </c>
      <c r="E250" s="158">
        <v>0</v>
      </c>
      <c r="F250" s="153"/>
      <c r="G250" s="145">
        <f>'Plant &amp; Reserve'!$D250</f>
        <v>96257197.900000006</v>
      </c>
      <c r="H250" s="145">
        <f>'Plant &amp; Reserve'!$E250</f>
        <v>3766750</v>
      </c>
      <c r="I250" s="153"/>
      <c r="J250" s="145">
        <f t="shared" si="29"/>
        <v>96257197.900000006</v>
      </c>
      <c r="K250" s="145">
        <f t="shared" si="29"/>
        <v>3766750</v>
      </c>
    </row>
    <row r="251" spans="1:11" x14ac:dyDescent="0.2">
      <c r="A251" s="152">
        <v>34699</v>
      </c>
      <c r="B251" s="159" t="s">
        <v>851</v>
      </c>
      <c r="C251" s="153"/>
      <c r="D251" s="158">
        <v>0</v>
      </c>
      <c r="E251" s="158">
        <v>0</v>
      </c>
      <c r="F251" s="153"/>
      <c r="G251" s="145">
        <f>'Plant &amp; Reserve'!$D251</f>
        <v>0</v>
      </c>
      <c r="H251" s="145">
        <f>'Plant &amp; Reserve'!$E251</f>
        <v>0</v>
      </c>
      <c r="I251" s="153"/>
      <c r="J251" s="145">
        <f t="shared" si="29"/>
        <v>0</v>
      </c>
      <c r="K251" s="145">
        <f t="shared" si="29"/>
        <v>0</v>
      </c>
    </row>
    <row r="252" spans="1:11" ht="15" x14ac:dyDescent="0.2">
      <c r="A252" s="152">
        <v>34899</v>
      </c>
      <c r="B252" s="167" t="s">
        <v>851</v>
      </c>
      <c r="C252" s="153"/>
      <c r="D252" s="165">
        <v>0</v>
      </c>
      <c r="E252" s="165">
        <v>0</v>
      </c>
      <c r="F252" s="153"/>
      <c r="G252" s="166">
        <f>'Plant &amp; Reserve'!$D252</f>
        <v>0</v>
      </c>
      <c r="H252" s="166">
        <f>'Plant &amp; Reserve'!$E252</f>
        <v>0</v>
      </c>
      <c r="I252" s="153"/>
      <c r="J252" s="166">
        <f t="shared" si="29"/>
        <v>0</v>
      </c>
      <c r="K252" s="166">
        <f t="shared" si="29"/>
        <v>0</v>
      </c>
    </row>
    <row r="253" spans="1:11" x14ac:dyDescent="0.2">
      <c r="A253" s="152"/>
      <c r="B253" s="125" t="s">
        <v>75</v>
      </c>
      <c r="C253" s="153"/>
      <c r="D253" s="173">
        <f>SUM(D247:D252)</f>
        <v>0</v>
      </c>
      <c r="E253" s="173">
        <f>SUM(E247:E252)</f>
        <v>0</v>
      </c>
      <c r="F253" s="153"/>
      <c r="G253" s="173">
        <f>SUM(G247:G252)</f>
        <v>545189315.58000004</v>
      </c>
      <c r="H253" s="173">
        <f>SUM(H247:H252)</f>
        <v>20947636</v>
      </c>
      <c r="I253" s="153"/>
      <c r="J253" s="173">
        <f>SUM(J247:J252)</f>
        <v>545189315.58000004</v>
      </c>
      <c r="K253" s="173">
        <f>SUM(K247:K252)</f>
        <v>20947636</v>
      </c>
    </row>
    <row r="254" spans="1:11" ht="13.5" thickBot="1" x14ac:dyDescent="0.25">
      <c r="A254" s="181"/>
      <c r="B254" s="181"/>
      <c r="C254" s="153"/>
      <c r="D254" s="158"/>
      <c r="E254" s="158"/>
      <c r="F254" s="153"/>
      <c r="G254" s="145"/>
      <c r="H254" s="145"/>
      <c r="I254" s="153"/>
      <c r="J254" s="145"/>
      <c r="K254" s="145"/>
    </row>
    <row r="255" spans="1:11" ht="19.5" customHeight="1" thickTop="1" thickBot="1" x14ac:dyDescent="0.25">
      <c r="A255" s="185"/>
      <c r="B255" s="384" t="s">
        <v>862</v>
      </c>
      <c r="C255" s="153"/>
      <c r="D255" s="196">
        <f>D253</f>
        <v>0</v>
      </c>
      <c r="E255" s="196">
        <f>E253</f>
        <v>0</v>
      </c>
      <c r="F255" s="153"/>
      <c r="G255" s="196">
        <f>G253</f>
        <v>545189315.58000004</v>
      </c>
      <c r="H255" s="196">
        <f>H253</f>
        <v>20947636</v>
      </c>
      <c r="I255" s="153"/>
      <c r="J255" s="196">
        <f>J253</f>
        <v>545189315.58000004</v>
      </c>
      <c r="K255" s="196">
        <f>K253</f>
        <v>20947636</v>
      </c>
    </row>
    <row r="256" spans="1:11" ht="13.5" thickTop="1" x14ac:dyDescent="0.2">
      <c r="A256" s="200"/>
      <c r="B256" s="385"/>
      <c r="C256" s="153"/>
      <c r="D256" s="158"/>
      <c r="E256" s="158"/>
      <c r="F256" s="153"/>
      <c r="G256" s="158"/>
      <c r="H256" s="158"/>
      <c r="I256" s="153"/>
      <c r="J256" s="158"/>
      <c r="K256" s="158"/>
    </row>
    <row r="257" spans="1:11" ht="13.5" thickBot="1" x14ac:dyDescent="0.25">
      <c r="A257" s="203"/>
      <c r="B257" s="386"/>
      <c r="C257" s="153"/>
      <c r="D257" s="204"/>
      <c r="E257" s="204"/>
      <c r="F257" s="153"/>
      <c r="G257" s="204"/>
      <c r="H257" s="204"/>
      <c r="I257" s="153"/>
      <c r="J257" s="204"/>
      <c r="K257" s="204"/>
    </row>
    <row r="258" spans="1:11" ht="19.5" customHeight="1" thickTop="1" thickBot="1" x14ac:dyDescent="0.25">
      <c r="A258" s="207"/>
      <c r="B258" s="191" t="s">
        <v>66</v>
      </c>
      <c r="C258" s="130"/>
      <c r="D258" s="192">
        <f>SUM(D131,D186,D243,D255)</f>
        <v>1791963749.49</v>
      </c>
      <c r="E258" s="192">
        <f>SUM(E131,E186,E243,E255)</f>
        <v>506449815.94999999</v>
      </c>
      <c r="F258" s="130"/>
      <c r="G258" s="192">
        <f>SUM(G131,G186,G243,G255)</f>
        <v>3064959319.3000002</v>
      </c>
      <c r="H258" s="192">
        <f>SUM(H131,H186,H243,H255)</f>
        <v>768082838</v>
      </c>
      <c r="I258" s="130"/>
      <c r="J258" s="192">
        <f>SUM(J131,J186,J243,J255)</f>
        <v>1272995569.8099999</v>
      </c>
      <c r="K258" s="192">
        <f>SUM(K131,K186,K243,K255)</f>
        <v>261633022.05000001</v>
      </c>
    </row>
    <row r="259" spans="1:11" ht="13.5" thickTop="1" x14ac:dyDescent="0.2">
      <c r="A259" s="208"/>
      <c r="B259" s="387"/>
      <c r="C259" s="130"/>
      <c r="D259" s="145"/>
      <c r="E259" s="145"/>
      <c r="F259" s="130"/>
      <c r="G259" s="145"/>
      <c r="H259" s="145"/>
      <c r="I259" s="130"/>
      <c r="J259" s="145"/>
      <c r="K259" s="145"/>
    </row>
    <row r="260" spans="1:11" x14ac:dyDescent="0.2">
      <c r="A260" s="208"/>
      <c r="B260" s="469" t="s">
        <v>1122</v>
      </c>
      <c r="C260" s="130"/>
      <c r="D260" s="145"/>
      <c r="E260" s="145"/>
      <c r="F260" s="130"/>
      <c r="G260" s="145"/>
      <c r="H260" s="145"/>
      <c r="I260" s="130"/>
      <c r="J260" s="145"/>
      <c r="K260" s="145"/>
    </row>
    <row r="261" spans="1:11" x14ac:dyDescent="0.2">
      <c r="A261" s="208"/>
      <c r="B261" s="387"/>
      <c r="C261" s="130"/>
      <c r="D261" s="145"/>
      <c r="E261" s="145"/>
      <c r="F261" s="130"/>
      <c r="G261" s="145"/>
      <c r="H261" s="145"/>
      <c r="I261" s="130"/>
      <c r="J261" s="145"/>
      <c r="K261" s="145"/>
    </row>
    <row r="262" spans="1:11" x14ac:dyDescent="0.2">
      <c r="A262" s="152">
        <v>31700</v>
      </c>
      <c r="B262" s="470" t="s">
        <v>1123</v>
      </c>
      <c r="C262" s="130"/>
      <c r="D262" s="158">
        <v>0</v>
      </c>
      <c r="E262" s="158">
        <v>0</v>
      </c>
      <c r="F262" s="130"/>
      <c r="G262" s="145">
        <f>'Plant &amp; Reserve'!$D262</f>
        <v>30036948.829999991</v>
      </c>
      <c r="H262" s="145">
        <f>'Plant &amp; Reserve'!$E262</f>
        <v>15437208</v>
      </c>
      <c r="I262" s="130"/>
      <c r="J262" s="145">
        <f>G262-D262</f>
        <v>30036948.829999991</v>
      </c>
      <c r="K262" s="145">
        <f>H262-E262</f>
        <v>15437208</v>
      </c>
    </row>
    <row r="263" spans="1:11" ht="15" x14ac:dyDescent="0.2">
      <c r="A263" s="152">
        <v>34700</v>
      </c>
      <c r="B263" s="471" t="s">
        <v>1123</v>
      </c>
      <c r="C263" s="130"/>
      <c r="D263" s="165">
        <v>0</v>
      </c>
      <c r="E263" s="165">
        <v>0</v>
      </c>
      <c r="F263" s="130"/>
      <c r="G263" s="172">
        <f>'Plant &amp; Reserve'!$D263</f>
        <v>1885797.7400000002</v>
      </c>
      <c r="H263" s="172">
        <f>'Plant &amp; Reserve'!$E263</f>
        <v>301198</v>
      </c>
      <c r="I263" s="130"/>
      <c r="J263" s="166">
        <f>G263-D263</f>
        <v>1885797.7400000002</v>
      </c>
      <c r="K263" s="166">
        <f>H263-E263</f>
        <v>301198</v>
      </c>
    </row>
    <row r="264" spans="1:11" x14ac:dyDescent="0.2">
      <c r="A264" s="208"/>
      <c r="B264" s="125" t="s">
        <v>75</v>
      </c>
      <c r="C264" s="130"/>
      <c r="D264" s="173">
        <f>SUM(D262:D263)</f>
        <v>0</v>
      </c>
      <c r="E264" s="173">
        <f>SUM(E262:E263)</f>
        <v>0</v>
      </c>
      <c r="F264" s="130"/>
      <c r="G264" s="173">
        <f>SUM(G262:G263)</f>
        <v>31922746.569999993</v>
      </c>
      <c r="H264" s="173">
        <f>SUM(H262:H263)</f>
        <v>15738406</v>
      </c>
      <c r="I264" s="130"/>
      <c r="J264" s="173">
        <f>SUM(J262:J263)</f>
        <v>31922746.569999993</v>
      </c>
      <c r="K264" s="173">
        <f>SUM(K262:K263)</f>
        <v>15738406</v>
      </c>
    </row>
    <row r="265" spans="1:11" ht="13.5" thickBot="1" x14ac:dyDescent="0.25">
      <c r="A265" s="181"/>
      <c r="B265" s="181"/>
      <c r="C265" s="130"/>
      <c r="D265" s="145"/>
      <c r="E265" s="145"/>
      <c r="F265" s="130"/>
      <c r="G265" s="145"/>
      <c r="H265" s="145"/>
      <c r="I265" s="130"/>
      <c r="J265" s="145"/>
      <c r="K265" s="145"/>
    </row>
    <row r="266" spans="1:11" ht="19.5" customHeight="1" thickTop="1" thickBot="1" x14ac:dyDescent="0.25">
      <c r="A266" s="185"/>
      <c r="B266" s="384" t="s">
        <v>1124</v>
      </c>
      <c r="C266" s="153"/>
      <c r="D266" s="196">
        <f>D264</f>
        <v>0</v>
      </c>
      <c r="E266" s="196">
        <f>E264</f>
        <v>0</v>
      </c>
      <c r="F266" s="153"/>
      <c r="G266" s="196">
        <f>G264</f>
        <v>31922746.569999993</v>
      </c>
      <c r="H266" s="196">
        <f>H264</f>
        <v>15738406</v>
      </c>
      <c r="I266" s="153"/>
      <c r="J266" s="196">
        <f>J264</f>
        <v>31922746.569999993</v>
      </c>
      <c r="K266" s="196">
        <f>K264</f>
        <v>15738406</v>
      </c>
    </row>
    <row r="267" spans="1:11" ht="13.5" thickTop="1" x14ac:dyDescent="0.2">
      <c r="A267" s="208"/>
      <c r="B267" s="387"/>
      <c r="C267" s="130"/>
      <c r="D267" s="145"/>
      <c r="E267" s="145"/>
      <c r="F267" s="130"/>
      <c r="G267" s="145"/>
      <c r="H267" s="145"/>
      <c r="I267" s="130"/>
      <c r="J267" s="145"/>
      <c r="K267" s="145"/>
    </row>
    <row r="268" spans="1:11" x14ac:dyDescent="0.2">
      <c r="A268" s="477"/>
      <c r="B268" s="478" t="s">
        <v>1144</v>
      </c>
      <c r="C268" s="130"/>
      <c r="D268" s="145"/>
      <c r="E268" s="145"/>
      <c r="F268" s="130"/>
      <c r="G268" s="145"/>
      <c r="H268" s="145"/>
      <c r="I268" s="130"/>
      <c r="J268" s="145"/>
      <c r="K268" s="145"/>
    </row>
    <row r="269" spans="1:11" x14ac:dyDescent="0.2">
      <c r="A269" s="477"/>
      <c r="B269" s="479"/>
      <c r="C269" s="130"/>
      <c r="D269" s="145"/>
      <c r="E269" s="145"/>
      <c r="F269" s="130"/>
      <c r="G269" s="145"/>
      <c r="H269" s="145"/>
      <c r="I269" s="130"/>
      <c r="J269" s="145"/>
      <c r="K269" s="145"/>
    </row>
    <row r="270" spans="1:11" x14ac:dyDescent="0.2">
      <c r="A270" s="480">
        <v>34128</v>
      </c>
      <c r="B270" s="481" t="s">
        <v>1145</v>
      </c>
      <c r="C270" s="130"/>
      <c r="D270" s="483">
        <v>9481580</v>
      </c>
      <c r="E270" s="483">
        <v>9481580</v>
      </c>
      <c r="F270" s="130"/>
      <c r="G270" s="483">
        <v>0</v>
      </c>
      <c r="H270" s="483">
        <v>0</v>
      </c>
      <c r="I270" s="130"/>
      <c r="J270" s="145">
        <f t="shared" ref="J270:K274" si="30">G270-D270</f>
        <v>-9481580</v>
      </c>
      <c r="K270" s="145">
        <f t="shared" si="30"/>
        <v>-9481580</v>
      </c>
    </row>
    <row r="271" spans="1:11" x14ac:dyDescent="0.2">
      <c r="A271" s="480">
        <v>34228</v>
      </c>
      <c r="B271" s="481" t="s">
        <v>1145</v>
      </c>
      <c r="C271" s="130"/>
      <c r="D271" s="483">
        <v>23435863</v>
      </c>
      <c r="E271" s="483">
        <v>23435863</v>
      </c>
      <c r="F271" s="130"/>
      <c r="G271" s="483">
        <v>0</v>
      </c>
      <c r="H271" s="483">
        <v>0</v>
      </c>
      <c r="I271" s="130"/>
      <c r="J271" s="145">
        <f t="shared" si="30"/>
        <v>-23435863</v>
      </c>
      <c r="K271" s="145">
        <f t="shared" si="30"/>
        <v>-23435863</v>
      </c>
    </row>
    <row r="272" spans="1:11" x14ac:dyDescent="0.2">
      <c r="A272" s="480">
        <v>34328</v>
      </c>
      <c r="B272" s="481" t="s">
        <v>1145</v>
      </c>
      <c r="C272" s="130"/>
      <c r="D272" s="483">
        <v>20870850</v>
      </c>
      <c r="E272" s="483">
        <v>20870850</v>
      </c>
      <c r="F272" s="130"/>
      <c r="G272" s="483">
        <v>0</v>
      </c>
      <c r="H272" s="483">
        <v>0</v>
      </c>
      <c r="I272" s="130"/>
      <c r="J272" s="145">
        <f t="shared" si="30"/>
        <v>-20870850</v>
      </c>
      <c r="K272" s="145">
        <f t="shared" si="30"/>
        <v>-20870850</v>
      </c>
    </row>
    <row r="273" spans="1:11" x14ac:dyDescent="0.2">
      <c r="A273" s="480">
        <v>34528</v>
      </c>
      <c r="B273" s="481" t="s">
        <v>1145</v>
      </c>
      <c r="C273" s="130"/>
      <c r="D273" s="483">
        <v>5887394</v>
      </c>
      <c r="E273" s="483">
        <v>5887394</v>
      </c>
      <c r="F273" s="130"/>
      <c r="G273" s="483">
        <v>0</v>
      </c>
      <c r="H273" s="483">
        <v>0</v>
      </c>
      <c r="I273" s="130"/>
      <c r="J273" s="145">
        <f t="shared" si="30"/>
        <v>-5887394</v>
      </c>
      <c r="K273" s="145">
        <f t="shared" si="30"/>
        <v>-5887394</v>
      </c>
    </row>
    <row r="274" spans="1:11" ht="15" x14ac:dyDescent="0.2">
      <c r="A274" s="480">
        <v>34628</v>
      </c>
      <c r="B274" s="482" t="s">
        <v>1145</v>
      </c>
      <c r="C274" s="130"/>
      <c r="D274" s="484">
        <v>653047</v>
      </c>
      <c r="E274" s="484">
        <v>653047</v>
      </c>
      <c r="F274" s="130"/>
      <c r="G274" s="484">
        <v>0</v>
      </c>
      <c r="H274" s="484">
        <v>0</v>
      </c>
      <c r="I274" s="130"/>
      <c r="J274" s="166">
        <f t="shared" si="30"/>
        <v>-653047</v>
      </c>
      <c r="K274" s="166">
        <f t="shared" si="30"/>
        <v>-653047</v>
      </c>
    </row>
    <row r="275" spans="1:11" x14ac:dyDescent="0.2">
      <c r="A275" s="208"/>
      <c r="B275" s="125" t="s">
        <v>75</v>
      </c>
      <c r="C275" s="130"/>
      <c r="D275" s="173">
        <f t="shared" ref="D275:E275" si="31">SUM(D270:D274)</f>
        <v>60328734</v>
      </c>
      <c r="E275" s="173">
        <f t="shared" si="31"/>
        <v>60328734</v>
      </c>
      <c r="F275" s="130"/>
      <c r="G275" s="173">
        <f>SUM(G270:G274)</f>
        <v>0</v>
      </c>
      <c r="H275" s="173">
        <f>SUM(H270:H274)</f>
        <v>0</v>
      </c>
      <c r="I275" s="130"/>
      <c r="J275" s="174">
        <f>SUM(J270:J274)</f>
        <v>-60328734</v>
      </c>
      <c r="K275" s="174">
        <f>SUM(K270:K274)</f>
        <v>-60328734</v>
      </c>
    </row>
    <row r="276" spans="1:11" x14ac:dyDescent="0.2">
      <c r="A276" s="208"/>
      <c r="B276" s="387"/>
      <c r="C276" s="130"/>
      <c r="D276" s="145"/>
      <c r="E276" s="145"/>
      <c r="F276" s="130"/>
      <c r="G276" s="173"/>
      <c r="H276" s="173"/>
      <c r="I276" s="130"/>
      <c r="J276" s="174"/>
      <c r="K276" s="174"/>
    </row>
    <row r="277" spans="1:11" x14ac:dyDescent="0.2">
      <c r="A277" s="480">
        <v>34390</v>
      </c>
      <c r="B277" s="481" t="s">
        <v>1146</v>
      </c>
      <c r="C277" s="130"/>
      <c r="D277" s="483">
        <v>6498548</v>
      </c>
      <c r="E277" s="483">
        <v>3213208</v>
      </c>
      <c r="F277" s="130"/>
      <c r="G277" s="483">
        <v>0</v>
      </c>
      <c r="H277" s="483">
        <v>0</v>
      </c>
      <c r="I277" s="130"/>
      <c r="J277" s="145">
        <f>G277-D277</f>
        <v>-6498548</v>
      </c>
      <c r="K277" s="145">
        <f>H277-E277</f>
        <v>-3213208</v>
      </c>
    </row>
    <row r="278" spans="1:11" x14ac:dyDescent="0.2">
      <c r="A278" s="208"/>
      <c r="B278" s="387"/>
      <c r="C278" s="130"/>
      <c r="D278" s="145"/>
      <c r="E278" s="145"/>
      <c r="F278" s="130"/>
      <c r="G278" s="145"/>
      <c r="H278" s="145"/>
      <c r="I278" s="130"/>
      <c r="J278" s="145"/>
      <c r="K278" s="145"/>
    </row>
    <row r="279" spans="1:11" ht="13.5" thickBot="1" x14ac:dyDescent="0.25">
      <c r="A279" s="203"/>
      <c r="B279" s="386"/>
      <c r="C279" s="153"/>
      <c r="D279" s="204"/>
      <c r="E279" s="204"/>
      <c r="F279" s="153"/>
      <c r="G279" s="204"/>
      <c r="H279" s="204"/>
      <c r="I279" s="153"/>
      <c r="J279" s="204"/>
      <c r="K279" s="204"/>
    </row>
    <row r="280" spans="1:11" ht="19.5" customHeight="1" thickTop="1" thickBot="1" x14ac:dyDescent="0.25">
      <c r="A280" s="207"/>
      <c r="B280" s="191" t="s">
        <v>67</v>
      </c>
      <c r="C280" s="130"/>
      <c r="D280" s="192">
        <f>SUM(D97,D258,D266,D275,D277)</f>
        <v>3774068763.6400003</v>
      </c>
      <c r="E280" s="192">
        <f>SUM(E97,E258,E266,E275,E277)</f>
        <v>1181778035.1099999</v>
      </c>
      <c r="F280" s="130"/>
      <c r="G280" s="192">
        <f t="shared" ref="G280:H280" si="32">SUM(G97,G258,G266,G275,G277)</f>
        <v>5277215397.7999992</v>
      </c>
      <c r="H280" s="192">
        <f t="shared" si="32"/>
        <v>1582087285</v>
      </c>
      <c r="I280" s="130"/>
      <c r="J280" s="192">
        <f t="shared" ref="J280:K280" si="33">SUM(J97,J258,J266,J275,J277)</f>
        <v>1503146634.1599998</v>
      </c>
      <c r="K280" s="192">
        <f t="shared" si="33"/>
        <v>400309249.88999999</v>
      </c>
    </row>
    <row r="281" spans="1:11" ht="13.5" thickTop="1" x14ac:dyDescent="0.2">
      <c r="A281" s="127"/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</row>
    <row r="282" spans="1:11" x14ac:dyDescent="0.2">
      <c r="A282" s="134"/>
      <c r="B282" s="361" t="s">
        <v>1125</v>
      </c>
      <c r="C282" s="211"/>
      <c r="D282" s="163">
        <v>3774068764.25</v>
      </c>
      <c r="E282" s="163">
        <v>1181778034.8099999</v>
      </c>
      <c r="F282" s="211"/>
      <c r="G282" s="147">
        <f>'Plant &amp; Reserve'!$D271</f>
        <v>5277215390.9399996</v>
      </c>
      <c r="H282" s="147">
        <f>'Plant &amp; Reserve'!$S271</f>
        <v>1582087288.8</v>
      </c>
      <c r="I282" s="211"/>
      <c r="J282" s="145">
        <f>G282-D282</f>
        <v>1503146626.6899996</v>
      </c>
      <c r="K282" s="145">
        <f>H282-E282</f>
        <v>400309253.99000001</v>
      </c>
    </row>
    <row r="283" spans="1:11" x14ac:dyDescent="0.2">
      <c r="A283" s="212"/>
      <c r="B283" s="210" t="s">
        <v>69</v>
      </c>
      <c r="C283" s="145"/>
      <c r="D283" s="147">
        <f>D282-D280</f>
        <v>0.60999965667724609</v>
      </c>
      <c r="E283" s="147">
        <f>E282-E280</f>
        <v>-0.29999995231628418</v>
      </c>
      <c r="F283" s="145"/>
      <c r="G283" s="147">
        <f>G282-G280</f>
        <v>-6.8599996566772461</v>
      </c>
      <c r="H283" s="147">
        <f>H282-H280</f>
        <v>3.7999999523162842</v>
      </c>
      <c r="I283" s="145"/>
      <c r="J283" s="147">
        <f>J282-J280</f>
        <v>-7.4700002670288086</v>
      </c>
      <c r="K283" s="147">
        <f>K282-K280</f>
        <v>4.1000000238418579</v>
      </c>
    </row>
    <row r="284" spans="1:11" x14ac:dyDescent="0.2">
      <c r="A284" s="127"/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</row>
    <row r="285" spans="1:11" x14ac:dyDescent="0.2">
      <c r="A285" s="222"/>
      <c r="B285" s="223"/>
      <c r="C285" s="223"/>
      <c r="D285" s="486" t="s">
        <v>1148</v>
      </c>
      <c r="E285" s="485"/>
      <c r="F285" s="223"/>
      <c r="G285" s="223"/>
      <c r="H285" s="223"/>
      <c r="I285" s="223"/>
      <c r="J285" s="223"/>
      <c r="K285" s="223"/>
    </row>
    <row r="286" spans="1:11" x14ac:dyDescent="0.2">
      <c r="A286" s="222"/>
      <c r="B286" s="223"/>
      <c r="C286" s="223"/>
      <c r="D286" s="223"/>
      <c r="E286" s="223"/>
      <c r="F286" s="223"/>
      <c r="G286" s="223"/>
      <c r="H286" s="223"/>
      <c r="I286" s="223"/>
      <c r="J286" s="223"/>
      <c r="K286" s="223"/>
    </row>
    <row r="287" spans="1:11" x14ac:dyDescent="0.2">
      <c r="A287" s="222"/>
      <c r="B287" s="223"/>
      <c r="C287" s="223"/>
      <c r="D287" s="223"/>
      <c r="E287" s="223"/>
      <c r="F287" s="223"/>
      <c r="G287" s="223"/>
      <c r="H287" s="223"/>
      <c r="I287" s="223"/>
      <c r="J287" s="223"/>
      <c r="K287" s="223"/>
    </row>
    <row r="288" spans="1:11" x14ac:dyDescent="0.2">
      <c r="A288" s="222"/>
      <c r="B288" s="223"/>
      <c r="C288" s="223"/>
      <c r="D288" s="223"/>
      <c r="E288" s="223"/>
      <c r="F288" s="223"/>
      <c r="G288" s="223"/>
      <c r="H288" s="223"/>
      <c r="I288" s="223"/>
      <c r="J288" s="223"/>
      <c r="K288" s="223"/>
    </row>
    <row r="289" spans="1:11" x14ac:dyDescent="0.2">
      <c r="A289" s="222"/>
      <c r="B289" s="223"/>
      <c r="C289" s="223"/>
      <c r="D289" s="223"/>
      <c r="E289" s="223"/>
      <c r="F289" s="223"/>
      <c r="G289" s="223"/>
      <c r="H289" s="223"/>
      <c r="I289" s="223"/>
      <c r="J289" s="223"/>
      <c r="K289" s="223"/>
    </row>
    <row r="290" spans="1:11" x14ac:dyDescent="0.2">
      <c r="A290" s="222"/>
      <c r="B290" s="223"/>
      <c r="C290" s="223"/>
      <c r="D290" s="223"/>
      <c r="E290" s="223"/>
      <c r="F290" s="223"/>
      <c r="G290" s="223"/>
      <c r="H290" s="223"/>
      <c r="I290" s="223"/>
      <c r="J290" s="223"/>
      <c r="K290" s="223"/>
    </row>
    <row r="291" spans="1:11" x14ac:dyDescent="0.2">
      <c r="A291" s="222"/>
      <c r="B291" s="223"/>
      <c r="C291" s="223"/>
      <c r="D291" s="223"/>
      <c r="E291" s="223"/>
      <c r="F291" s="223"/>
      <c r="G291" s="223"/>
      <c r="H291" s="223"/>
      <c r="I291" s="223"/>
      <c r="J291" s="223"/>
      <c r="K291" s="223"/>
    </row>
    <row r="297" spans="1:11" x14ac:dyDescent="0.2">
      <c r="A297" s="63"/>
    </row>
    <row r="298" spans="1:11" x14ac:dyDescent="0.2">
      <c r="A298" s="63"/>
    </row>
    <row r="299" spans="1:11" x14ac:dyDescent="0.2">
      <c r="A299" s="63"/>
    </row>
    <row r="300" spans="1:11" x14ac:dyDescent="0.2">
      <c r="A300" s="63"/>
    </row>
    <row r="301" spans="1:11" x14ac:dyDescent="0.2">
      <c r="A301" s="63"/>
    </row>
    <row r="302" spans="1:11" x14ac:dyDescent="0.2">
      <c r="A302" s="63"/>
    </row>
    <row r="303" spans="1:11" x14ac:dyDescent="0.2">
      <c r="A303" s="63"/>
    </row>
    <row r="304" spans="1:11" x14ac:dyDescent="0.2">
      <c r="A304" s="63"/>
    </row>
    <row r="305" spans="1:1" x14ac:dyDescent="0.2">
      <c r="A305" s="63"/>
    </row>
    <row r="306" spans="1:1" x14ac:dyDescent="0.2">
      <c r="A306" s="63"/>
    </row>
    <row r="307" spans="1:1" x14ac:dyDescent="0.2">
      <c r="A307" s="63"/>
    </row>
    <row r="308" spans="1:1" x14ac:dyDescent="0.2">
      <c r="A308" s="63"/>
    </row>
    <row r="309" spans="1:1" x14ac:dyDescent="0.2">
      <c r="A309" s="63"/>
    </row>
    <row r="310" spans="1:1" x14ac:dyDescent="0.2">
      <c r="A310" s="63"/>
    </row>
    <row r="311" spans="1:1" x14ac:dyDescent="0.2">
      <c r="A311" s="63"/>
    </row>
    <row r="312" spans="1:1" x14ac:dyDescent="0.2">
      <c r="A312" s="63"/>
    </row>
    <row r="313" spans="1:1" x14ac:dyDescent="0.2">
      <c r="A313" s="63"/>
    </row>
    <row r="314" spans="1:1" x14ac:dyDescent="0.2">
      <c r="A314" s="63"/>
    </row>
    <row r="315" spans="1:1" x14ac:dyDescent="0.2">
      <c r="A315" s="63"/>
    </row>
    <row r="316" spans="1:1" x14ac:dyDescent="0.2">
      <c r="A316" s="63"/>
    </row>
    <row r="317" spans="1:1" x14ac:dyDescent="0.2">
      <c r="A317" s="63"/>
    </row>
    <row r="318" spans="1:1" x14ac:dyDescent="0.2">
      <c r="A318" s="63"/>
    </row>
    <row r="319" spans="1:1" x14ac:dyDescent="0.2">
      <c r="A319" s="63"/>
    </row>
    <row r="320" spans="1:1" x14ac:dyDescent="0.2">
      <c r="A320" s="63"/>
    </row>
    <row r="321" spans="1:1" x14ac:dyDescent="0.2">
      <c r="A321" s="63"/>
    </row>
    <row r="322" spans="1:1" x14ac:dyDescent="0.2">
      <c r="A322" s="63"/>
    </row>
    <row r="323" spans="1:1" x14ac:dyDescent="0.2">
      <c r="A323" s="63"/>
    </row>
    <row r="324" spans="1:1" x14ac:dyDescent="0.2">
      <c r="A324" s="63"/>
    </row>
    <row r="325" spans="1:1" x14ac:dyDescent="0.2">
      <c r="A325" s="63"/>
    </row>
    <row r="326" spans="1:1" x14ac:dyDescent="0.2">
      <c r="A326" s="63"/>
    </row>
    <row r="327" spans="1:1" x14ac:dyDescent="0.2">
      <c r="A327" s="63"/>
    </row>
    <row r="328" spans="1:1" x14ac:dyDescent="0.2">
      <c r="A328" s="63"/>
    </row>
    <row r="329" spans="1:1" x14ac:dyDescent="0.2">
      <c r="A329" s="63"/>
    </row>
    <row r="330" spans="1:1" x14ac:dyDescent="0.2">
      <c r="A330" s="63"/>
    </row>
    <row r="331" spans="1:1" x14ac:dyDescent="0.2">
      <c r="A331" s="63"/>
    </row>
    <row r="332" spans="1:1" x14ac:dyDescent="0.2">
      <c r="A332" s="63"/>
    </row>
    <row r="333" spans="1:1" x14ac:dyDescent="0.2">
      <c r="A333" s="63"/>
    </row>
    <row r="334" spans="1:1" x14ac:dyDescent="0.2">
      <c r="A334" s="63"/>
    </row>
    <row r="335" spans="1:1" x14ac:dyDescent="0.2">
      <c r="A335" s="63"/>
    </row>
    <row r="336" spans="1:1" x14ac:dyDescent="0.2">
      <c r="A336" s="63"/>
    </row>
    <row r="337" spans="1:1" x14ac:dyDescent="0.2">
      <c r="A337" s="63"/>
    </row>
    <row r="338" spans="1:1" x14ac:dyDescent="0.2">
      <c r="A338" s="63"/>
    </row>
    <row r="339" spans="1:1" x14ac:dyDescent="0.2">
      <c r="A339" s="63"/>
    </row>
    <row r="340" spans="1:1" x14ac:dyDescent="0.2">
      <c r="A340" s="63"/>
    </row>
    <row r="341" spans="1:1" x14ac:dyDescent="0.2">
      <c r="A341" s="63"/>
    </row>
    <row r="342" spans="1:1" x14ac:dyDescent="0.2">
      <c r="A342" s="63"/>
    </row>
    <row r="343" spans="1:1" x14ac:dyDescent="0.2">
      <c r="A343" s="63"/>
    </row>
    <row r="344" spans="1:1" x14ac:dyDescent="0.2">
      <c r="A344" s="63"/>
    </row>
    <row r="345" spans="1:1" x14ac:dyDescent="0.2">
      <c r="A345" s="63"/>
    </row>
    <row r="346" spans="1:1" x14ac:dyDescent="0.2">
      <c r="A346" s="63"/>
    </row>
    <row r="347" spans="1:1" x14ac:dyDescent="0.2">
      <c r="A347" s="63"/>
    </row>
    <row r="348" spans="1:1" x14ac:dyDescent="0.2">
      <c r="A348" s="63"/>
    </row>
    <row r="349" spans="1:1" x14ac:dyDescent="0.2">
      <c r="A349" s="63"/>
    </row>
    <row r="350" spans="1:1" x14ac:dyDescent="0.2">
      <c r="A350" s="63"/>
    </row>
    <row r="351" spans="1:1" x14ac:dyDescent="0.2">
      <c r="A351" s="63"/>
    </row>
    <row r="352" spans="1:1" x14ac:dyDescent="0.2">
      <c r="A352" s="63"/>
    </row>
    <row r="353" spans="1:1" x14ac:dyDescent="0.2">
      <c r="A353" s="63"/>
    </row>
    <row r="354" spans="1:1" x14ac:dyDescent="0.2">
      <c r="A354" s="63"/>
    </row>
    <row r="355" spans="1:1" x14ac:dyDescent="0.2">
      <c r="A355" s="63"/>
    </row>
    <row r="356" spans="1:1" x14ac:dyDescent="0.2">
      <c r="A356" s="63"/>
    </row>
    <row r="357" spans="1:1" x14ac:dyDescent="0.2">
      <c r="A357" s="63"/>
    </row>
    <row r="358" spans="1:1" x14ac:dyDescent="0.2">
      <c r="A358" s="63"/>
    </row>
    <row r="359" spans="1:1" x14ac:dyDescent="0.2">
      <c r="A359" s="63"/>
    </row>
    <row r="360" spans="1:1" x14ac:dyDescent="0.2">
      <c r="A360" s="63"/>
    </row>
    <row r="361" spans="1:1" x14ac:dyDescent="0.2">
      <c r="A361" s="63"/>
    </row>
    <row r="362" spans="1:1" x14ac:dyDescent="0.2">
      <c r="A362" s="63"/>
    </row>
    <row r="363" spans="1:1" x14ac:dyDescent="0.2">
      <c r="A363" s="63"/>
    </row>
    <row r="364" spans="1:1" x14ac:dyDescent="0.2">
      <c r="A364" s="63"/>
    </row>
    <row r="365" spans="1:1" x14ac:dyDescent="0.2">
      <c r="A365" s="63"/>
    </row>
    <row r="366" spans="1:1" x14ac:dyDescent="0.2">
      <c r="A366" s="63"/>
    </row>
    <row r="367" spans="1:1" x14ac:dyDescent="0.2">
      <c r="A367" s="63"/>
    </row>
    <row r="368" spans="1:1" x14ac:dyDescent="0.2">
      <c r="A368" s="63"/>
    </row>
    <row r="369" spans="1:1" x14ac:dyDescent="0.2">
      <c r="A369" s="63"/>
    </row>
    <row r="370" spans="1:1" x14ac:dyDescent="0.2">
      <c r="A370" s="63"/>
    </row>
    <row r="371" spans="1:1" x14ac:dyDescent="0.2">
      <c r="A371" s="63"/>
    </row>
    <row r="372" spans="1:1" x14ac:dyDescent="0.2">
      <c r="A372" s="63"/>
    </row>
    <row r="373" spans="1:1" x14ac:dyDescent="0.2">
      <c r="A373" s="63"/>
    </row>
    <row r="374" spans="1:1" x14ac:dyDescent="0.2">
      <c r="A374" s="63"/>
    </row>
    <row r="375" spans="1:1" x14ac:dyDescent="0.2">
      <c r="A375" s="63"/>
    </row>
    <row r="376" spans="1:1" x14ac:dyDescent="0.2">
      <c r="A376" s="63"/>
    </row>
    <row r="377" spans="1:1" x14ac:dyDescent="0.2">
      <c r="A377" s="63"/>
    </row>
    <row r="378" spans="1:1" x14ac:dyDescent="0.2">
      <c r="A378" s="63"/>
    </row>
    <row r="379" spans="1:1" x14ac:dyDescent="0.2">
      <c r="A379" s="63"/>
    </row>
    <row r="380" spans="1:1" x14ac:dyDescent="0.2">
      <c r="A380" s="63"/>
    </row>
    <row r="381" spans="1:1" x14ac:dyDescent="0.2">
      <c r="A381" s="63"/>
    </row>
    <row r="382" spans="1:1" x14ac:dyDescent="0.2">
      <c r="A382" s="63"/>
    </row>
    <row r="383" spans="1:1" x14ac:dyDescent="0.2">
      <c r="A383" s="63"/>
    </row>
    <row r="384" spans="1:1" x14ac:dyDescent="0.2">
      <c r="A384" s="63"/>
    </row>
    <row r="385" spans="1:1" x14ac:dyDescent="0.2">
      <c r="A385" s="63"/>
    </row>
    <row r="386" spans="1:1" x14ac:dyDescent="0.2">
      <c r="A386" s="63"/>
    </row>
  </sheetData>
  <printOptions horizontalCentered="1"/>
  <pageMargins left="0.5" right="0.5" top="0.5" bottom="0.5" header="0.3" footer="0.3"/>
  <pageSetup scale="66" fitToHeight="4" orientation="portrait" blackAndWhite="1" r:id="rId1"/>
  <rowBreaks count="3" manualBreakCount="3">
    <brk id="82" max="10" man="1"/>
    <brk id="147" max="10" man="1"/>
    <brk id="216" max="10" man="1"/>
  </rowBreaks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AV1154"/>
  <sheetViews>
    <sheetView workbookViewId="0">
      <selection activeCell="H11" sqref="H11"/>
    </sheetView>
  </sheetViews>
  <sheetFormatPr defaultRowHeight="12.75" x14ac:dyDescent="0.2"/>
  <cols>
    <col min="1" max="1" width="3.5703125" style="84" customWidth="1"/>
    <col min="2" max="2" width="3" style="84" customWidth="1"/>
    <col min="3" max="3" width="10.85546875" style="84" bestFit="1" customWidth="1"/>
    <col min="4" max="4" width="42.5703125" style="84" bestFit="1" customWidth="1"/>
    <col min="5" max="5" width="2.140625" style="84" customWidth="1"/>
    <col min="6" max="6" width="9.5703125" style="84" customWidth="1"/>
    <col min="7" max="7" width="2.140625" style="84" customWidth="1"/>
    <col min="8" max="8" width="15.140625" style="84" bestFit="1" customWidth="1"/>
    <col min="9" max="9" width="2.140625" style="84" customWidth="1"/>
    <col min="10" max="10" width="15.140625" style="84" bestFit="1" customWidth="1"/>
    <col min="11" max="11" width="2.140625" style="84" customWidth="1"/>
    <col min="12" max="12" width="14.7109375" style="84" bestFit="1" customWidth="1"/>
    <col min="13" max="13" width="2.140625" style="84" customWidth="1"/>
    <col min="14" max="14" width="15.85546875" style="84" bestFit="1" customWidth="1"/>
    <col min="15" max="15" width="2.140625" style="84" customWidth="1"/>
    <col min="16" max="16" width="18.7109375" style="84" bestFit="1" customWidth="1"/>
    <col min="17" max="17" width="2.140625" style="84" customWidth="1"/>
    <col min="18" max="18" width="17.28515625" style="84" customWidth="1"/>
    <col min="19" max="19" width="3.140625" style="84" customWidth="1"/>
    <col min="20" max="20" width="3.5703125" style="84" customWidth="1"/>
    <col min="21" max="21" width="35.5703125" style="84" bestFit="1" customWidth="1"/>
    <col min="22" max="22" width="16.140625" style="84" bestFit="1" customWidth="1"/>
    <col min="23" max="23" width="21.5703125" style="84" customWidth="1"/>
    <col min="24" max="24" width="2.140625" style="84" customWidth="1"/>
    <col min="25" max="25" width="12.7109375" style="84" customWidth="1"/>
    <col min="26" max="26" width="2.140625" style="84" customWidth="1"/>
    <col min="27" max="27" width="15.28515625" style="84" customWidth="1"/>
    <col min="28" max="28" width="2.140625" style="84" customWidth="1"/>
    <col min="29" max="29" width="15" style="84" bestFit="1" customWidth="1"/>
    <col min="30" max="30" width="2.140625" style="84" customWidth="1"/>
    <col min="31" max="31" width="13.5703125" style="84" customWidth="1"/>
    <col min="32" max="32" width="2.140625" style="84" customWidth="1"/>
    <col min="33" max="33" width="13.5703125" style="84" customWidth="1"/>
    <col min="34" max="34" width="2.140625" style="84" customWidth="1"/>
    <col min="35" max="35" width="16" style="84" customWidth="1"/>
    <col min="36" max="36" width="2.140625" style="84" customWidth="1"/>
    <col min="37" max="37" width="16.28515625" style="84" customWidth="1"/>
    <col min="38" max="38" width="3.85546875" style="84" customWidth="1"/>
    <col min="39" max="41" width="9.140625" style="84"/>
    <col min="42" max="42" width="16.140625" style="84" bestFit="1" customWidth="1"/>
    <col min="43" max="256" width="9.140625" style="84"/>
    <col min="257" max="257" width="3.5703125" style="84" customWidth="1"/>
    <col min="258" max="258" width="6.85546875" style="84" bestFit="1" customWidth="1"/>
    <col min="259" max="259" width="10.85546875" style="84" bestFit="1" customWidth="1"/>
    <col min="260" max="260" width="40.42578125" style="84" bestFit="1" customWidth="1"/>
    <col min="261" max="261" width="2.140625" style="84" customWidth="1"/>
    <col min="262" max="262" width="9.5703125" style="84" customWidth="1"/>
    <col min="263" max="263" width="2.140625" style="84" customWidth="1"/>
    <col min="264" max="264" width="13.5703125" style="84" customWidth="1"/>
    <col min="265" max="265" width="2.140625" style="84" customWidth="1"/>
    <col min="266" max="266" width="13.5703125" style="84" customWidth="1"/>
    <col min="267" max="267" width="2.140625" style="84" customWidth="1"/>
    <col min="268" max="268" width="13.5703125" style="84" customWidth="1"/>
    <col min="269" max="269" width="2.140625" style="84" customWidth="1"/>
    <col min="270" max="270" width="13.5703125" style="84" customWidth="1"/>
    <col min="271" max="271" width="2.140625" style="84" customWidth="1"/>
    <col min="272" max="272" width="13.5703125" style="84" customWidth="1"/>
    <col min="273" max="273" width="2.140625" style="84" customWidth="1"/>
    <col min="274" max="274" width="13.5703125" style="84" customWidth="1"/>
    <col min="275" max="275" width="3.140625" style="84" customWidth="1"/>
    <col min="276" max="276" width="3.5703125" style="84" customWidth="1"/>
    <col min="277" max="277" width="11.140625" style="84" customWidth="1"/>
    <col min="278" max="278" width="11.85546875" style="84" bestFit="1" customWidth="1"/>
    <col min="279" max="279" width="40.42578125" style="84" bestFit="1" customWidth="1"/>
    <col min="280" max="280" width="2.140625" style="84" customWidth="1"/>
    <col min="281" max="281" width="9.5703125" style="84" customWidth="1"/>
    <col min="282" max="282" width="2.140625" style="84" customWidth="1"/>
    <col min="283" max="283" width="13.5703125" style="84" customWidth="1"/>
    <col min="284" max="284" width="2.140625" style="84" customWidth="1"/>
    <col min="285" max="285" width="13.5703125" style="84" customWidth="1"/>
    <col min="286" max="286" width="2.140625" style="84" customWidth="1"/>
    <col min="287" max="287" width="13.5703125" style="84" customWidth="1"/>
    <col min="288" max="288" width="2.140625" style="84" customWidth="1"/>
    <col min="289" max="289" width="13.5703125" style="84" customWidth="1"/>
    <col min="290" max="290" width="2.140625" style="84" customWidth="1"/>
    <col min="291" max="291" width="13.5703125" style="84" customWidth="1"/>
    <col min="292" max="292" width="2.140625" style="84" customWidth="1"/>
    <col min="293" max="294" width="13.5703125" style="84" customWidth="1"/>
    <col min="295" max="512" width="9.140625" style="84"/>
    <col min="513" max="513" width="3.5703125" style="84" customWidth="1"/>
    <col min="514" max="514" width="6.85546875" style="84" bestFit="1" customWidth="1"/>
    <col min="515" max="515" width="10.85546875" style="84" bestFit="1" customWidth="1"/>
    <col min="516" max="516" width="40.42578125" style="84" bestFit="1" customWidth="1"/>
    <col min="517" max="517" width="2.140625" style="84" customWidth="1"/>
    <col min="518" max="518" width="9.5703125" style="84" customWidth="1"/>
    <col min="519" max="519" width="2.140625" style="84" customWidth="1"/>
    <col min="520" max="520" width="13.5703125" style="84" customWidth="1"/>
    <col min="521" max="521" width="2.140625" style="84" customWidth="1"/>
    <col min="522" max="522" width="13.5703125" style="84" customWidth="1"/>
    <col min="523" max="523" width="2.140625" style="84" customWidth="1"/>
    <col min="524" max="524" width="13.5703125" style="84" customWidth="1"/>
    <col min="525" max="525" width="2.140625" style="84" customWidth="1"/>
    <col min="526" max="526" width="13.5703125" style="84" customWidth="1"/>
    <col min="527" max="527" width="2.140625" style="84" customWidth="1"/>
    <col min="528" max="528" width="13.5703125" style="84" customWidth="1"/>
    <col min="529" max="529" width="2.140625" style="84" customWidth="1"/>
    <col min="530" max="530" width="13.5703125" style="84" customWidth="1"/>
    <col min="531" max="531" width="3.140625" style="84" customWidth="1"/>
    <col min="532" max="532" width="3.5703125" style="84" customWidth="1"/>
    <col min="533" max="533" width="11.140625" style="84" customWidth="1"/>
    <col min="534" max="534" width="11.85546875" style="84" bestFit="1" customWidth="1"/>
    <col min="535" max="535" width="40.42578125" style="84" bestFit="1" customWidth="1"/>
    <col min="536" max="536" width="2.140625" style="84" customWidth="1"/>
    <col min="537" max="537" width="9.5703125" style="84" customWidth="1"/>
    <col min="538" max="538" width="2.140625" style="84" customWidth="1"/>
    <col min="539" max="539" width="13.5703125" style="84" customWidth="1"/>
    <col min="540" max="540" width="2.140625" style="84" customWidth="1"/>
    <col min="541" max="541" width="13.5703125" style="84" customWidth="1"/>
    <col min="542" max="542" width="2.140625" style="84" customWidth="1"/>
    <col min="543" max="543" width="13.5703125" style="84" customWidth="1"/>
    <col min="544" max="544" width="2.140625" style="84" customWidth="1"/>
    <col min="545" max="545" width="13.5703125" style="84" customWidth="1"/>
    <col min="546" max="546" width="2.140625" style="84" customWidth="1"/>
    <col min="547" max="547" width="13.5703125" style="84" customWidth="1"/>
    <col min="548" max="548" width="2.140625" style="84" customWidth="1"/>
    <col min="549" max="550" width="13.5703125" style="84" customWidth="1"/>
    <col min="551" max="768" width="9.140625" style="84"/>
    <col min="769" max="769" width="3.5703125" style="84" customWidth="1"/>
    <col min="770" max="770" width="6.85546875" style="84" bestFit="1" customWidth="1"/>
    <col min="771" max="771" width="10.85546875" style="84" bestFit="1" customWidth="1"/>
    <col min="772" max="772" width="40.42578125" style="84" bestFit="1" customWidth="1"/>
    <col min="773" max="773" width="2.140625" style="84" customWidth="1"/>
    <col min="774" max="774" width="9.5703125" style="84" customWidth="1"/>
    <col min="775" max="775" width="2.140625" style="84" customWidth="1"/>
    <col min="776" max="776" width="13.5703125" style="84" customWidth="1"/>
    <col min="777" max="777" width="2.140625" style="84" customWidth="1"/>
    <col min="778" max="778" width="13.5703125" style="84" customWidth="1"/>
    <col min="779" max="779" width="2.140625" style="84" customWidth="1"/>
    <col min="780" max="780" width="13.5703125" style="84" customWidth="1"/>
    <col min="781" max="781" width="2.140625" style="84" customWidth="1"/>
    <col min="782" max="782" width="13.5703125" style="84" customWidth="1"/>
    <col min="783" max="783" width="2.140625" style="84" customWidth="1"/>
    <col min="784" max="784" width="13.5703125" style="84" customWidth="1"/>
    <col min="785" max="785" width="2.140625" style="84" customWidth="1"/>
    <col min="786" max="786" width="13.5703125" style="84" customWidth="1"/>
    <col min="787" max="787" width="3.140625" style="84" customWidth="1"/>
    <col min="788" max="788" width="3.5703125" style="84" customWidth="1"/>
    <col min="789" max="789" width="11.140625" style="84" customWidth="1"/>
    <col min="790" max="790" width="11.85546875" style="84" bestFit="1" customWidth="1"/>
    <col min="791" max="791" width="40.42578125" style="84" bestFit="1" customWidth="1"/>
    <col min="792" max="792" width="2.140625" style="84" customWidth="1"/>
    <col min="793" max="793" width="9.5703125" style="84" customWidth="1"/>
    <col min="794" max="794" width="2.140625" style="84" customWidth="1"/>
    <col min="795" max="795" width="13.5703125" style="84" customWidth="1"/>
    <col min="796" max="796" width="2.140625" style="84" customWidth="1"/>
    <col min="797" max="797" width="13.5703125" style="84" customWidth="1"/>
    <col min="798" max="798" width="2.140625" style="84" customWidth="1"/>
    <col min="799" max="799" width="13.5703125" style="84" customWidth="1"/>
    <col min="800" max="800" width="2.140625" style="84" customWidth="1"/>
    <col min="801" max="801" width="13.5703125" style="84" customWidth="1"/>
    <col min="802" max="802" width="2.140625" style="84" customWidth="1"/>
    <col min="803" max="803" width="13.5703125" style="84" customWidth="1"/>
    <col min="804" max="804" width="2.140625" style="84" customWidth="1"/>
    <col min="805" max="806" width="13.5703125" style="84" customWidth="1"/>
    <col min="807" max="1024" width="9.140625" style="84"/>
    <col min="1025" max="1025" width="3.5703125" style="84" customWidth="1"/>
    <col min="1026" max="1026" width="6.85546875" style="84" bestFit="1" customWidth="1"/>
    <col min="1027" max="1027" width="10.85546875" style="84" bestFit="1" customWidth="1"/>
    <col min="1028" max="1028" width="40.42578125" style="84" bestFit="1" customWidth="1"/>
    <col min="1029" max="1029" width="2.140625" style="84" customWidth="1"/>
    <col min="1030" max="1030" width="9.5703125" style="84" customWidth="1"/>
    <col min="1031" max="1031" width="2.140625" style="84" customWidth="1"/>
    <col min="1032" max="1032" width="13.5703125" style="84" customWidth="1"/>
    <col min="1033" max="1033" width="2.140625" style="84" customWidth="1"/>
    <col min="1034" max="1034" width="13.5703125" style="84" customWidth="1"/>
    <col min="1035" max="1035" width="2.140625" style="84" customWidth="1"/>
    <col min="1036" max="1036" width="13.5703125" style="84" customWidth="1"/>
    <col min="1037" max="1037" width="2.140625" style="84" customWidth="1"/>
    <col min="1038" max="1038" width="13.5703125" style="84" customWidth="1"/>
    <col min="1039" max="1039" width="2.140625" style="84" customWidth="1"/>
    <col min="1040" max="1040" width="13.5703125" style="84" customWidth="1"/>
    <col min="1041" max="1041" width="2.140625" style="84" customWidth="1"/>
    <col min="1042" max="1042" width="13.5703125" style="84" customWidth="1"/>
    <col min="1043" max="1043" width="3.140625" style="84" customWidth="1"/>
    <col min="1044" max="1044" width="3.5703125" style="84" customWidth="1"/>
    <col min="1045" max="1045" width="11.140625" style="84" customWidth="1"/>
    <col min="1046" max="1046" width="11.85546875" style="84" bestFit="1" customWidth="1"/>
    <col min="1047" max="1047" width="40.42578125" style="84" bestFit="1" customWidth="1"/>
    <col min="1048" max="1048" width="2.140625" style="84" customWidth="1"/>
    <col min="1049" max="1049" width="9.5703125" style="84" customWidth="1"/>
    <col min="1050" max="1050" width="2.140625" style="84" customWidth="1"/>
    <col min="1051" max="1051" width="13.5703125" style="84" customWidth="1"/>
    <col min="1052" max="1052" width="2.140625" style="84" customWidth="1"/>
    <col min="1053" max="1053" width="13.5703125" style="84" customWidth="1"/>
    <col min="1054" max="1054" width="2.140625" style="84" customWidth="1"/>
    <col min="1055" max="1055" width="13.5703125" style="84" customWidth="1"/>
    <col min="1056" max="1056" width="2.140625" style="84" customWidth="1"/>
    <col min="1057" max="1057" width="13.5703125" style="84" customWidth="1"/>
    <col min="1058" max="1058" width="2.140625" style="84" customWidth="1"/>
    <col min="1059" max="1059" width="13.5703125" style="84" customWidth="1"/>
    <col min="1060" max="1060" width="2.140625" style="84" customWidth="1"/>
    <col min="1061" max="1062" width="13.5703125" style="84" customWidth="1"/>
    <col min="1063" max="1280" width="9.140625" style="84"/>
    <col min="1281" max="1281" width="3.5703125" style="84" customWidth="1"/>
    <col min="1282" max="1282" width="6.85546875" style="84" bestFit="1" customWidth="1"/>
    <col min="1283" max="1283" width="10.85546875" style="84" bestFit="1" customWidth="1"/>
    <col min="1284" max="1284" width="40.42578125" style="84" bestFit="1" customWidth="1"/>
    <col min="1285" max="1285" width="2.140625" style="84" customWidth="1"/>
    <col min="1286" max="1286" width="9.5703125" style="84" customWidth="1"/>
    <col min="1287" max="1287" width="2.140625" style="84" customWidth="1"/>
    <col min="1288" max="1288" width="13.5703125" style="84" customWidth="1"/>
    <col min="1289" max="1289" width="2.140625" style="84" customWidth="1"/>
    <col min="1290" max="1290" width="13.5703125" style="84" customWidth="1"/>
    <col min="1291" max="1291" width="2.140625" style="84" customWidth="1"/>
    <col min="1292" max="1292" width="13.5703125" style="84" customWidth="1"/>
    <col min="1293" max="1293" width="2.140625" style="84" customWidth="1"/>
    <col min="1294" max="1294" width="13.5703125" style="84" customWidth="1"/>
    <col min="1295" max="1295" width="2.140625" style="84" customWidth="1"/>
    <col min="1296" max="1296" width="13.5703125" style="84" customWidth="1"/>
    <col min="1297" max="1297" width="2.140625" style="84" customWidth="1"/>
    <col min="1298" max="1298" width="13.5703125" style="84" customWidth="1"/>
    <col min="1299" max="1299" width="3.140625" style="84" customWidth="1"/>
    <col min="1300" max="1300" width="3.5703125" style="84" customWidth="1"/>
    <col min="1301" max="1301" width="11.140625" style="84" customWidth="1"/>
    <col min="1302" max="1302" width="11.85546875" style="84" bestFit="1" customWidth="1"/>
    <col min="1303" max="1303" width="40.42578125" style="84" bestFit="1" customWidth="1"/>
    <col min="1304" max="1304" width="2.140625" style="84" customWidth="1"/>
    <col min="1305" max="1305" width="9.5703125" style="84" customWidth="1"/>
    <col min="1306" max="1306" width="2.140625" style="84" customWidth="1"/>
    <col min="1307" max="1307" width="13.5703125" style="84" customWidth="1"/>
    <col min="1308" max="1308" width="2.140625" style="84" customWidth="1"/>
    <col min="1309" max="1309" width="13.5703125" style="84" customWidth="1"/>
    <col min="1310" max="1310" width="2.140625" style="84" customWidth="1"/>
    <col min="1311" max="1311" width="13.5703125" style="84" customWidth="1"/>
    <col min="1312" max="1312" width="2.140625" style="84" customWidth="1"/>
    <col min="1313" max="1313" width="13.5703125" style="84" customWidth="1"/>
    <col min="1314" max="1314" width="2.140625" style="84" customWidth="1"/>
    <col min="1315" max="1315" width="13.5703125" style="84" customWidth="1"/>
    <col min="1316" max="1316" width="2.140625" style="84" customWidth="1"/>
    <col min="1317" max="1318" width="13.5703125" style="84" customWidth="1"/>
    <col min="1319" max="1536" width="9.140625" style="84"/>
    <col min="1537" max="1537" width="3.5703125" style="84" customWidth="1"/>
    <col min="1538" max="1538" width="6.85546875" style="84" bestFit="1" customWidth="1"/>
    <col min="1539" max="1539" width="10.85546875" style="84" bestFit="1" customWidth="1"/>
    <col min="1540" max="1540" width="40.42578125" style="84" bestFit="1" customWidth="1"/>
    <col min="1541" max="1541" width="2.140625" style="84" customWidth="1"/>
    <col min="1542" max="1542" width="9.5703125" style="84" customWidth="1"/>
    <col min="1543" max="1543" width="2.140625" style="84" customWidth="1"/>
    <col min="1544" max="1544" width="13.5703125" style="84" customWidth="1"/>
    <col min="1545" max="1545" width="2.140625" style="84" customWidth="1"/>
    <col min="1546" max="1546" width="13.5703125" style="84" customWidth="1"/>
    <col min="1547" max="1547" width="2.140625" style="84" customWidth="1"/>
    <col min="1548" max="1548" width="13.5703125" style="84" customWidth="1"/>
    <col min="1549" max="1549" width="2.140625" style="84" customWidth="1"/>
    <col min="1550" max="1550" width="13.5703125" style="84" customWidth="1"/>
    <col min="1551" max="1551" width="2.140625" style="84" customWidth="1"/>
    <col min="1552" max="1552" width="13.5703125" style="84" customWidth="1"/>
    <col min="1553" max="1553" width="2.140625" style="84" customWidth="1"/>
    <col min="1554" max="1554" width="13.5703125" style="84" customWidth="1"/>
    <col min="1555" max="1555" width="3.140625" style="84" customWidth="1"/>
    <col min="1556" max="1556" width="3.5703125" style="84" customWidth="1"/>
    <col min="1557" max="1557" width="11.140625" style="84" customWidth="1"/>
    <col min="1558" max="1558" width="11.85546875" style="84" bestFit="1" customWidth="1"/>
    <col min="1559" max="1559" width="40.42578125" style="84" bestFit="1" customWidth="1"/>
    <col min="1560" max="1560" width="2.140625" style="84" customWidth="1"/>
    <col min="1561" max="1561" width="9.5703125" style="84" customWidth="1"/>
    <col min="1562" max="1562" width="2.140625" style="84" customWidth="1"/>
    <col min="1563" max="1563" width="13.5703125" style="84" customWidth="1"/>
    <col min="1564" max="1564" width="2.140625" style="84" customWidth="1"/>
    <col min="1565" max="1565" width="13.5703125" style="84" customWidth="1"/>
    <col min="1566" max="1566" width="2.140625" style="84" customWidth="1"/>
    <col min="1567" max="1567" width="13.5703125" style="84" customWidth="1"/>
    <col min="1568" max="1568" width="2.140625" style="84" customWidth="1"/>
    <col min="1569" max="1569" width="13.5703125" style="84" customWidth="1"/>
    <col min="1570" max="1570" width="2.140625" style="84" customWidth="1"/>
    <col min="1571" max="1571" width="13.5703125" style="84" customWidth="1"/>
    <col min="1572" max="1572" width="2.140625" style="84" customWidth="1"/>
    <col min="1573" max="1574" width="13.5703125" style="84" customWidth="1"/>
    <col min="1575" max="1792" width="9.140625" style="84"/>
    <col min="1793" max="1793" width="3.5703125" style="84" customWidth="1"/>
    <col min="1794" max="1794" width="6.85546875" style="84" bestFit="1" customWidth="1"/>
    <col min="1795" max="1795" width="10.85546875" style="84" bestFit="1" customWidth="1"/>
    <col min="1796" max="1796" width="40.42578125" style="84" bestFit="1" customWidth="1"/>
    <col min="1797" max="1797" width="2.140625" style="84" customWidth="1"/>
    <col min="1798" max="1798" width="9.5703125" style="84" customWidth="1"/>
    <col min="1799" max="1799" width="2.140625" style="84" customWidth="1"/>
    <col min="1800" max="1800" width="13.5703125" style="84" customWidth="1"/>
    <col min="1801" max="1801" width="2.140625" style="84" customWidth="1"/>
    <col min="1802" max="1802" width="13.5703125" style="84" customWidth="1"/>
    <col min="1803" max="1803" width="2.140625" style="84" customWidth="1"/>
    <col min="1804" max="1804" width="13.5703125" style="84" customWidth="1"/>
    <col min="1805" max="1805" width="2.140625" style="84" customWidth="1"/>
    <col min="1806" max="1806" width="13.5703125" style="84" customWidth="1"/>
    <col min="1807" max="1807" width="2.140625" style="84" customWidth="1"/>
    <col min="1808" max="1808" width="13.5703125" style="84" customWidth="1"/>
    <col min="1809" max="1809" width="2.140625" style="84" customWidth="1"/>
    <col min="1810" max="1810" width="13.5703125" style="84" customWidth="1"/>
    <col min="1811" max="1811" width="3.140625" style="84" customWidth="1"/>
    <col min="1812" max="1812" width="3.5703125" style="84" customWidth="1"/>
    <col min="1813" max="1813" width="11.140625" style="84" customWidth="1"/>
    <col min="1814" max="1814" width="11.85546875" style="84" bestFit="1" customWidth="1"/>
    <col min="1815" max="1815" width="40.42578125" style="84" bestFit="1" customWidth="1"/>
    <col min="1816" max="1816" width="2.140625" style="84" customWidth="1"/>
    <col min="1817" max="1817" width="9.5703125" style="84" customWidth="1"/>
    <col min="1818" max="1818" width="2.140625" style="84" customWidth="1"/>
    <col min="1819" max="1819" width="13.5703125" style="84" customWidth="1"/>
    <col min="1820" max="1820" width="2.140625" style="84" customWidth="1"/>
    <col min="1821" max="1821" width="13.5703125" style="84" customWidth="1"/>
    <col min="1822" max="1822" width="2.140625" style="84" customWidth="1"/>
    <col min="1823" max="1823" width="13.5703125" style="84" customWidth="1"/>
    <col min="1824" max="1824" width="2.140625" style="84" customWidth="1"/>
    <col min="1825" max="1825" width="13.5703125" style="84" customWidth="1"/>
    <col min="1826" max="1826" width="2.140625" style="84" customWidth="1"/>
    <col min="1827" max="1827" width="13.5703125" style="84" customWidth="1"/>
    <col min="1828" max="1828" width="2.140625" style="84" customWidth="1"/>
    <col min="1829" max="1830" width="13.5703125" style="84" customWidth="1"/>
    <col min="1831" max="2048" width="9.140625" style="84"/>
    <col min="2049" max="2049" width="3.5703125" style="84" customWidth="1"/>
    <col min="2050" max="2050" width="6.85546875" style="84" bestFit="1" customWidth="1"/>
    <col min="2051" max="2051" width="10.85546875" style="84" bestFit="1" customWidth="1"/>
    <col min="2052" max="2052" width="40.42578125" style="84" bestFit="1" customWidth="1"/>
    <col min="2053" max="2053" width="2.140625" style="84" customWidth="1"/>
    <col min="2054" max="2054" width="9.5703125" style="84" customWidth="1"/>
    <col min="2055" max="2055" width="2.140625" style="84" customWidth="1"/>
    <col min="2056" max="2056" width="13.5703125" style="84" customWidth="1"/>
    <col min="2057" max="2057" width="2.140625" style="84" customWidth="1"/>
    <col min="2058" max="2058" width="13.5703125" style="84" customWidth="1"/>
    <col min="2059" max="2059" width="2.140625" style="84" customWidth="1"/>
    <col min="2060" max="2060" width="13.5703125" style="84" customWidth="1"/>
    <col min="2061" max="2061" width="2.140625" style="84" customWidth="1"/>
    <col min="2062" max="2062" width="13.5703125" style="84" customWidth="1"/>
    <col min="2063" max="2063" width="2.140625" style="84" customWidth="1"/>
    <col min="2064" max="2064" width="13.5703125" style="84" customWidth="1"/>
    <col min="2065" max="2065" width="2.140625" style="84" customWidth="1"/>
    <col min="2066" max="2066" width="13.5703125" style="84" customWidth="1"/>
    <col min="2067" max="2067" width="3.140625" style="84" customWidth="1"/>
    <col min="2068" max="2068" width="3.5703125" style="84" customWidth="1"/>
    <col min="2069" max="2069" width="11.140625" style="84" customWidth="1"/>
    <col min="2070" max="2070" width="11.85546875" style="84" bestFit="1" customWidth="1"/>
    <col min="2071" max="2071" width="40.42578125" style="84" bestFit="1" customWidth="1"/>
    <col min="2072" max="2072" width="2.140625" style="84" customWidth="1"/>
    <col min="2073" max="2073" width="9.5703125" style="84" customWidth="1"/>
    <col min="2074" max="2074" width="2.140625" style="84" customWidth="1"/>
    <col min="2075" max="2075" width="13.5703125" style="84" customWidth="1"/>
    <col min="2076" max="2076" width="2.140625" style="84" customWidth="1"/>
    <col min="2077" max="2077" width="13.5703125" style="84" customWidth="1"/>
    <col min="2078" max="2078" width="2.140625" style="84" customWidth="1"/>
    <col min="2079" max="2079" width="13.5703125" style="84" customWidth="1"/>
    <col min="2080" max="2080" width="2.140625" style="84" customWidth="1"/>
    <col min="2081" max="2081" width="13.5703125" style="84" customWidth="1"/>
    <col min="2082" max="2082" width="2.140625" style="84" customWidth="1"/>
    <col min="2083" max="2083" width="13.5703125" style="84" customWidth="1"/>
    <col min="2084" max="2084" width="2.140625" style="84" customWidth="1"/>
    <col min="2085" max="2086" width="13.5703125" style="84" customWidth="1"/>
    <col min="2087" max="2304" width="9.140625" style="84"/>
    <col min="2305" max="2305" width="3.5703125" style="84" customWidth="1"/>
    <col min="2306" max="2306" width="6.85546875" style="84" bestFit="1" customWidth="1"/>
    <col min="2307" max="2307" width="10.85546875" style="84" bestFit="1" customWidth="1"/>
    <col min="2308" max="2308" width="40.42578125" style="84" bestFit="1" customWidth="1"/>
    <col min="2309" max="2309" width="2.140625" style="84" customWidth="1"/>
    <col min="2310" max="2310" width="9.5703125" style="84" customWidth="1"/>
    <col min="2311" max="2311" width="2.140625" style="84" customWidth="1"/>
    <col min="2312" max="2312" width="13.5703125" style="84" customWidth="1"/>
    <col min="2313" max="2313" width="2.140625" style="84" customWidth="1"/>
    <col min="2314" max="2314" width="13.5703125" style="84" customWidth="1"/>
    <col min="2315" max="2315" width="2.140625" style="84" customWidth="1"/>
    <col min="2316" max="2316" width="13.5703125" style="84" customWidth="1"/>
    <col min="2317" max="2317" width="2.140625" style="84" customWidth="1"/>
    <col min="2318" max="2318" width="13.5703125" style="84" customWidth="1"/>
    <col min="2319" max="2319" width="2.140625" style="84" customWidth="1"/>
    <col min="2320" max="2320" width="13.5703125" style="84" customWidth="1"/>
    <col min="2321" max="2321" width="2.140625" style="84" customWidth="1"/>
    <col min="2322" max="2322" width="13.5703125" style="84" customWidth="1"/>
    <col min="2323" max="2323" width="3.140625" style="84" customWidth="1"/>
    <col min="2324" max="2324" width="3.5703125" style="84" customWidth="1"/>
    <col min="2325" max="2325" width="11.140625" style="84" customWidth="1"/>
    <col min="2326" max="2326" width="11.85546875" style="84" bestFit="1" customWidth="1"/>
    <col min="2327" max="2327" width="40.42578125" style="84" bestFit="1" customWidth="1"/>
    <col min="2328" max="2328" width="2.140625" style="84" customWidth="1"/>
    <col min="2329" max="2329" width="9.5703125" style="84" customWidth="1"/>
    <col min="2330" max="2330" width="2.140625" style="84" customWidth="1"/>
    <col min="2331" max="2331" width="13.5703125" style="84" customWidth="1"/>
    <col min="2332" max="2332" width="2.140625" style="84" customWidth="1"/>
    <col min="2333" max="2333" width="13.5703125" style="84" customWidth="1"/>
    <col min="2334" max="2334" width="2.140625" style="84" customWidth="1"/>
    <col min="2335" max="2335" width="13.5703125" style="84" customWidth="1"/>
    <col min="2336" max="2336" width="2.140625" style="84" customWidth="1"/>
    <col min="2337" max="2337" width="13.5703125" style="84" customWidth="1"/>
    <col min="2338" max="2338" width="2.140625" style="84" customWidth="1"/>
    <col min="2339" max="2339" width="13.5703125" style="84" customWidth="1"/>
    <col min="2340" max="2340" width="2.140625" style="84" customWidth="1"/>
    <col min="2341" max="2342" width="13.5703125" style="84" customWidth="1"/>
    <col min="2343" max="2560" width="9.140625" style="84"/>
    <col min="2561" max="2561" width="3.5703125" style="84" customWidth="1"/>
    <col min="2562" max="2562" width="6.85546875" style="84" bestFit="1" customWidth="1"/>
    <col min="2563" max="2563" width="10.85546875" style="84" bestFit="1" customWidth="1"/>
    <col min="2564" max="2564" width="40.42578125" style="84" bestFit="1" customWidth="1"/>
    <col min="2565" max="2565" width="2.140625" style="84" customWidth="1"/>
    <col min="2566" max="2566" width="9.5703125" style="84" customWidth="1"/>
    <col min="2567" max="2567" width="2.140625" style="84" customWidth="1"/>
    <col min="2568" max="2568" width="13.5703125" style="84" customWidth="1"/>
    <col min="2569" max="2569" width="2.140625" style="84" customWidth="1"/>
    <col min="2570" max="2570" width="13.5703125" style="84" customWidth="1"/>
    <col min="2571" max="2571" width="2.140625" style="84" customWidth="1"/>
    <col min="2572" max="2572" width="13.5703125" style="84" customWidth="1"/>
    <col min="2573" max="2573" width="2.140625" style="84" customWidth="1"/>
    <col min="2574" max="2574" width="13.5703125" style="84" customWidth="1"/>
    <col min="2575" max="2575" width="2.140625" style="84" customWidth="1"/>
    <col min="2576" max="2576" width="13.5703125" style="84" customWidth="1"/>
    <col min="2577" max="2577" width="2.140625" style="84" customWidth="1"/>
    <col min="2578" max="2578" width="13.5703125" style="84" customWidth="1"/>
    <col min="2579" max="2579" width="3.140625" style="84" customWidth="1"/>
    <col min="2580" max="2580" width="3.5703125" style="84" customWidth="1"/>
    <col min="2581" max="2581" width="11.140625" style="84" customWidth="1"/>
    <col min="2582" max="2582" width="11.85546875" style="84" bestFit="1" customWidth="1"/>
    <col min="2583" max="2583" width="40.42578125" style="84" bestFit="1" customWidth="1"/>
    <col min="2584" max="2584" width="2.140625" style="84" customWidth="1"/>
    <col min="2585" max="2585" width="9.5703125" style="84" customWidth="1"/>
    <col min="2586" max="2586" width="2.140625" style="84" customWidth="1"/>
    <col min="2587" max="2587" width="13.5703125" style="84" customWidth="1"/>
    <col min="2588" max="2588" width="2.140625" style="84" customWidth="1"/>
    <col min="2589" max="2589" width="13.5703125" style="84" customWidth="1"/>
    <col min="2590" max="2590" width="2.140625" style="84" customWidth="1"/>
    <col min="2591" max="2591" width="13.5703125" style="84" customWidth="1"/>
    <col min="2592" max="2592" width="2.140625" style="84" customWidth="1"/>
    <col min="2593" max="2593" width="13.5703125" style="84" customWidth="1"/>
    <col min="2594" max="2594" width="2.140625" style="84" customWidth="1"/>
    <col min="2595" max="2595" width="13.5703125" style="84" customWidth="1"/>
    <col min="2596" max="2596" width="2.140625" style="84" customWidth="1"/>
    <col min="2597" max="2598" width="13.5703125" style="84" customWidth="1"/>
    <col min="2599" max="2816" width="9.140625" style="84"/>
    <col min="2817" max="2817" width="3.5703125" style="84" customWidth="1"/>
    <col min="2818" max="2818" width="6.85546875" style="84" bestFit="1" customWidth="1"/>
    <col min="2819" max="2819" width="10.85546875" style="84" bestFit="1" customWidth="1"/>
    <col min="2820" max="2820" width="40.42578125" style="84" bestFit="1" customWidth="1"/>
    <col min="2821" max="2821" width="2.140625" style="84" customWidth="1"/>
    <col min="2822" max="2822" width="9.5703125" style="84" customWidth="1"/>
    <col min="2823" max="2823" width="2.140625" style="84" customWidth="1"/>
    <col min="2824" max="2824" width="13.5703125" style="84" customWidth="1"/>
    <col min="2825" max="2825" width="2.140625" style="84" customWidth="1"/>
    <col min="2826" max="2826" width="13.5703125" style="84" customWidth="1"/>
    <col min="2827" max="2827" width="2.140625" style="84" customWidth="1"/>
    <col min="2828" max="2828" width="13.5703125" style="84" customWidth="1"/>
    <col min="2829" max="2829" width="2.140625" style="84" customWidth="1"/>
    <col min="2830" max="2830" width="13.5703125" style="84" customWidth="1"/>
    <col min="2831" max="2831" width="2.140625" style="84" customWidth="1"/>
    <col min="2832" max="2832" width="13.5703125" style="84" customWidth="1"/>
    <col min="2833" max="2833" width="2.140625" style="84" customWidth="1"/>
    <col min="2834" max="2834" width="13.5703125" style="84" customWidth="1"/>
    <col min="2835" max="2835" width="3.140625" style="84" customWidth="1"/>
    <col min="2836" max="2836" width="3.5703125" style="84" customWidth="1"/>
    <col min="2837" max="2837" width="11.140625" style="84" customWidth="1"/>
    <col min="2838" max="2838" width="11.85546875" style="84" bestFit="1" customWidth="1"/>
    <col min="2839" max="2839" width="40.42578125" style="84" bestFit="1" customWidth="1"/>
    <col min="2840" max="2840" width="2.140625" style="84" customWidth="1"/>
    <col min="2841" max="2841" width="9.5703125" style="84" customWidth="1"/>
    <col min="2842" max="2842" width="2.140625" style="84" customWidth="1"/>
    <col min="2843" max="2843" width="13.5703125" style="84" customWidth="1"/>
    <col min="2844" max="2844" width="2.140625" style="84" customWidth="1"/>
    <col min="2845" max="2845" width="13.5703125" style="84" customWidth="1"/>
    <col min="2846" max="2846" width="2.140625" style="84" customWidth="1"/>
    <col min="2847" max="2847" width="13.5703125" style="84" customWidth="1"/>
    <col min="2848" max="2848" width="2.140625" style="84" customWidth="1"/>
    <col min="2849" max="2849" width="13.5703125" style="84" customWidth="1"/>
    <col min="2850" max="2850" width="2.140625" style="84" customWidth="1"/>
    <col min="2851" max="2851" width="13.5703125" style="84" customWidth="1"/>
    <col min="2852" max="2852" width="2.140625" style="84" customWidth="1"/>
    <col min="2853" max="2854" width="13.5703125" style="84" customWidth="1"/>
    <col min="2855" max="3072" width="9.140625" style="84"/>
    <col min="3073" max="3073" width="3.5703125" style="84" customWidth="1"/>
    <col min="3074" max="3074" width="6.85546875" style="84" bestFit="1" customWidth="1"/>
    <col min="3075" max="3075" width="10.85546875" style="84" bestFit="1" customWidth="1"/>
    <col min="3076" max="3076" width="40.42578125" style="84" bestFit="1" customWidth="1"/>
    <col min="3077" max="3077" width="2.140625" style="84" customWidth="1"/>
    <col min="3078" max="3078" width="9.5703125" style="84" customWidth="1"/>
    <col min="3079" max="3079" width="2.140625" style="84" customWidth="1"/>
    <col min="3080" max="3080" width="13.5703125" style="84" customWidth="1"/>
    <col min="3081" max="3081" width="2.140625" style="84" customWidth="1"/>
    <col min="3082" max="3082" width="13.5703125" style="84" customWidth="1"/>
    <col min="3083" max="3083" width="2.140625" style="84" customWidth="1"/>
    <col min="3084" max="3084" width="13.5703125" style="84" customWidth="1"/>
    <col min="3085" max="3085" width="2.140625" style="84" customWidth="1"/>
    <col min="3086" max="3086" width="13.5703125" style="84" customWidth="1"/>
    <col min="3087" max="3087" width="2.140625" style="84" customWidth="1"/>
    <col min="3088" max="3088" width="13.5703125" style="84" customWidth="1"/>
    <col min="3089" max="3089" width="2.140625" style="84" customWidth="1"/>
    <col min="3090" max="3090" width="13.5703125" style="84" customWidth="1"/>
    <col min="3091" max="3091" width="3.140625" style="84" customWidth="1"/>
    <col min="3092" max="3092" width="3.5703125" style="84" customWidth="1"/>
    <col min="3093" max="3093" width="11.140625" style="84" customWidth="1"/>
    <col min="3094" max="3094" width="11.85546875" style="84" bestFit="1" customWidth="1"/>
    <col min="3095" max="3095" width="40.42578125" style="84" bestFit="1" customWidth="1"/>
    <col min="3096" max="3096" width="2.140625" style="84" customWidth="1"/>
    <col min="3097" max="3097" width="9.5703125" style="84" customWidth="1"/>
    <col min="3098" max="3098" width="2.140625" style="84" customWidth="1"/>
    <col min="3099" max="3099" width="13.5703125" style="84" customWidth="1"/>
    <col min="3100" max="3100" width="2.140625" style="84" customWidth="1"/>
    <col min="3101" max="3101" width="13.5703125" style="84" customWidth="1"/>
    <col min="3102" max="3102" width="2.140625" style="84" customWidth="1"/>
    <col min="3103" max="3103" width="13.5703125" style="84" customWidth="1"/>
    <col min="3104" max="3104" width="2.140625" style="84" customWidth="1"/>
    <col min="3105" max="3105" width="13.5703125" style="84" customWidth="1"/>
    <col min="3106" max="3106" width="2.140625" style="84" customWidth="1"/>
    <col min="3107" max="3107" width="13.5703125" style="84" customWidth="1"/>
    <col min="3108" max="3108" width="2.140625" style="84" customWidth="1"/>
    <col min="3109" max="3110" width="13.5703125" style="84" customWidth="1"/>
    <col min="3111" max="3328" width="9.140625" style="84"/>
    <col min="3329" max="3329" width="3.5703125" style="84" customWidth="1"/>
    <col min="3330" max="3330" width="6.85546875" style="84" bestFit="1" customWidth="1"/>
    <col min="3331" max="3331" width="10.85546875" style="84" bestFit="1" customWidth="1"/>
    <col min="3332" max="3332" width="40.42578125" style="84" bestFit="1" customWidth="1"/>
    <col min="3333" max="3333" width="2.140625" style="84" customWidth="1"/>
    <col min="3334" max="3334" width="9.5703125" style="84" customWidth="1"/>
    <col min="3335" max="3335" width="2.140625" style="84" customWidth="1"/>
    <col min="3336" max="3336" width="13.5703125" style="84" customWidth="1"/>
    <col min="3337" max="3337" width="2.140625" style="84" customWidth="1"/>
    <col min="3338" max="3338" width="13.5703125" style="84" customWidth="1"/>
    <col min="3339" max="3339" width="2.140625" style="84" customWidth="1"/>
    <col min="3340" max="3340" width="13.5703125" style="84" customWidth="1"/>
    <col min="3341" max="3341" width="2.140625" style="84" customWidth="1"/>
    <col min="3342" max="3342" width="13.5703125" style="84" customWidth="1"/>
    <col min="3343" max="3343" width="2.140625" style="84" customWidth="1"/>
    <col min="3344" max="3344" width="13.5703125" style="84" customWidth="1"/>
    <col min="3345" max="3345" width="2.140625" style="84" customWidth="1"/>
    <col min="3346" max="3346" width="13.5703125" style="84" customWidth="1"/>
    <col min="3347" max="3347" width="3.140625" style="84" customWidth="1"/>
    <col min="3348" max="3348" width="3.5703125" style="84" customWidth="1"/>
    <col min="3349" max="3349" width="11.140625" style="84" customWidth="1"/>
    <col min="3350" max="3350" width="11.85546875" style="84" bestFit="1" customWidth="1"/>
    <col min="3351" max="3351" width="40.42578125" style="84" bestFit="1" customWidth="1"/>
    <col min="3352" max="3352" width="2.140625" style="84" customWidth="1"/>
    <col min="3353" max="3353" width="9.5703125" style="84" customWidth="1"/>
    <col min="3354" max="3354" width="2.140625" style="84" customWidth="1"/>
    <col min="3355" max="3355" width="13.5703125" style="84" customWidth="1"/>
    <col min="3356" max="3356" width="2.140625" style="84" customWidth="1"/>
    <col min="3357" max="3357" width="13.5703125" style="84" customWidth="1"/>
    <col min="3358" max="3358" width="2.140625" style="84" customWidth="1"/>
    <col min="3359" max="3359" width="13.5703125" style="84" customWidth="1"/>
    <col min="3360" max="3360" width="2.140625" style="84" customWidth="1"/>
    <col min="3361" max="3361" width="13.5703125" style="84" customWidth="1"/>
    <col min="3362" max="3362" width="2.140625" style="84" customWidth="1"/>
    <col min="3363" max="3363" width="13.5703125" style="84" customWidth="1"/>
    <col min="3364" max="3364" width="2.140625" style="84" customWidth="1"/>
    <col min="3365" max="3366" width="13.5703125" style="84" customWidth="1"/>
    <col min="3367" max="3584" width="9.140625" style="84"/>
    <col min="3585" max="3585" width="3.5703125" style="84" customWidth="1"/>
    <col min="3586" max="3586" width="6.85546875" style="84" bestFit="1" customWidth="1"/>
    <col min="3587" max="3587" width="10.85546875" style="84" bestFit="1" customWidth="1"/>
    <col min="3588" max="3588" width="40.42578125" style="84" bestFit="1" customWidth="1"/>
    <col min="3589" max="3589" width="2.140625" style="84" customWidth="1"/>
    <col min="3590" max="3590" width="9.5703125" style="84" customWidth="1"/>
    <col min="3591" max="3591" width="2.140625" style="84" customWidth="1"/>
    <col min="3592" max="3592" width="13.5703125" style="84" customWidth="1"/>
    <col min="3593" max="3593" width="2.140625" style="84" customWidth="1"/>
    <col min="3594" max="3594" width="13.5703125" style="84" customWidth="1"/>
    <col min="3595" max="3595" width="2.140625" style="84" customWidth="1"/>
    <col min="3596" max="3596" width="13.5703125" style="84" customWidth="1"/>
    <col min="3597" max="3597" width="2.140625" style="84" customWidth="1"/>
    <col min="3598" max="3598" width="13.5703125" style="84" customWidth="1"/>
    <col min="3599" max="3599" width="2.140625" style="84" customWidth="1"/>
    <col min="3600" max="3600" width="13.5703125" style="84" customWidth="1"/>
    <col min="3601" max="3601" width="2.140625" style="84" customWidth="1"/>
    <col min="3602" max="3602" width="13.5703125" style="84" customWidth="1"/>
    <col min="3603" max="3603" width="3.140625" style="84" customWidth="1"/>
    <col min="3604" max="3604" width="3.5703125" style="84" customWidth="1"/>
    <col min="3605" max="3605" width="11.140625" style="84" customWidth="1"/>
    <col min="3606" max="3606" width="11.85546875" style="84" bestFit="1" customWidth="1"/>
    <col min="3607" max="3607" width="40.42578125" style="84" bestFit="1" customWidth="1"/>
    <col min="3608" max="3608" width="2.140625" style="84" customWidth="1"/>
    <col min="3609" max="3609" width="9.5703125" style="84" customWidth="1"/>
    <col min="3610" max="3610" width="2.140625" style="84" customWidth="1"/>
    <col min="3611" max="3611" width="13.5703125" style="84" customWidth="1"/>
    <col min="3612" max="3612" width="2.140625" style="84" customWidth="1"/>
    <col min="3613" max="3613" width="13.5703125" style="84" customWidth="1"/>
    <col min="3614" max="3614" width="2.140625" style="84" customWidth="1"/>
    <col min="3615" max="3615" width="13.5703125" style="84" customWidth="1"/>
    <col min="3616" max="3616" width="2.140625" style="84" customWidth="1"/>
    <col min="3617" max="3617" width="13.5703125" style="84" customWidth="1"/>
    <col min="3618" max="3618" width="2.140625" style="84" customWidth="1"/>
    <col min="3619" max="3619" width="13.5703125" style="84" customWidth="1"/>
    <col min="3620" max="3620" width="2.140625" style="84" customWidth="1"/>
    <col min="3621" max="3622" width="13.5703125" style="84" customWidth="1"/>
    <col min="3623" max="3840" width="9.140625" style="84"/>
    <col min="3841" max="3841" width="3.5703125" style="84" customWidth="1"/>
    <col min="3842" max="3842" width="6.85546875" style="84" bestFit="1" customWidth="1"/>
    <col min="3843" max="3843" width="10.85546875" style="84" bestFit="1" customWidth="1"/>
    <col min="3844" max="3844" width="40.42578125" style="84" bestFit="1" customWidth="1"/>
    <col min="3845" max="3845" width="2.140625" style="84" customWidth="1"/>
    <col min="3846" max="3846" width="9.5703125" style="84" customWidth="1"/>
    <col min="3847" max="3847" width="2.140625" style="84" customWidth="1"/>
    <col min="3848" max="3848" width="13.5703125" style="84" customWidth="1"/>
    <col min="3849" max="3849" width="2.140625" style="84" customWidth="1"/>
    <col min="3850" max="3850" width="13.5703125" style="84" customWidth="1"/>
    <col min="3851" max="3851" width="2.140625" style="84" customWidth="1"/>
    <col min="3852" max="3852" width="13.5703125" style="84" customWidth="1"/>
    <col min="3853" max="3853" width="2.140625" style="84" customWidth="1"/>
    <col min="3854" max="3854" width="13.5703125" style="84" customWidth="1"/>
    <col min="3855" max="3855" width="2.140625" style="84" customWidth="1"/>
    <col min="3856" max="3856" width="13.5703125" style="84" customWidth="1"/>
    <col min="3857" max="3857" width="2.140625" style="84" customWidth="1"/>
    <col min="3858" max="3858" width="13.5703125" style="84" customWidth="1"/>
    <col min="3859" max="3859" width="3.140625" style="84" customWidth="1"/>
    <col min="3860" max="3860" width="3.5703125" style="84" customWidth="1"/>
    <col min="3861" max="3861" width="11.140625" style="84" customWidth="1"/>
    <col min="3862" max="3862" width="11.85546875" style="84" bestFit="1" customWidth="1"/>
    <col min="3863" max="3863" width="40.42578125" style="84" bestFit="1" customWidth="1"/>
    <col min="3864" max="3864" width="2.140625" style="84" customWidth="1"/>
    <col min="3865" max="3865" width="9.5703125" style="84" customWidth="1"/>
    <col min="3866" max="3866" width="2.140625" style="84" customWidth="1"/>
    <col min="3867" max="3867" width="13.5703125" style="84" customWidth="1"/>
    <col min="3868" max="3868" width="2.140625" style="84" customWidth="1"/>
    <col min="3869" max="3869" width="13.5703125" style="84" customWidth="1"/>
    <col min="3870" max="3870" width="2.140625" style="84" customWidth="1"/>
    <col min="3871" max="3871" width="13.5703125" style="84" customWidth="1"/>
    <col min="3872" max="3872" width="2.140625" style="84" customWidth="1"/>
    <col min="3873" max="3873" width="13.5703125" style="84" customWidth="1"/>
    <col min="3874" max="3874" width="2.140625" style="84" customWidth="1"/>
    <col min="3875" max="3875" width="13.5703125" style="84" customWidth="1"/>
    <col min="3876" max="3876" width="2.140625" style="84" customWidth="1"/>
    <col min="3877" max="3878" width="13.5703125" style="84" customWidth="1"/>
    <col min="3879" max="4096" width="9.140625" style="84"/>
    <col min="4097" max="4097" width="3.5703125" style="84" customWidth="1"/>
    <col min="4098" max="4098" width="6.85546875" style="84" bestFit="1" customWidth="1"/>
    <col min="4099" max="4099" width="10.85546875" style="84" bestFit="1" customWidth="1"/>
    <col min="4100" max="4100" width="40.42578125" style="84" bestFit="1" customWidth="1"/>
    <col min="4101" max="4101" width="2.140625" style="84" customWidth="1"/>
    <col min="4102" max="4102" width="9.5703125" style="84" customWidth="1"/>
    <col min="4103" max="4103" width="2.140625" style="84" customWidth="1"/>
    <col min="4104" max="4104" width="13.5703125" style="84" customWidth="1"/>
    <col min="4105" max="4105" width="2.140625" style="84" customWidth="1"/>
    <col min="4106" max="4106" width="13.5703125" style="84" customWidth="1"/>
    <col min="4107" max="4107" width="2.140625" style="84" customWidth="1"/>
    <col min="4108" max="4108" width="13.5703125" style="84" customWidth="1"/>
    <col min="4109" max="4109" width="2.140625" style="84" customWidth="1"/>
    <col min="4110" max="4110" width="13.5703125" style="84" customWidth="1"/>
    <col min="4111" max="4111" width="2.140625" style="84" customWidth="1"/>
    <col min="4112" max="4112" width="13.5703125" style="84" customWidth="1"/>
    <col min="4113" max="4113" width="2.140625" style="84" customWidth="1"/>
    <col min="4114" max="4114" width="13.5703125" style="84" customWidth="1"/>
    <col min="4115" max="4115" width="3.140625" style="84" customWidth="1"/>
    <col min="4116" max="4116" width="3.5703125" style="84" customWidth="1"/>
    <col min="4117" max="4117" width="11.140625" style="84" customWidth="1"/>
    <col min="4118" max="4118" width="11.85546875" style="84" bestFit="1" customWidth="1"/>
    <col min="4119" max="4119" width="40.42578125" style="84" bestFit="1" customWidth="1"/>
    <col min="4120" max="4120" width="2.140625" style="84" customWidth="1"/>
    <col min="4121" max="4121" width="9.5703125" style="84" customWidth="1"/>
    <col min="4122" max="4122" width="2.140625" style="84" customWidth="1"/>
    <col min="4123" max="4123" width="13.5703125" style="84" customWidth="1"/>
    <col min="4124" max="4124" width="2.140625" style="84" customWidth="1"/>
    <col min="4125" max="4125" width="13.5703125" style="84" customWidth="1"/>
    <col min="4126" max="4126" width="2.140625" style="84" customWidth="1"/>
    <col min="4127" max="4127" width="13.5703125" style="84" customWidth="1"/>
    <col min="4128" max="4128" width="2.140625" style="84" customWidth="1"/>
    <col min="4129" max="4129" width="13.5703125" style="84" customWidth="1"/>
    <col min="4130" max="4130" width="2.140625" style="84" customWidth="1"/>
    <col min="4131" max="4131" width="13.5703125" style="84" customWidth="1"/>
    <col min="4132" max="4132" width="2.140625" style="84" customWidth="1"/>
    <col min="4133" max="4134" width="13.5703125" style="84" customWidth="1"/>
    <col min="4135" max="4352" width="9.140625" style="84"/>
    <col min="4353" max="4353" width="3.5703125" style="84" customWidth="1"/>
    <col min="4354" max="4354" width="6.85546875" style="84" bestFit="1" customWidth="1"/>
    <col min="4355" max="4355" width="10.85546875" style="84" bestFit="1" customWidth="1"/>
    <col min="4356" max="4356" width="40.42578125" style="84" bestFit="1" customWidth="1"/>
    <col min="4357" max="4357" width="2.140625" style="84" customWidth="1"/>
    <col min="4358" max="4358" width="9.5703125" style="84" customWidth="1"/>
    <col min="4359" max="4359" width="2.140625" style="84" customWidth="1"/>
    <col min="4360" max="4360" width="13.5703125" style="84" customWidth="1"/>
    <col min="4361" max="4361" width="2.140625" style="84" customWidth="1"/>
    <col min="4362" max="4362" width="13.5703125" style="84" customWidth="1"/>
    <col min="4363" max="4363" width="2.140625" style="84" customWidth="1"/>
    <col min="4364" max="4364" width="13.5703125" style="84" customWidth="1"/>
    <col min="4365" max="4365" width="2.140625" style="84" customWidth="1"/>
    <col min="4366" max="4366" width="13.5703125" style="84" customWidth="1"/>
    <col min="4367" max="4367" width="2.140625" style="84" customWidth="1"/>
    <col min="4368" max="4368" width="13.5703125" style="84" customWidth="1"/>
    <col min="4369" max="4369" width="2.140625" style="84" customWidth="1"/>
    <col min="4370" max="4370" width="13.5703125" style="84" customWidth="1"/>
    <col min="4371" max="4371" width="3.140625" style="84" customWidth="1"/>
    <col min="4372" max="4372" width="3.5703125" style="84" customWidth="1"/>
    <col min="4373" max="4373" width="11.140625" style="84" customWidth="1"/>
    <col min="4374" max="4374" width="11.85546875" style="84" bestFit="1" customWidth="1"/>
    <col min="4375" max="4375" width="40.42578125" style="84" bestFit="1" customWidth="1"/>
    <col min="4376" max="4376" width="2.140625" style="84" customWidth="1"/>
    <col min="4377" max="4377" width="9.5703125" style="84" customWidth="1"/>
    <col min="4378" max="4378" width="2.140625" style="84" customWidth="1"/>
    <col min="4379" max="4379" width="13.5703125" style="84" customWidth="1"/>
    <col min="4380" max="4380" width="2.140625" style="84" customWidth="1"/>
    <col min="4381" max="4381" width="13.5703125" style="84" customWidth="1"/>
    <col min="4382" max="4382" width="2.140625" style="84" customWidth="1"/>
    <col min="4383" max="4383" width="13.5703125" style="84" customWidth="1"/>
    <col min="4384" max="4384" width="2.140625" style="84" customWidth="1"/>
    <col min="4385" max="4385" width="13.5703125" style="84" customWidth="1"/>
    <col min="4386" max="4386" width="2.140625" style="84" customWidth="1"/>
    <col min="4387" max="4387" width="13.5703125" style="84" customWidth="1"/>
    <col min="4388" max="4388" width="2.140625" style="84" customWidth="1"/>
    <col min="4389" max="4390" width="13.5703125" style="84" customWidth="1"/>
    <col min="4391" max="4608" width="9.140625" style="84"/>
    <col min="4609" max="4609" width="3.5703125" style="84" customWidth="1"/>
    <col min="4610" max="4610" width="6.85546875" style="84" bestFit="1" customWidth="1"/>
    <col min="4611" max="4611" width="10.85546875" style="84" bestFit="1" customWidth="1"/>
    <col min="4612" max="4612" width="40.42578125" style="84" bestFit="1" customWidth="1"/>
    <col min="4613" max="4613" width="2.140625" style="84" customWidth="1"/>
    <col min="4614" max="4614" width="9.5703125" style="84" customWidth="1"/>
    <col min="4615" max="4615" width="2.140625" style="84" customWidth="1"/>
    <col min="4616" max="4616" width="13.5703125" style="84" customWidth="1"/>
    <col min="4617" max="4617" width="2.140625" style="84" customWidth="1"/>
    <col min="4618" max="4618" width="13.5703125" style="84" customWidth="1"/>
    <col min="4619" max="4619" width="2.140625" style="84" customWidth="1"/>
    <col min="4620" max="4620" width="13.5703125" style="84" customWidth="1"/>
    <col min="4621" max="4621" width="2.140625" style="84" customWidth="1"/>
    <col min="4622" max="4622" width="13.5703125" style="84" customWidth="1"/>
    <col min="4623" max="4623" width="2.140625" style="84" customWidth="1"/>
    <col min="4624" max="4624" width="13.5703125" style="84" customWidth="1"/>
    <col min="4625" max="4625" width="2.140625" style="84" customWidth="1"/>
    <col min="4626" max="4626" width="13.5703125" style="84" customWidth="1"/>
    <col min="4627" max="4627" width="3.140625" style="84" customWidth="1"/>
    <col min="4628" max="4628" width="3.5703125" style="84" customWidth="1"/>
    <col min="4629" max="4629" width="11.140625" style="84" customWidth="1"/>
    <col min="4630" max="4630" width="11.85546875" style="84" bestFit="1" customWidth="1"/>
    <col min="4631" max="4631" width="40.42578125" style="84" bestFit="1" customWidth="1"/>
    <col min="4632" max="4632" width="2.140625" style="84" customWidth="1"/>
    <col min="4633" max="4633" width="9.5703125" style="84" customWidth="1"/>
    <col min="4634" max="4634" width="2.140625" style="84" customWidth="1"/>
    <col min="4635" max="4635" width="13.5703125" style="84" customWidth="1"/>
    <col min="4636" max="4636" width="2.140625" style="84" customWidth="1"/>
    <col min="4637" max="4637" width="13.5703125" style="84" customWidth="1"/>
    <col min="4638" max="4638" width="2.140625" style="84" customWidth="1"/>
    <col min="4639" max="4639" width="13.5703125" style="84" customWidth="1"/>
    <col min="4640" max="4640" width="2.140625" style="84" customWidth="1"/>
    <col min="4641" max="4641" width="13.5703125" style="84" customWidth="1"/>
    <col min="4642" max="4642" width="2.140625" style="84" customWidth="1"/>
    <col min="4643" max="4643" width="13.5703125" style="84" customWidth="1"/>
    <col min="4644" max="4644" width="2.140625" style="84" customWidth="1"/>
    <col min="4645" max="4646" width="13.5703125" style="84" customWidth="1"/>
    <col min="4647" max="4864" width="9.140625" style="84"/>
    <col min="4865" max="4865" width="3.5703125" style="84" customWidth="1"/>
    <col min="4866" max="4866" width="6.85546875" style="84" bestFit="1" customWidth="1"/>
    <col min="4867" max="4867" width="10.85546875" style="84" bestFit="1" customWidth="1"/>
    <col min="4868" max="4868" width="40.42578125" style="84" bestFit="1" customWidth="1"/>
    <col min="4869" max="4869" width="2.140625" style="84" customWidth="1"/>
    <col min="4870" max="4870" width="9.5703125" style="84" customWidth="1"/>
    <col min="4871" max="4871" width="2.140625" style="84" customWidth="1"/>
    <col min="4872" max="4872" width="13.5703125" style="84" customWidth="1"/>
    <col min="4873" max="4873" width="2.140625" style="84" customWidth="1"/>
    <col min="4874" max="4874" width="13.5703125" style="84" customWidth="1"/>
    <col min="4875" max="4875" width="2.140625" style="84" customWidth="1"/>
    <col min="4876" max="4876" width="13.5703125" style="84" customWidth="1"/>
    <col min="4877" max="4877" width="2.140625" style="84" customWidth="1"/>
    <col min="4878" max="4878" width="13.5703125" style="84" customWidth="1"/>
    <col min="4879" max="4879" width="2.140625" style="84" customWidth="1"/>
    <col min="4880" max="4880" width="13.5703125" style="84" customWidth="1"/>
    <col min="4881" max="4881" width="2.140625" style="84" customWidth="1"/>
    <col min="4882" max="4882" width="13.5703125" style="84" customWidth="1"/>
    <col min="4883" max="4883" width="3.140625" style="84" customWidth="1"/>
    <col min="4884" max="4884" width="3.5703125" style="84" customWidth="1"/>
    <col min="4885" max="4885" width="11.140625" style="84" customWidth="1"/>
    <col min="4886" max="4886" width="11.85546875" style="84" bestFit="1" customWidth="1"/>
    <col min="4887" max="4887" width="40.42578125" style="84" bestFit="1" customWidth="1"/>
    <col min="4888" max="4888" width="2.140625" style="84" customWidth="1"/>
    <col min="4889" max="4889" width="9.5703125" style="84" customWidth="1"/>
    <col min="4890" max="4890" width="2.140625" style="84" customWidth="1"/>
    <col min="4891" max="4891" width="13.5703125" style="84" customWidth="1"/>
    <col min="4892" max="4892" width="2.140625" style="84" customWidth="1"/>
    <col min="4893" max="4893" width="13.5703125" style="84" customWidth="1"/>
    <col min="4894" max="4894" width="2.140625" style="84" customWidth="1"/>
    <col min="4895" max="4895" width="13.5703125" style="84" customWidth="1"/>
    <col min="4896" max="4896" width="2.140625" style="84" customWidth="1"/>
    <col min="4897" max="4897" width="13.5703125" style="84" customWidth="1"/>
    <col min="4898" max="4898" width="2.140625" style="84" customWidth="1"/>
    <col min="4899" max="4899" width="13.5703125" style="84" customWidth="1"/>
    <col min="4900" max="4900" width="2.140625" style="84" customWidth="1"/>
    <col min="4901" max="4902" width="13.5703125" style="84" customWidth="1"/>
    <col min="4903" max="5120" width="9.140625" style="84"/>
    <col min="5121" max="5121" width="3.5703125" style="84" customWidth="1"/>
    <col min="5122" max="5122" width="6.85546875" style="84" bestFit="1" customWidth="1"/>
    <col min="5123" max="5123" width="10.85546875" style="84" bestFit="1" customWidth="1"/>
    <col min="5124" max="5124" width="40.42578125" style="84" bestFit="1" customWidth="1"/>
    <col min="5125" max="5125" width="2.140625" style="84" customWidth="1"/>
    <col min="5126" max="5126" width="9.5703125" style="84" customWidth="1"/>
    <col min="5127" max="5127" width="2.140625" style="84" customWidth="1"/>
    <col min="5128" max="5128" width="13.5703125" style="84" customWidth="1"/>
    <col min="5129" max="5129" width="2.140625" style="84" customWidth="1"/>
    <col min="5130" max="5130" width="13.5703125" style="84" customWidth="1"/>
    <col min="5131" max="5131" width="2.140625" style="84" customWidth="1"/>
    <col min="5132" max="5132" width="13.5703125" style="84" customWidth="1"/>
    <col min="5133" max="5133" width="2.140625" style="84" customWidth="1"/>
    <col min="5134" max="5134" width="13.5703125" style="84" customWidth="1"/>
    <col min="5135" max="5135" width="2.140625" style="84" customWidth="1"/>
    <col min="5136" max="5136" width="13.5703125" style="84" customWidth="1"/>
    <col min="5137" max="5137" width="2.140625" style="84" customWidth="1"/>
    <col min="5138" max="5138" width="13.5703125" style="84" customWidth="1"/>
    <col min="5139" max="5139" width="3.140625" style="84" customWidth="1"/>
    <col min="5140" max="5140" width="3.5703125" style="84" customWidth="1"/>
    <col min="5141" max="5141" width="11.140625" style="84" customWidth="1"/>
    <col min="5142" max="5142" width="11.85546875" style="84" bestFit="1" customWidth="1"/>
    <col min="5143" max="5143" width="40.42578125" style="84" bestFit="1" customWidth="1"/>
    <col min="5144" max="5144" width="2.140625" style="84" customWidth="1"/>
    <col min="5145" max="5145" width="9.5703125" style="84" customWidth="1"/>
    <col min="5146" max="5146" width="2.140625" style="84" customWidth="1"/>
    <col min="5147" max="5147" width="13.5703125" style="84" customWidth="1"/>
    <col min="5148" max="5148" width="2.140625" style="84" customWidth="1"/>
    <col min="5149" max="5149" width="13.5703125" style="84" customWidth="1"/>
    <col min="5150" max="5150" width="2.140625" style="84" customWidth="1"/>
    <col min="5151" max="5151" width="13.5703125" style="84" customWidth="1"/>
    <col min="5152" max="5152" width="2.140625" style="84" customWidth="1"/>
    <col min="5153" max="5153" width="13.5703125" style="84" customWidth="1"/>
    <col min="5154" max="5154" width="2.140625" style="84" customWidth="1"/>
    <col min="5155" max="5155" width="13.5703125" style="84" customWidth="1"/>
    <col min="5156" max="5156" width="2.140625" style="84" customWidth="1"/>
    <col min="5157" max="5158" width="13.5703125" style="84" customWidth="1"/>
    <col min="5159" max="5376" width="9.140625" style="84"/>
    <col min="5377" max="5377" width="3.5703125" style="84" customWidth="1"/>
    <col min="5378" max="5378" width="6.85546875" style="84" bestFit="1" customWidth="1"/>
    <col min="5379" max="5379" width="10.85546875" style="84" bestFit="1" customWidth="1"/>
    <col min="5380" max="5380" width="40.42578125" style="84" bestFit="1" customWidth="1"/>
    <col min="5381" max="5381" width="2.140625" style="84" customWidth="1"/>
    <col min="5382" max="5382" width="9.5703125" style="84" customWidth="1"/>
    <col min="5383" max="5383" width="2.140625" style="84" customWidth="1"/>
    <col min="5384" max="5384" width="13.5703125" style="84" customWidth="1"/>
    <col min="5385" max="5385" width="2.140625" style="84" customWidth="1"/>
    <col min="5386" max="5386" width="13.5703125" style="84" customWidth="1"/>
    <col min="5387" max="5387" width="2.140625" style="84" customWidth="1"/>
    <col min="5388" max="5388" width="13.5703125" style="84" customWidth="1"/>
    <col min="5389" max="5389" width="2.140625" style="84" customWidth="1"/>
    <col min="5390" max="5390" width="13.5703125" style="84" customWidth="1"/>
    <col min="5391" max="5391" width="2.140625" style="84" customWidth="1"/>
    <col min="5392" max="5392" width="13.5703125" style="84" customWidth="1"/>
    <col min="5393" max="5393" width="2.140625" style="84" customWidth="1"/>
    <col min="5394" max="5394" width="13.5703125" style="84" customWidth="1"/>
    <col min="5395" max="5395" width="3.140625" style="84" customWidth="1"/>
    <col min="5396" max="5396" width="3.5703125" style="84" customWidth="1"/>
    <col min="5397" max="5397" width="11.140625" style="84" customWidth="1"/>
    <col min="5398" max="5398" width="11.85546875" style="84" bestFit="1" customWidth="1"/>
    <col min="5399" max="5399" width="40.42578125" style="84" bestFit="1" customWidth="1"/>
    <col min="5400" max="5400" width="2.140625" style="84" customWidth="1"/>
    <col min="5401" max="5401" width="9.5703125" style="84" customWidth="1"/>
    <col min="5402" max="5402" width="2.140625" style="84" customWidth="1"/>
    <col min="5403" max="5403" width="13.5703125" style="84" customWidth="1"/>
    <col min="5404" max="5404" width="2.140625" style="84" customWidth="1"/>
    <col min="5405" max="5405" width="13.5703125" style="84" customWidth="1"/>
    <col min="5406" max="5406" width="2.140625" style="84" customWidth="1"/>
    <col min="5407" max="5407" width="13.5703125" style="84" customWidth="1"/>
    <col min="5408" max="5408" width="2.140625" style="84" customWidth="1"/>
    <col min="5409" max="5409" width="13.5703125" style="84" customWidth="1"/>
    <col min="5410" max="5410" width="2.140625" style="84" customWidth="1"/>
    <col min="5411" max="5411" width="13.5703125" style="84" customWidth="1"/>
    <col min="5412" max="5412" width="2.140625" style="84" customWidth="1"/>
    <col min="5413" max="5414" width="13.5703125" style="84" customWidth="1"/>
    <col min="5415" max="5632" width="9.140625" style="84"/>
    <col min="5633" max="5633" width="3.5703125" style="84" customWidth="1"/>
    <col min="5634" max="5634" width="6.85546875" style="84" bestFit="1" customWidth="1"/>
    <col min="5635" max="5635" width="10.85546875" style="84" bestFit="1" customWidth="1"/>
    <col min="5636" max="5636" width="40.42578125" style="84" bestFit="1" customWidth="1"/>
    <col min="5637" max="5637" width="2.140625" style="84" customWidth="1"/>
    <col min="5638" max="5638" width="9.5703125" style="84" customWidth="1"/>
    <col min="5639" max="5639" width="2.140625" style="84" customWidth="1"/>
    <col min="5640" max="5640" width="13.5703125" style="84" customWidth="1"/>
    <col min="5641" max="5641" width="2.140625" style="84" customWidth="1"/>
    <col min="5642" max="5642" width="13.5703125" style="84" customWidth="1"/>
    <col min="5643" max="5643" width="2.140625" style="84" customWidth="1"/>
    <col min="5644" max="5644" width="13.5703125" style="84" customWidth="1"/>
    <col min="5645" max="5645" width="2.140625" style="84" customWidth="1"/>
    <col min="5646" max="5646" width="13.5703125" style="84" customWidth="1"/>
    <col min="5647" max="5647" width="2.140625" style="84" customWidth="1"/>
    <col min="5648" max="5648" width="13.5703125" style="84" customWidth="1"/>
    <col min="5649" max="5649" width="2.140625" style="84" customWidth="1"/>
    <col min="5650" max="5650" width="13.5703125" style="84" customWidth="1"/>
    <col min="5651" max="5651" width="3.140625" style="84" customWidth="1"/>
    <col min="5652" max="5652" width="3.5703125" style="84" customWidth="1"/>
    <col min="5653" max="5653" width="11.140625" style="84" customWidth="1"/>
    <col min="5654" max="5654" width="11.85546875" style="84" bestFit="1" customWidth="1"/>
    <col min="5655" max="5655" width="40.42578125" style="84" bestFit="1" customWidth="1"/>
    <col min="5656" max="5656" width="2.140625" style="84" customWidth="1"/>
    <col min="5657" max="5657" width="9.5703125" style="84" customWidth="1"/>
    <col min="5658" max="5658" width="2.140625" style="84" customWidth="1"/>
    <col min="5659" max="5659" width="13.5703125" style="84" customWidth="1"/>
    <col min="5660" max="5660" width="2.140625" style="84" customWidth="1"/>
    <col min="5661" max="5661" width="13.5703125" style="84" customWidth="1"/>
    <col min="5662" max="5662" width="2.140625" style="84" customWidth="1"/>
    <col min="5663" max="5663" width="13.5703125" style="84" customWidth="1"/>
    <col min="5664" max="5664" width="2.140625" style="84" customWidth="1"/>
    <col min="5665" max="5665" width="13.5703125" style="84" customWidth="1"/>
    <col min="5666" max="5666" width="2.140625" style="84" customWidth="1"/>
    <col min="5667" max="5667" width="13.5703125" style="84" customWidth="1"/>
    <col min="5668" max="5668" width="2.140625" style="84" customWidth="1"/>
    <col min="5669" max="5670" width="13.5703125" style="84" customWidth="1"/>
    <col min="5671" max="5888" width="9.140625" style="84"/>
    <col min="5889" max="5889" width="3.5703125" style="84" customWidth="1"/>
    <col min="5890" max="5890" width="6.85546875" style="84" bestFit="1" customWidth="1"/>
    <col min="5891" max="5891" width="10.85546875" style="84" bestFit="1" customWidth="1"/>
    <col min="5892" max="5892" width="40.42578125" style="84" bestFit="1" customWidth="1"/>
    <col min="5893" max="5893" width="2.140625" style="84" customWidth="1"/>
    <col min="5894" max="5894" width="9.5703125" style="84" customWidth="1"/>
    <col min="5895" max="5895" width="2.140625" style="84" customWidth="1"/>
    <col min="5896" max="5896" width="13.5703125" style="84" customWidth="1"/>
    <col min="5897" max="5897" width="2.140625" style="84" customWidth="1"/>
    <col min="5898" max="5898" width="13.5703125" style="84" customWidth="1"/>
    <col min="5899" max="5899" width="2.140625" style="84" customWidth="1"/>
    <col min="5900" max="5900" width="13.5703125" style="84" customWidth="1"/>
    <col min="5901" max="5901" width="2.140625" style="84" customWidth="1"/>
    <col min="5902" max="5902" width="13.5703125" style="84" customWidth="1"/>
    <col min="5903" max="5903" width="2.140625" style="84" customWidth="1"/>
    <col min="5904" max="5904" width="13.5703125" style="84" customWidth="1"/>
    <col min="5905" max="5905" width="2.140625" style="84" customWidth="1"/>
    <col min="5906" max="5906" width="13.5703125" style="84" customWidth="1"/>
    <col min="5907" max="5907" width="3.140625" style="84" customWidth="1"/>
    <col min="5908" max="5908" width="3.5703125" style="84" customWidth="1"/>
    <col min="5909" max="5909" width="11.140625" style="84" customWidth="1"/>
    <col min="5910" max="5910" width="11.85546875" style="84" bestFit="1" customWidth="1"/>
    <col min="5911" max="5911" width="40.42578125" style="84" bestFit="1" customWidth="1"/>
    <col min="5912" max="5912" width="2.140625" style="84" customWidth="1"/>
    <col min="5913" max="5913" width="9.5703125" style="84" customWidth="1"/>
    <col min="5914" max="5914" width="2.140625" style="84" customWidth="1"/>
    <col min="5915" max="5915" width="13.5703125" style="84" customWidth="1"/>
    <col min="5916" max="5916" width="2.140625" style="84" customWidth="1"/>
    <col min="5917" max="5917" width="13.5703125" style="84" customWidth="1"/>
    <col min="5918" max="5918" width="2.140625" style="84" customWidth="1"/>
    <col min="5919" max="5919" width="13.5703125" style="84" customWidth="1"/>
    <col min="5920" max="5920" width="2.140625" style="84" customWidth="1"/>
    <col min="5921" max="5921" width="13.5703125" style="84" customWidth="1"/>
    <col min="5922" max="5922" width="2.140625" style="84" customWidth="1"/>
    <col min="5923" max="5923" width="13.5703125" style="84" customWidth="1"/>
    <col min="5924" max="5924" width="2.140625" style="84" customWidth="1"/>
    <col min="5925" max="5926" width="13.5703125" style="84" customWidth="1"/>
    <col min="5927" max="6144" width="9.140625" style="84"/>
    <col min="6145" max="6145" width="3.5703125" style="84" customWidth="1"/>
    <col min="6146" max="6146" width="6.85546875" style="84" bestFit="1" customWidth="1"/>
    <col min="6147" max="6147" width="10.85546875" style="84" bestFit="1" customWidth="1"/>
    <col min="6148" max="6148" width="40.42578125" style="84" bestFit="1" customWidth="1"/>
    <col min="6149" max="6149" width="2.140625" style="84" customWidth="1"/>
    <col min="6150" max="6150" width="9.5703125" style="84" customWidth="1"/>
    <col min="6151" max="6151" width="2.140625" style="84" customWidth="1"/>
    <col min="6152" max="6152" width="13.5703125" style="84" customWidth="1"/>
    <col min="6153" max="6153" width="2.140625" style="84" customWidth="1"/>
    <col min="6154" max="6154" width="13.5703125" style="84" customWidth="1"/>
    <col min="6155" max="6155" width="2.140625" style="84" customWidth="1"/>
    <col min="6156" max="6156" width="13.5703125" style="84" customWidth="1"/>
    <col min="6157" max="6157" width="2.140625" style="84" customWidth="1"/>
    <col min="6158" max="6158" width="13.5703125" style="84" customWidth="1"/>
    <col min="6159" max="6159" width="2.140625" style="84" customWidth="1"/>
    <col min="6160" max="6160" width="13.5703125" style="84" customWidth="1"/>
    <col min="6161" max="6161" width="2.140625" style="84" customWidth="1"/>
    <col min="6162" max="6162" width="13.5703125" style="84" customWidth="1"/>
    <col min="6163" max="6163" width="3.140625" style="84" customWidth="1"/>
    <col min="6164" max="6164" width="3.5703125" style="84" customWidth="1"/>
    <col min="6165" max="6165" width="11.140625" style="84" customWidth="1"/>
    <col min="6166" max="6166" width="11.85546875" style="84" bestFit="1" customWidth="1"/>
    <col min="6167" max="6167" width="40.42578125" style="84" bestFit="1" customWidth="1"/>
    <col min="6168" max="6168" width="2.140625" style="84" customWidth="1"/>
    <col min="6169" max="6169" width="9.5703125" style="84" customWidth="1"/>
    <col min="6170" max="6170" width="2.140625" style="84" customWidth="1"/>
    <col min="6171" max="6171" width="13.5703125" style="84" customWidth="1"/>
    <col min="6172" max="6172" width="2.140625" style="84" customWidth="1"/>
    <col min="6173" max="6173" width="13.5703125" style="84" customWidth="1"/>
    <col min="6174" max="6174" width="2.140625" style="84" customWidth="1"/>
    <col min="6175" max="6175" width="13.5703125" style="84" customWidth="1"/>
    <col min="6176" max="6176" width="2.140625" style="84" customWidth="1"/>
    <col min="6177" max="6177" width="13.5703125" style="84" customWidth="1"/>
    <col min="6178" max="6178" width="2.140625" style="84" customWidth="1"/>
    <col min="6179" max="6179" width="13.5703125" style="84" customWidth="1"/>
    <col min="6180" max="6180" width="2.140625" style="84" customWidth="1"/>
    <col min="6181" max="6182" width="13.5703125" style="84" customWidth="1"/>
    <col min="6183" max="6400" width="9.140625" style="84"/>
    <col min="6401" max="6401" width="3.5703125" style="84" customWidth="1"/>
    <col min="6402" max="6402" width="6.85546875" style="84" bestFit="1" customWidth="1"/>
    <col min="6403" max="6403" width="10.85546875" style="84" bestFit="1" customWidth="1"/>
    <col min="6404" max="6404" width="40.42578125" style="84" bestFit="1" customWidth="1"/>
    <col min="6405" max="6405" width="2.140625" style="84" customWidth="1"/>
    <col min="6406" max="6406" width="9.5703125" style="84" customWidth="1"/>
    <col min="6407" max="6407" width="2.140625" style="84" customWidth="1"/>
    <col min="6408" max="6408" width="13.5703125" style="84" customWidth="1"/>
    <col min="6409" max="6409" width="2.140625" style="84" customWidth="1"/>
    <col min="6410" max="6410" width="13.5703125" style="84" customWidth="1"/>
    <col min="6411" max="6411" width="2.140625" style="84" customWidth="1"/>
    <col min="6412" max="6412" width="13.5703125" style="84" customWidth="1"/>
    <col min="6413" max="6413" width="2.140625" style="84" customWidth="1"/>
    <col min="6414" max="6414" width="13.5703125" style="84" customWidth="1"/>
    <col min="6415" max="6415" width="2.140625" style="84" customWidth="1"/>
    <col min="6416" max="6416" width="13.5703125" style="84" customWidth="1"/>
    <col min="6417" max="6417" width="2.140625" style="84" customWidth="1"/>
    <col min="6418" max="6418" width="13.5703125" style="84" customWidth="1"/>
    <col min="6419" max="6419" width="3.140625" style="84" customWidth="1"/>
    <col min="6420" max="6420" width="3.5703125" style="84" customWidth="1"/>
    <col min="6421" max="6421" width="11.140625" style="84" customWidth="1"/>
    <col min="6422" max="6422" width="11.85546875" style="84" bestFit="1" customWidth="1"/>
    <col min="6423" max="6423" width="40.42578125" style="84" bestFit="1" customWidth="1"/>
    <col min="6424" max="6424" width="2.140625" style="84" customWidth="1"/>
    <col min="6425" max="6425" width="9.5703125" style="84" customWidth="1"/>
    <col min="6426" max="6426" width="2.140625" style="84" customWidth="1"/>
    <col min="6427" max="6427" width="13.5703125" style="84" customWidth="1"/>
    <col min="6428" max="6428" width="2.140625" style="84" customWidth="1"/>
    <col min="6429" max="6429" width="13.5703125" style="84" customWidth="1"/>
    <col min="6430" max="6430" width="2.140625" style="84" customWidth="1"/>
    <col min="6431" max="6431" width="13.5703125" style="84" customWidth="1"/>
    <col min="6432" max="6432" width="2.140625" style="84" customWidth="1"/>
    <col min="6433" max="6433" width="13.5703125" style="84" customWidth="1"/>
    <col min="6434" max="6434" width="2.140625" style="84" customWidth="1"/>
    <col min="6435" max="6435" width="13.5703125" style="84" customWidth="1"/>
    <col min="6436" max="6436" width="2.140625" style="84" customWidth="1"/>
    <col min="6437" max="6438" width="13.5703125" style="84" customWidth="1"/>
    <col min="6439" max="6656" width="9.140625" style="84"/>
    <col min="6657" max="6657" width="3.5703125" style="84" customWidth="1"/>
    <col min="6658" max="6658" width="6.85546875" style="84" bestFit="1" customWidth="1"/>
    <col min="6659" max="6659" width="10.85546875" style="84" bestFit="1" customWidth="1"/>
    <col min="6660" max="6660" width="40.42578125" style="84" bestFit="1" customWidth="1"/>
    <col min="6661" max="6661" width="2.140625" style="84" customWidth="1"/>
    <col min="6662" max="6662" width="9.5703125" style="84" customWidth="1"/>
    <col min="6663" max="6663" width="2.140625" style="84" customWidth="1"/>
    <col min="6664" max="6664" width="13.5703125" style="84" customWidth="1"/>
    <col min="6665" max="6665" width="2.140625" style="84" customWidth="1"/>
    <col min="6666" max="6666" width="13.5703125" style="84" customWidth="1"/>
    <col min="6667" max="6667" width="2.140625" style="84" customWidth="1"/>
    <col min="6668" max="6668" width="13.5703125" style="84" customWidth="1"/>
    <col min="6669" max="6669" width="2.140625" style="84" customWidth="1"/>
    <col min="6670" max="6670" width="13.5703125" style="84" customWidth="1"/>
    <col min="6671" max="6671" width="2.140625" style="84" customWidth="1"/>
    <col min="6672" max="6672" width="13.5703125" style="84" customWidth="1"/>
    <col min="6673" max="6673" width="2.140625" style="84" customWidth="1"/>
    <col min="6674" max="6674" width="13.5703125" style="84" customWidth="1"/>
    <col min="6675" max="6675" width="3.140625" style="84" customWidth="1"/>
    <col min="6676" max="6676" width="3.5703125" style="84" customWidth="1"/>
    <col min="6677" max="6677" width="11.140625" style="84" customWidth="1"/>
    <col min="6678" max="6678" width="11.85546875" style="84" bestFit="1" customWidth="1"/>
    <col min="6679" max="6679" width="40.42578125" style="84" bestFit="1" customWidth="1"/>
    <col min="6680" max="6680" width="2.140625" style="84" customWidth="1"/>
    <col min="6681" max="6681" width="9.5703125" style="84" customWidth="1"/>
    <col min="6682" max="6682" width="2.140625" style="84" customWidth="1"/>
    <col min="6683" max="6683" width="13.5703125" style="84" customWidth="1"/>
    <col min="6684" max="6684" width="2.140625" style="84" customWidth="1"/>
    <col min="6685" max="6685" width="13.5703125" style="84" customWidth="1"/>
    <col min="6686" max="6686" width="2.140625" style="84" customWidth="1"/>
    <col min="6687" max="6687" width="13.5703125" style="84" customWidth="1"/>
    <col min="6688" max="6688" width="2.140625" style="84" customWidth="1"/>
    <col min="6689" max="6689" width="13.5703125" style="84" customWidth="1"/>
    <col min="6690" max="6690" width="2.140625" style="84" customWidth="1"/>
    <col min="6691" max="6691" width="13.5703125" style="84" customWidth="1"/>
    <col min="6692" max="6692" width="2.140625" style="84" customWidth="1"/>
    <col min="6693" max="6694" width="13.5703125" style="84" customWidth="1"/>
    <col min="6695" max="6912" width="9.140625" style="84"/>
    <col min="6913" max="6913" width="3.5703125" style="84" customWidth="1"/>
    <col min="6914" max="6914" width="6.85546875" style="84" bestFit="1" customWidth="1"/>
    <col min="6915" max="6915" width="10.85546875" style="84" bestFit="1" customWidth="1"/>
    <col min="6916" max="6916" width="40.42578125" style="84" bestFit="1" customWidth="1"/>
    <col min="6917" max="6917" width="2.140625" style="84" customWidth="1"/>
    <col min="6918" max="6918" width="9.5703125" style="84" customWidth="1"/>
    <col min="6919" max="6919" width="2.140625" style="84" customWidth="1"/>
    <col min="6920" max="6920" width="13.5703125" style="84" customWidth="1"/>
    <col min="6921" max="6921" width="2.140625" style="84" customWidth="1"/>
    <col min="6922" max="6922" width="13.5703125" style="84" customWidth="1"/>
    <col min="6923" max="6923" width="2.140625" style="84" customWidth="1"/>
    <col min="6924" max="6924" width="13.5703125" style="84" customWidth="1"/>
    <col min="6925" max="6925" width="2.140625" style="84" customWidth="1"/>
    <col min="6926" max="6926" width="13.5703125" style="84" customWidth="1"/>
    <col min="6927" max="6927" width="2.140625" style="84" customWidth="1"/>
    <col min="6928" max="6928" width="13.5703125" style="84" customWidth="1"/>
    <col min="6929" max="6929" width="2.140625" style="84" customWidth="1"/>
    <col min="6930" max="6930" width="13.5703125" style="84" customWidth="1"/>
    <col min="6931" max="6931" width="3.140625" style="84" customWidth="1"/>
    <col min="6932" max="6932" width="3.5703125" style="84" customWidth="1"/>
    <col min="6933" max="6933" width="11.140625" style="84" customWidth="1"/>
    <col min="6934" max="6934" width="11.85546875" style="84" bestFit="1" customWidth="1"/>
    <col min="6935" max="6935" width="40.42578125" style="84" bestFit="1" customWidth="1"/>
    <col min="6936" max="6936" width="2.140625" style="84" customWidth="1"/>
    <col min="6937" max="6937" width="9.5703125" style="84" customWidth="1"/>
    <col min="6938" max="6938" width="2.140625" style="84" customWidth="1"/>
    <col min="6939" max="6939" width="13.5703125" style="84" customWidth="1"/>
    <col min="6940" max="6940" width="2.140625" style="84" customWidth="1"/>
    <col min="6941" max="6941" width="13.5703125" style="84" customWidth="1"/>
    <col min="6942" max="6942" width="2.140625" style="84" customWidth="1"/>
    <col min="6943" max="6943" width="13.5703125" style="84" customWidth="1"/>
    <col min="6944" max="6944" width="2.140625" style="84" customWidth="1"/>
    <col min="6945" max="6945" width="13.5703125" style="84" customWidth="1"/>
    <col min="6946" max="6946" width="2.140625" style="84" customWidth="1"/>
    <col min="6947" max="6947" width="13.5703125" style="84" customWidth="1"/>
    <col min="6948" max="6948" width="2.140625" style="84" customWidth="1"/>
    <col min="6949" max="6950" width="13.5703125" style="84" customWidth="1"/>
    <col min="6951" max="7168" width="9.140625" style="84"/>
    <col min="7169" max="7169" width="3.5703125" style="84" customWidth="1"/>
    <col min="7170" max="7170" width="6.85546875" style="84" bestFit="1" customWidth="1"/>
    <col min="7171" max="7171" width="10.85546875" style="84" bestFit="1" customWidth="1"/>
    <col min="7172" max="7172" width="40.42578125" style="84" bestFit="1" customWidth="1"/>
    <col min="7173" max="7173" width="2.140625" style="84" customWidth="1"/>
    <col min="7174" max="7174" width="9.5703125" style="84" customWidth="1"/>
    <col min="7175" max="7175" width="2.140625" style="84" customWidth="1"/>
    <col min="7176" max="7176" width="13.5703125" style="84" customWidth="1"/>
    <col min="7177" max="7177" width="2.140625" style="84" customWidth="1"/>
    <col min="7178" max="7178" width="13.5703125" style="84" customWidth="1"/>
    <col min="7179" max="7179" width="2.140625" style="84" customWidth="1"/>
    <col min="7180" max="7180" width="13.5703125" style="84" customWidth="1"/>
    <col min="7181" max="7181" width="2.140625" style="84" customWidth="1"/>
    <col min="7182" max="7182" width="13.5703125" style="84" customWidth="1"/>
    <col min="7183" max="7183" width="2.140625" style="84" customWidth="1"/>
    <col min="7184" max="7184" width="13.5703125" style="84" customWidth="1"/>
    <col min="7185" max="7185" width="2.140625" style="84" customWidth="1"/>
    <col min="7186" max="7186" width="13.5703125" style="84" customWidth="1"/>
    <col min="7187" max="7187" width="3.140625" style="84" customWidth="1"/>
    <col min="7188" max="7188" width="3.5703125" style="84" customWidth="1"/>
    <col min="7189" max="7189" width="11.140625" style="84" customWidth="1"/>
    <col min="7190" max="7190" width="11.85546875" style="84" bestFit="1" customWidth="1"/>
    <col min="7191" max="7191" width="40.42578125" style="84" bestFit="1" customWidth="1"/>
    <col min="7192" max="7192" width="2.140625" style="84" customWidth="1"/>
    <col min="7193" max="7193" width="9.5703125" style="84" customWidth="1"/>
    <col min="7194" max="7194" width="2.140625" style="84" customWidth="1"/>
    <col min="7195" max="7195" width="13.5703125" style="84" customWidth="1"/>
    <col min="7196" max="7196" width="2.140625" style="84" customWidth="1"/>
    <col min="7197" max="7197" width="13.5703125" style="84" customWidth="1"/>
    <col min="7198" max="7198" width="2.140625" style="84" customWidth="1"/>
    <col min="7199" max="7199" width="13.5703125" style="84" customWidth="1"/>
    <col min="7200" max="7200" width="2.140625" style="84" customWidth="1"/>
    <col min="7201" max="7201" width="13.5703125" style="84" customWidth="1"/>
    <col min="7202" max="7202" width="2.140625" style="84" customWidth="1"/>
    <col min="7203" max="7203" width="13.5703125" style="84" customWidth="1"/>
    <col min="7204" max="7204" width="2.140625" style="84" customWidth="1"/>
    <col min="7205" max="7206" width="13.5703125" style="84" customWidth="1"/>
    <col min="7207" max="7424" width="9.140625" style="84"/>
    <col min="7425" max="7425" width="3.5703125" style="84" customWidth="1"/>
    <col min="7426" max="7426" width="6.85546875" style="84" bestFit="1" customWidth="1"/>
    <col min="7427" max="7427" width="10.85546875" style="84" bestFit="1" customWidth="1"/>
    <col min="7428" max="7428" width="40.42578125" style="84" bestFit="1" customWidth="1"/>
    <col min="7429" max="7429" width="2.140625" style="84" customWidth="1"/>
    <col min="7430" max="7430" width="9.5703125" style="84" customWidth="1"/>
    <col min="7431" max="7431" width="2.140625" style="84" customWidth="1"/>
    <col min="7432" max="7432" width="13.5703125" style="84" customWidth="1"/>
    <col min="7433" max="7433" width="2.140625" style="84" customWidth="1"/>
    <col min="7434" max="7434" width="13.5703125" style="84" customWidth="1"/>
    <col min="7435" max="7435" width="2.140625" style="84" customWidth="1"/>
    <col min="7436" max="7436" width="13.5703125" style="84" customWidth="1"/>
    <col min="7437" max="7437" width="2.140625" style="84" customWidth="1"/>
    <col min="7438" max="7438" width="13.5703125" style="84" customWidth="1"/>
    <col min="7439" max="7439" width="2.140625" style="84" customWidth="1"/>
    <col min="7440" max="7440" width="13.5703125" style="84" customWidth="1"/>
    <col min="7441" max="7441" width="2.140625" style="84" customWidth="1"/>
    <col min="7442" max="7442" width="13.5703125" style="84" customWidth="1"/>
    <col min="7443" max="7443" width="3.140625" style="84" customWidth="1"/>
    <col min="7444" max="7444" width="3.5703125" style="84" customWidth="1"/>
    <col min="7445" max="7445" width="11.140625" style="84" customWidth="1"/>
    <col min="7446" max="7446" width="11.85546875" style="84" bestFit="1" customWidth="1"/>
    <col min="7447" max="7447" width="40.42578125" style="84" bestFit="1" customWidth="1"/>
    <col min="7448" max="7448" width="2.140625" style="84" customWidth="1"/>
    <col min="7449" max="7449" width="9.5703125" style="84" customWidth="1"/>
    <col min="7450" max="7450" width="2.140625" style="84" customWidth="1"/>
    <col min="7451" max="7451" width="13.5703125" style="84" customWidth="1"/>
    <col min="7452" max="7452" width="2.140625" style="84" customWidth="1"/>
    <col min="7453" max="7453" width="13.5703125" style="84" customWidth="1"/>
    <col min="7454" max="7454" width="2.140625" style="84" customWidth="1"/>
    <col min="7455" max="7455" width="13.5703125" style="84" customWidth="1"/>
    <col min="7456" max="7456" width="2.140625" style="84" customWidth="1"/>
    <col min="7457" max="7457" width="13.5703125" style="84" customWidth="1"/>
    <col min="7458" max="7458" width="2.140625" style="84" customWidth="1"/>
    <col min="7459" max="7459" width="13.5703125" style="84" customWidth="1"/>
    <col min="7460" max="7460" width="2.140625" style="84" customWidth="1"/>
    <col min="7461" max="7462" width="13.5703125" style="84" customWidth="1"/>
    <col min="7463" max="7680" width="9.140625" style="84"/>
    <col min="7681" max="7681" width="3.5703125" style="84" customWidth="1"/>
    <col min="7682" max="7682" width="6.85546875" style="84" bestFit="1" customWidth="1"/>
    <col min="7683" max="7683" width="10.85546875" style="84" bestFit="1" customWidth="1"/>
    <col min="7684" max="7684" width="40.42578125" style="84" bestFit="1" customWidth="1"/>
    <col min="7685" max="7685" width="2.140625" style="84" customWidth="1"/>
    <col min="7686" max="7686" width="9.5703125" style="84" customWidth="1"/>
    <col min="7687" max="7687" width="2.140625" style="84" customWidth="1"/>
    <col min="7688" max="7688" width="13.5703125" style="84" customWidth="1"/>
    <col min="7689" max="7689" width="2.140625" style="84" customWidth="1"/>
    <col min="7690" max="7690" width="13.5703125" style="84" customWidth="1"/>
    <col min="7691" max="7691" width="2.140625" style="84" customWidth="1"/>
    <col min="7692" max="7692" width="13.5703125" style="84" customWidth="1"/>
    <col min="7693" max="7693" width="2.140625" style="84" customWidth="1"/>
    <col min="7694" max="7694" width="13.5703125" style="84" customWidth="1"/>
    <col min="7695" max="7695" width="2.140625" style="84" customWidth="1"/>
    <col min="7696" max="7696" width="13.5703125" style="84" customWidth="1"/>
    <col min="7697" max="7697" width="2.140625" style="84" customWidth="1"/>
    <col min="7698" max="7698" width="13.5703125" style="84" customWidth="1"/>
    <col min="7699" max="7699" width="3.140625" style="84" customWidth="1"/>
    <col min="7700" max="7700" width="3.5703125" style="84" customWidth="1"/>
    <col min="7701" max="7701" width="11.140625" style="84" customWidth="1"/>
    <col min="7702" max="7702" width="11.85546875" style="84" bestFit="1" customWidth="1"/>
    <col min="7703" max="7703" width="40.42578125" style="84" bestFit="1" customWidth="1"/>
    <col min="7704" max="7704" width="2.140625" style="84" customWidth="1"/>
    <col min="7705" max="7705" width="9.5703125" style="84" customWidth="1"/>
    <col min="7706" max="7706" width="2.140625" style="84" customWidth="1"/>
    <col min="7707" max="7707" width="13.5703125" style="84" customWidth="1"/>
    <col min="7708" max="7708" width="2.140625" style="84" customWidth="1"/>
    <col min="7709" max="7709" width="13.5703125" style="84" customWidth="1"/>
    <col min="7710" max="7710" width="2.140625" style="84" customWidth="1"/>
    <col min="7711" max="7711" width="13.5703125" style="84" customWidth="1"/>
    <col min="7712" max="7712" width="2.140625" style="84" customWidth="1"/>
    <col min="7713" max="7713" width="13.5703125" style="84" customWidth="1"/>
    <col min="7714" max="7714" width="2.140625" style="84" customWidth="1"/>
    <col min="7715" max="7715" width="13.5703125" style="84" customWidth="1"/>
    <col min="7716" max="7716" width="2.140625" style="84" customWidth="1"/>
    <col min="7717" max="7718" width="13.5703125" style="84" customWidth="1"/>
    <col min="7719" max="7936" width="9.140625" style="84"/>
    <col min="7937" max="7937" width="3.5703125" style="84" customWidth="1"/>
    <col min="7938" max="7938" width="6.85546875" style="84" bestFit="1" customWidth="1"/>
    <col min="7939" max="7939" width="10.85546875" style="84" bestFit="1" customWidth="1"/>
    <col min="7940" max="7940" width="40.42578125" style="84" bestFit="1" customWidth="1"/>
    <col min="7941" max="7941" width="2.140625" style="84" customWidth="1"/>
    <col min="7942" max="7942" width="9.5703125" style="84" customWidth="1"/>
    <col min="7943" max="7943" width="2.140625" style="84" customWidth="1"/>
    <col min="7944" max="7944" width="13.5703125" style="84" customWidth="1"/>
    <col min="7945" max="7945" width="2.140625" style="84" customWidth="1"/>
    <col min="7946" max="7946" width="13.5703125" style="84" customWidth="1"/>
    <col min="7947" max="7947" width="2.140625" style="84" customWidth="1"/>
    <col min="7948" max="7948" width="13.5703125" style="84" customWidth="1"/>
    <col min="7949" max="7949" width="2.140625" style="84" customWidth="1"/>
    <col min="7950" max="7950" width="13.5703125" style="84" customWidth="1"/>
    <col min="7951" max="7951" width="2.140625" style="84" customWidth="1"/>
    <col min="7952" max="7952" width="13.5703125" style="84" customWidth="1"/>
    <col min="7953" max="7953" width="2.140625" style="84" customWidth="1"/>
    <col min="7954" max="7954" width="13.5703125" style="84" customWidth="1"/>
    <col min="7955" max="7955" width="3.140625" style="84" customWidth="1"/>
    <col min="7956" max="7956" width="3.5703125" style="84" customWidth="1"/>
    <col min="7957" max="7957" width="11.140625" style="84" customWidth="1"/>
    <col min="7958" max="7958" width="11.85546875" style="84" bestFit="1" customWidth="1"/>
    <col min="7959" max="7959" width="40.42578125" style="84" bestFit="1" customWidth="1"/>
    <col min="7960" max="7960" width="2.140625" style="84" customWidth="1"/>
    <col min="7961" max="7961" width="9.5703125" style="84" customWidth="1"/>
    <col min="7962" max="7962" width="2.140625" style="84" customWidth="1"/>
    <col min="7963" max="7963" width="13.5703125" style="84" customWidth="1"/>
    <col min="7964" max="7964" width="2.140625" style="84" customWidth="1"/>
    <col min="7965" max="7965" width="13.5703125" style="84" customWidth="1"/>
    <col min="7966" max="7966" width="2.140625" style="84" customWidth="1"/>
    <col min="7967" max="7967" width="13.5703125" style="84" customWidth="1"/>
    <col min="7968" max="7968" width="2.140625" style="84" customWidth="1"/>
    <col min="7969" max="7969" width="13.5703125" style="84" customWidth="1"/>
    <col min="7970" max="7970" width="2.140625" style="84" customWidth="1"/>
    <col min="7971" max="7971" width="13.5703125" style="84" customWidth="1"/>
    <col min="7972" max="7972" width="2.140625" style="84" customWidth="1"/>
    <col min="7973" max="7974" width="13.5703125" style="84" customWidth="1"/>
    <col min="7975" max="8192" width="9.140625" style="84"/>
    <col min="8193" max="8193" width="3.5703125" style="84" customWidth="1"/>
    <col min="8194" max="8194" width="6.85546875" style="84" bestFit="1" customWidth="1"/>
    <col min="8195" max="8195" width="10.85546875" style="84" bestFit="1" customWidth="1"/>
    <col min="8196" max="8196" width="40.42578125" style="84" bestFit="1" customWidth="1"/>
    <col min="8197" max="8197" width="2.140625" style="84" customWidth="1"/>
    <col min="8198" max="8198" width="9.5703125" style="84" customWidth="1"/>
    <col min="8199" max="8199" width="2.140625" style="84" customWidth="1"/>
    <col min="8200" max="8200" width="13.5703125" style="84" customWidth="1"/>
    <col min="8201" max="8201" width="2.140625" style="84" customWidth="1"/>
    <col min="8202" max="8202" width="13.5703125" style="84" customWidth="1"/>
    <col min="8203" max="8203" width="2.140625" style="84" customWidth="1"/>
    <col min="8204" max="8204" width="13.5703125" style="84" customWidth="1"/>
    <col min="8205" max="8205" width="2.140625" style="84" customWidth="1"/>
    <col min="8206" max="8206" width="13.5703125" style="84" customWidth="1"/>
    <col min="8207" max="8207" width="2.140625" style="84" customWidth="1"/>
    <col min="8208" max="8208" width="13.5703125" style="84" customWidth="1"/>
    <col min="8209" max="8209" width="2.140625" style="84" customWidth="1"/>
    <col min="8210" max="8210" width="13.5703125" style="84" customWidth="1"/>
    <col min="8211" max="8211" width="3.140625" style="84" customWidth="1"/>
    <col min="8212" max="8212" width="3.5703125" style="84" customWidth="1"/>
    <col min="8213" max="8213" width="11.140625" style="84" customWidth="1"/>
    <col min="8214" max="8214" width="11.85546875" style="84" bestFit="1" customWidth="1"/>
    <col min="8215" max="8215" width="40.42578125" style="84" bestFit="1" customWidth="1"/>
    <col min="8216" max="8216" width="2.140625" style="84" customWidth="1"/>
    <col min="8217" max="8217" width="9.5703125" style="84" customWidth="1"/>
    <col min="8218" max="8218" width="2.140625" style="84" customWidth="1"/>
    <col min="8219" max="8219" width="13.5703125" style="84" customWidth="1"/>
    <col min="8220" max="8220" width="2.140625" style="84" customWidth="1"/>
    <col min="8221" max="8221" width="13.5703125" style="84" customWidth="1"/>
    <col min="8222" max="8222" width="2.140625" style="84" customWidth="1"/>
    <col min="8223" max="8223" width="13.5703125" style="84" customWidth="1"/>
    <col min="8224" max="8224" width="2.140625" style="84" customWidth="1"/>
    <col min="8225" max="8225" width="13.5703125" style="84" customWidth="1"/>
    <col min="8226" max="8226" width="2.140625" style="84" customWidth="1"/>
    <col min="8227" max="8227" width="13.5703125" style="84" customWidth="1"/>
    <col min="8228" max="8228" width="2.140625" style="84" customWidth="1"/>
    <col min="8229" max="8230" width="13.5703125" style="84" customWidth="1"/>
    <col min="8231" max="8448" width="9.140625" style="84"/>
    <col min="8449" max="8449" width="3.5703125" style="84" customWidth="1"/>
    <col min="8450" max="8450" width="6.85546875" style="84" bestFit="1" customWidth="1"/>
    <col min="8451" max="8451" width="10.85546875" style="84" bestFit="1" customWidth="1"/>
    <col min="8452" max="8452" width="40.42578125" style="84" bestFit="1" customWidth="1"/>
    <col min="8453" max="8453" width="2.140625" style="84" customWidth="1"/>
    <col min="8454" max="8454" width="9.5703125" style="84" customWidth="1"/>
    <col min="8455" max="8455" width="2.140625" style="84" customWidth="1"/>
    <col min="8456" max="8456" width="13.5703125" style="84" customWidth="1"/>
    <col min="8457" max="8457" width="2.140625" style="84" customWidth="1"/>
    <col min="8458" max="8458" width="13.5703125" style="84" customWidth="1"/>
    <col min="8459" max="8459" width="2.140625" style="84" customWidth="1"/>
    <col min="8460" max="8460" width="13.5703125" style="84" customWidth="1"/>
    <col min="8461" max="8461" width="2.140625" style="84" customWidth="1"/>
    <col min="8462" max="8462" width="13.5703125" style="84" customWidth="1"/>
    <col min="8463" max="8463" width="2.140625" style="84" customWidth="1"/>
    <col min="8464" max="8464" width="13.5703125" style="84" customWidth="1"/>
    <col min="8465" max="8465" width="2.140625" style="84" customWidth="1"/>
    <col min="8466" max="8466" width="13.5703125" style="84" customWidth="1"/>
    <col min="8467" max="8467" width="3.140625" style="84" customWidth="1"/>
    <col min="8468" max="8468" width="3.5703125" style="84" customWidth="1"/>
    <col min="8469" max="8469" width="11.140625" style="84" customWidth="1"/>
    <col min="8470" max="8470" width="11.85546875" style="84" bestFit="1" customWidth="1"/>
    <col min="8471" max="8471" width="40.42578125" style="84" bestFit="1" customWidth="1"/>
    <col min="8472" max="8472" width="2.140625" style="84" customWidth="1"/>
    <col min="8473" max="8473" width="9.5703125" style="84" customWidth="1"/>
    <col min="8474" max="8474" width="2.140625" style="84" customWidth="1"/>
    <col min="8475" max="8475" width="13.5703125" style="84" customWidth="1"/>
    <col min="8476" max="8476" width="2.140625" style="84" customWidth="1"/>
    <col min="8477" max="8477" width="13.5703125" style="84" customWidth="1"/>
    <col min="8478" max="8478" width="2.140625" style="84" customWidth="1"/>
    <col min="8479" max="8479" width="13.5703125" style="84" customWidth="1"/>
    <col min="8480" max="8480" width="2.140625" style="84" customWidth="1"/>
    <col min="8481" max="8481" width="13.5703125" style="84" customWidth="1"/>
    <col min="8482" max="8482" width="2.140625" style="84" customWidth="1"/>
    <col min="8483" max="8483" width="13.5703125" style="84" customWidth="1"/>
    <col min="8484" max="8484" width="2.140625" style="84" customWidth="1"/>
    <col min="8485" max="8486" width="13.5703125" style="84" customWidth="1"/>
    <col min="8487" max="8704" width="9.140625" style="84"/>
    <col min="8705" max="8705" width="3.5703125" style="84" customWidth="1"/>
    <col min="8706" max="8706" width="6.85546875" style="84" bestFit="1" customWidth="1"/>
    <col min="8707" max="8707" width="10.85546875" style="84" bestFit="1" customWidth="1"/>
    <col min="8708" max="8708" width="40.42578125" style="84" bestFit="1" customWidth="1"/>
    <col min="8709" max="8709" width="2.140625" style="84" customWidth="1"/>
    <col min="8710" max="8710" width="9.5703125" style="84" customWidth="1"/>
    <col min="8711" max="8711" width="2.140625" style="84" customWidth="1"/>
    <col min="8712" max="8712" width="13.5703125" style="84" customWidth="1"/>
    <col min="8713" max="8713" width="2.140625" style="84" customWidth="1"/>
    <col min="8714" max="8714" width="13.5703125" style="84" customWidth="1"/>
    <col min="8715" max="8715" width="2.140625" style="84" customWidth="1"/>
    <col min="8716" max="8716" width="13.5703125" style="84" customWidth="1"/>
    <col min="8717" max="8717" width="2.140625" style="84" customWidth="1"/>
    <col min="8718" max="8718" width="13.5703125" style="84" customWidth="1"/>
    <col min="8719" max="8719" width="2.140625" style="84" customWidth="1"/>
    <col min="8720" max="8720" width="13.5703125" style="84" customWidth="1"/>
    <col min="8721" max="8721" width="2.140625" style="84" customWidth="1"/>
    <col min="8722" max="8722" width="13.5703125" style="84" customWidth="1"/>
    <col min="8723" max="8723" width="3.140625" style="84" customWidth="1"/>
    <col min="8724" max="8724" width="3.5703125" style="84" customWidth="1"/>
    <col min="8725" max="8725" width="11.140625" style="84" customWidth="1"/>
    <col min="8726" max="8726" width="11.85546875" style="84" bestFit="1" customWidth="1"/>
    <col min="8727" max="8727" width="40.42578125" style="84" bestFit="1" customWidth="1"/>
    <col min="8728" max="8728" width="2.140625" style="84" customWidth="1"/>
    <col min="8729" max="8729" width="9.5703125" style="84" customWidth="1"/>
    <col min="8730" max="8730" width="2.140625" style="84" customWidth="1"/>
    <col min="8731" max="8731" width="13.5703125" style="84" customWidth="1"/>
    <col min="8732" max="8732" width="2.140625" style="84" customWidth="1"/>
    <col min="8733" max="8733" width="13.5703125" style="84" customWidth="1"/>
    <col min="8734" max="8734" width="2.140625" style="84" customWidth="1"/>
    <col min="8735" max="8735" width="13.5703125" style="84" customWidth="1"/>
    <col min="8736" max="8736" width="2.140625" style="84" customWidth="1"/>
    <col min="8737" max="8737" width="13.5703125" style="84" customWidth="1"/>
    <col min="8738" max="8738" width="2.140625" style="84" customWidth="1"/>
    <col min="8739" max="8739" width="13.5703125" style="84" customWidth="1"/>
    <col min="8740" max="8740" width="2.140625" style="84" customWidth="1"/>
    <col min="8741" max="8742" width="13.5703125" style="84" customWidth="1"/>
    <col min="8743" max="8960" width="9.140625" style="84"/>
    <col min="8961" max="8961" width="3.5703125" style="84" customWidth="1"/>
    <col min="8962" max="8962" width="6.85546875" style="84" bestFit="1" customWidth="1"/>
    <col min="8963" max="8963" width="10.85546875" style="84" bestFit="1" customWidth="1"/>
    <col min="8964" max="8964" width="40.42578125" style="84" bestFit="1" customWidth="1"/>
    <col min="8965" max="8965" width="2.140625" style="84" customWidth="1"/>
    <col min="8966" max="8966" width="9.5703125" style="84" customWidth="1"/>
    <col min="8967" max="8967" width="2.140625" style="84" customWidth="1"/>
    <col min="8968" max="8968" width="13.5703125" style="84" customWidth="1"/>
    <col min="8969" max="8969" width="2.140625" style="84" customWidth="1"/>
    <col min="8970" max="8970" width="13.5703125" style="84" customWidth="1"/>
    <col min="8971" max="8971" width="2.140625" style="84" customWidth="1"/>
    <col min="8972" max="8972" width="13.5703125" style="84" customWidth="1"/>
    <col min="8973" max="8973" width="2.140625" style="84" customWidth="1"/>
    <col min="8974" max="8974" width="13.5703125" style="84" customWidth="1"/>
    <col min="8975" max="8975" width="2.140625" style="84" customWidth="1"/>
    <col min="8976" max="8976" width="13.5703125" style="84" customWidth="1"/>
    <col min="8977" max="8977" width="2.140625" style="84" customWidth="1"/>
    <col min="8978" max="8978" width="13.5703125" style="84" customWidth="1"/>
    <col min="8979" max="8979" width="3.140625" style="84" customWidth="1"/>
    <col min="8980" max="8980" width="3.5703125" style="84" customWidth="1"/>
    <col min="8981" max="8981" width="11.140625" style="84" customWidth="1"/>
    <col min="8982" max="8982" width="11.85546875" style="84" bestFit="1" customWidth="1"/>
    <col min="8983" max="8983" width="40.42578125" style="84" bestFit="1" customWidth="1"/>
    <col min="8984" max="8984" width="2.140625" style="84" customWidth="1"/>
    <col min="8985" max="8985" width="9.5703125" style="84" customWidth="1"/>
    <col min="8986" max="8986" width="2.140625" style="84" customWidth="1"/>
    <col min="8987" max="8987" width="13.5703125" style="84" customWidth="1"/>
    <col min="8988" max="8988" width="2.140625" style="84" customWidth="1"/>
    <col min="8989" max="8989" width="13.5703125" style="84" customWidth="1"/>
    <col min="8990" max="8990" width="2.140625" style="84" customWidth="1"/>
    <col min="8991" max="8991" width="13.5703125" style="84" customWidth="1"/>
    <col min="8992" max="8992" width="2.140625" style="84" customWidth="1"/>
    <col min="8993" max="8993" width="13.5703125" style="84" customWidth="1"/>
    <col min="8994" max="8994" width="2.140625" style="84" customWidth="1"/>
    <col min="8995" max="8995" width="13.5703125" style="84" customWidth="1"/>
    <col min="8996" max="8996" width="2.140625" style="84" customWidth="1"/>
    <col min="8997" max="8998" width="13.5703125" style="84" customWidth="1"/>
    <col min="8999" max="9216" width="9.140625" style="84"/>
    <col min="9217" max="9217" width="3.5703125" style="84" customWidth="1"/>
    <col min="9218" max="9218" width="6.85546875" style="84" bestFit="1" customWidth="1"/>
    <col min="9219" max="9219" width="10.85546875" style="84" bestFit="1" customWidth="1"/>
    <col min="9220" max="9220" width="40.42578125" style="84" bestFit="1" customWidth="1"/>
    <col min="9221" max="9221" width="2.140625" style="84" customWidth="1"/>
    <col min="9222" max="9222" width="9.5703125" style="84" customWidth="1"/>
    <col min="9223" max="9223" width="2.140625" style="84" customWidth="1"/>
    <col min="9224" max="9224" width="13.5703125" style="84" customWidth="1"/>
    <col min="9225" max="9225" width="2.140625" style="84" customWidth="1"/>
    <col min="9226" max="9226" width="13.5703125" style="84" customWidth="1"/>
    <col min="9227" max="9227" width="2.140625" style="84" customWidth="1"/>
    <col min="9228" max="9228" width="13.5703125" style="84" customWidth="1"/>
    <col min="9229" max="9229" width="2.140625" style="84" customWidth="1"/>
    <col min="9230" max="9230" width="13.5703125" style="84" customWidth="1"/>
    <col min="9231" max="9231" width="2.140625" style="84" customWidth="1"/>
    <col min="9232" max="9232" width="13.5703125" style="84" customWidth="1"/>
    <col min="9233" max="9233" width="2.140625" style="84" customWidth="1"/>
    <col min="9234" max="9234" width="13.5703125" style="84" customWidth="1"/>
    <col min="9235" max="9235" width="3.140625" style="84" customWidth="1"/>
    <col min="9236" max="9236" width="3.5703125" style="84" customWidth="1"/>
    <col min="9237" max="9237" width="11.140625" style="84" customWidth="1"/>
    <col min="9238" max="9238" width="11.85546875" style="84" bestFit="1" customWidth="1"/>
    <col min="9239" max="9239" width="40.42578125" style="84" bestFit="1" customWidth="1"/>
    <col min="9240" max="9240" width="2.140625" style="84" customWidth="1"/>
    <col min="9241" max="9241" width="9.5703125" style="84" customWidth="1"/>
    <col min="9242" max="9242" width="2.140625" style="84" customWidth="1"/>
    <col min="9243" max="9243" width="13.5703125" style="84" customWidth="1"/>
    <col min="9244" max="9244" width="2.140625" style="84" customWidth="1"/>
    <col min="9245" max="9245" width="13.5703125" style="84" customWidth="1"/>
    <col min="9246" max="9246" width="2.140625" style="84" customWidth="1"/>
    <col min="9247" max="9247" width="13.5703125" style="84" customWidth="1"/>
    <col min="9248" max="9248" width="2.140625" style="84" customWidth="1"/>
    <col min="9249" max="9249" width="13.5703125" style="84" customWidth="1"/>
    <col min="9250" max="9250" width="2.140625" style="84" customWidth="1"/>
    <col min="9251" max="9251" width="13.5703125" style="84" customWidth="1"/>
    <col min="9252" max="9252" width="2.140625" style="84" customWidth="1"/>
    <col min="9253" max="9254" width="13.5703125" style="84" customWidth="1"/>
    <col min="9255" max="9472" width="9.140625" style="84"/>
    <col min="9473" max="9473" width="3.5703125" style="84" customWidth="1"/>
    <col min="9474" max="9474" width="6.85546875" style="84" bestFit="1" customWidth="1"/>
    <col min="9475" max="9475" width="10.85546875" style="84" bestFit="1" customWidth="1"/>
    <col min="9476" max="9476" width="40.42578125" style="84" bestFit="1" customWidth="1"/>
    <col min="9477" max="9477" width="2.140625" style="84" customWidth="1"/>
    <col min="9478" max="9478" width="9.5703125" style="84" customWidth="1"/>
    <col min="9479" max="9479" width="2.140625" style="84" customWidth="1"/>
    <col min="9480" max="9480" width="13.5703125" style="84" customWidth="1"/>
    <col min="9481" max="9481" width="2.140625" style="84" customWidth="1"/>
    <col min="9482" max="9482" width="13.5703125" style="84" customWidth="1"/>
    <col min="9483" max="9483" width="2.140625" style="84" customWidth="1"/>
    <col min="9484" max="9484" width="13.5703125" style="84" customWidth="1"/>
    <col min="9485" max="9485" width="2.140625" style="84" customWidth="1"/>
    <col min="9486" max="9486" width="13.5703125" style="84" customWidth="1"/>
    <col min="9487" max="9487" width="2.140625" style="84" customWidth="1"/>
    <col min="9488" max="9488" width="13.5703125" style="84" customWidth="1"/>
    <col min="9489" max="9489" width="2.140625" style="84" customWidth="1"/>
    <col min="9490" max="9490" width="13.5703125" style="84" customWidth="1"/>
    <col min="9491" max="9491" width="3.140625" style="84" customWidth="1"/>
    <col min="9492" max="9492" width="3.5703125" style="84" customWidth="1"/>
    <col min="9493" max="9493" width="11.140625" style="84" customWidth="1"/>
    <col min="9494" max="9494" width="11.85546875" style="84" bestFit="1" customWidth="1"/>
    <col min="9495" max="9495" width="40.42578125" style="84" bestFit="1" customWidth="1"/>
    <col min="9496" max="9496" width="2.140625" style="84" customWidth="1"/>
    <col min="9497" max="9497" width="9.5703125" style="84" customWidth="1"/>
    <col min="9498" max="9498" width="2.140625" style="84" customWidth="1"/>
    <col min="9499" max="9499" width="13.5703125" style="84" customWidth="1"/>
    <col min="9500" max="9500" width="2.140625" style="84" customWidth="1"/>
    <col min="9501" max="9501" width="13.5703125" style="84" customWidth="1"/>
    <col min="9502" max="9502" width="2.140625" style="84" customWidth="1"/>
    <col min="9503" max="9503" width="13.5703125" style="84" customWidth="1"/>
    <col min="9504" max="9504" width="2.140625" style="84" customWidth="1"/>
    <col min="9505" max="9505" width="13.5703125" style="84" customWidth="1"/>
    <col min="9506" max="9506" width="2.140625" style="84" customWidth="1"/>
    <col min="9507" max="9507" width="13.5703125" style="84" customWidth="1"/>
    <col min="9508" max="9508" width="2.140625" style="84" customWidth="1"/>
    <col min="9509" max="9510" width="13.5703125" style="84" customWidth="1"/>
    <col min="9511" max="9728" width="9.140625" style="84"/>
    <col min="9729" max="9729" width="3.5703125" style="84" customWidth="1"/>
    <col min="9730" max="9730" width="6.85546875" style="84" bestFit="1" customWidth="1"/>
    <col min="9731" max="9731" width="10.85546875" style="84" bestFit="1" customWidth="1"/>
    <col min="9732" max="9732" width="40.42578125" style="84" bestFit="1" customWidth="1"/>
    <col min="9733" max="9733" width="2.140625" style="84" customWidth="1"/>
    <col min="9734" max="9734" width="9.5703125" style="84" customWidth="1"/>
    <col min="9735" max="9735" width="2.140625" style="84" customWidth="1"/>
    <col min="9736" max="9736" width="13.5703125" style="84" customWidth="1"/>
    <col min="9737" max="9737" width="2.140625" style="84" customWidth="1"/>
    <col min="9738" max="9738" width="13.5703125" style="84" customWidth="1"/>
    <col min="9739" max="9739" width="2.140625" style="84" customWidth="1"/>
    <col min="9740" max="9740" width="13.5703125" style="84" customWidth="1"/>
    <col min="9741" max="9741" width="2.140625" style="84" customWidth="1"/>
    <col min="9742" max="9742" width="13.5703125" style="84" customWidth="1"/>
    <col min="9743" max="9743" width="2.140625" style="84" customWidth="1"/>
    <col min="9744" max="9744" width="13.5703125" style="84" customWidth="1"/>
    <col min="9745" max="9745" width="2.140625" style="84" customWidth="1"/>
    <col min="9746" max="9746" width="13.5703125" style="84" customWidth="1"/>
    <col min="9747" max="9747" width="3.140625" style="84" customWidth="1"/>
    <col min="9748" max="9748" width="3.5703125" style="84" customWidth="1"/>
    <col min="9749" max="9749" width="11.140625" style="84" customWidth="1"/>
    <col min="9750" max="9750" width="11.85546875" style="84" bestFit="1" customWidth="1"/>
    <col min="9751" max="9751" width="40.42578125" style="84" bestFit="1" customWidth="1"/>
    <col min="9752" max="9752" width="2.140625" style="84" customWidth="1"/>
    <col min="9753" max="9753" width="9.5703125" style="84" customWidth="1"/>
    <col min="9754" max="9754" width="2.140625" style="84" customWidth="1"/>
    <col min="9755" max="9755" width="13.5703125" style="84" customWidth="1"/>
    <col min="9756" max="9756" width="2.140625" style="84" customWidth="1"/>
    <col min="9757" max="9757" width="13.5703125" style="84" customWidth="1"/>
    <col min="9758" max="9758" width="2.140625" style="84" customWidth="1"/>
    <col min="9759" max="9759" width="13.5703125" style="84" customWidth="1"/>
    <col min="9760" max="9760" width="2.140625" style="84" customWidth="1"/>
    <col min="9761" max="9761" width="13.5703125" style="84" customWidth="1"/>
    <col min="9762" max="9762" width="2.140625" style="84" customWidth="1"/>
    <col min="9763" max="9763" width="13.5703125" style="84" customWidth="1"/>
    <col min="9764" max="9764" width="2.140625" style="84" customWidth="1"/>
    <col min="9765" max="9766" width="13.5703125" style="84" customWidth="1"/>
    <col min="9767" max="9984" width="9.140625" style="84"/>
    <col min="9985" max="9985" width="3.5703125" style="84" customWidth="1"/>
    <col min="9986" max="9986" width="6.85546875" style="84" bestFit="1" customWidth="1"/>
    <col min="9987" max="9987" width="10.85546875" style="84" bestFit="1" customWidth="1"/>
    <col min="9988" max="9988" width="40.42578125" style="84" bestFit="1" customWidth="1"/>
    <col min="9989" max="9989" width="2.140625" style="84" customWidth="1"/>
    <col min="9990" max="9990" width="9.5703125" style="84" customWidth="1"/>
    <col min="9991" max="9991" width="2.140625" style="84" customWidth="1"/>
    <col min="9992" max="9992" width="13.5703125" style="84" customWidth="1"/>
    <col min="9993" max="9993" width="2.140625" style="84" customWidth="1"/>
    <col min="9994" max="9994" width="13.5703125" style="84" customWidth="1"/>
    <col min="9995" max="9995" width="2.140625" style="84" customWidth="1"/>
    <col min="9996" max="9996" width="13.5703125" style="84" customWidth="1"/>
    <col min="9997" max="9997" width="2.140625" style="84" customWidth="1"/>
    <col min="9998" max="9998" width="13.5703125" style="84" customWidth="1"/>
    <col min="9999" max="9999" width="2.140625" style="84" customWidth="1"/>
    <col min="10000" max="10000" width="13.5703125" style="84" customWidth="1"/>
    <col min="10001" max="10001" width="2.140625" style="84" customWidth="1"/>
    <col min="10002" max="10002" width="13.5703125" style="84" customWidth="1"/>
    <col min="10003" max="10003" width="3.140625" style="84" customWidth="1"/>
    <col min="10004" max="10004" width="3.5703125" style="84" customWidth="1"/>
    <col min="10005" max="10005" width="11.140625" style="84" customWidth="1"/>
    <col min="10006" max="10006" width="11.85546875" style="84" bestFit="1" customWidth="1"/>
    <col min="10007" max="10007" width="40.42578125" style="84" bestFit="1" customWidth="1"/>
    <col min="10008" max="10008" width="2.140625" style="84" customWidth="1"/>
    <col min="10009" max="10009" width="9.5703125" style="84" customWidth="1"/>
    <col min="10010" max="10010" width="2.140625" style="84" customWidth="1"/>
    <col min="10011" max="10011" width="13.5703125" style="84" customWidth="1"/>
    <col min="10012" max="10012" width="2.140625" style="84" customWidth="1"/>
    <col min="10013" max="10013" width="13.5703125" style="84" customWidth="1"/>
    <col min="10014" max="10014" width="2.140625" style="84" customWidth="1"/>
    <col min="10015" max="10015" width="13.5703125" style="84" customWidth="1"/>
    <col min="10016" max="10016" width="2.140625" style="84" customWidth="1"/>
    <col min="10017" max="10017" width="13.5703125" style="84" customWidth="1"/>
    <col min="10018" max="10018" width="2.140625" style="84" customWidth="1"/>
    <col min="10019" max="10019" width="13.5703125" style="84" customWidth="1"/>
    <col min="10020" max="10020" width="2.140625" style="84" customWidth="1"/>
    <col min="10021" max="10022" width="13.5703125" style="84" customWidth="1"/>
    <col min="10023" max="10240" width="9.140625" style="84"/>
    <col min="10241" max="10241" width="3.5703125" style="84" customWidth="1"/>
    <col min="10242" max="10242" width="6.85546875" style="84" bestFit="1" customWidth="1"/>
    <col min="10243" max="10243" width="10.85546875" style="84" bestFit="1" customWidth="1"/>
    <col min="10244" max="10244" width="40.42578125" style="84" bestFit="1" customWidth="1"/>
    <col min="10245" max="10245" width="2.140625" style="84" customWidth="1"/>
    <col min="10246" max="10246" width="9.5703125" style="84" customWidth="1"/>
    <col min="10247" max="10247" width="2.140625" style="84" customWidth="1"/>
    <col min="10248" max="10248" width="13.5703125" style="84" customWidth="1"/>
    <col min="10249" max="10249" width="2.140625" style="84" customWidth="1"/>
    <col min="10250" max="10250" width="13.5703125" style="84" customWidth="1"/>
    <col min="10251" max="10251" width="2.140625" style="84" customWidth="1"/>
    <col min="10252" max="10252" width="13.5703125" style="84" customWidth="1"/>
    <col min="10253" max="10253" width="2.140625" style="84" customWidth="1"/>
    <col min="10254" max="10254" width="13.5703125" style="84" customWidth="1"/>
    <col min="10255" max="10255" width="2.140625" style="84" customWidth="1"/>
    <col min="10256" max="10256" width="13.5703125" style="84" customWidth="1"/>
    <col min="10257" max="10257" width="2.140625" style="84" customWidth="1"/>
    <col min="10258" max="10258" width="13.5703125" style="84" customWidth="1"/>
    <col min="10259" max="10259" width="3.140625" style="84" customWidth="1"/>
    <col min="10260" max="10260" width="3.5703125" style="84" customWidth="1"/>
    <col min="10261" max="10261" width="11.140625" style="84" customWidth="1"/>
    <col min="10262" max="10262" width="11.85546875" style="84" bestFit="1" customWidth="1"/>
    <col min="10263" max="10263" width="40.42578125" style="84" bestFit="1" customWidth="1"/>
    <col min="10264" max="10264" width="2.140625" style="84" customWidth="1"/>
    <col min="10265" max="10265" width="9.5703125" style="84" customWidth="1"/>
    <col min="10266" max="10266" width="2.140625" style="84" customWidth="1"/>
    <col min="10267" max="10267" width="13.5703125" style="84" customWidth="1"/>
    <col min="10268" max="10268" width="2.140625" style="84" customWidth="1"/>
    <col min="10269" max="10269" width="13.5703125" style="84" customWidth="1"/>
    <col min="10270" max="10270" width="2.140625" style="84" customWidth="1"/>
    <col min="10271" max="10271" width="13.5703125" style="84" customWidth="1"/>
    <col min="10272" max="10272" width="2.140625" style="84" customWidth="1"/>
    <col min="10273" max="10273" width="13.5703125" style="84" customWidth="1"/>
    <col min="10274" max="10274" width="2.140625" style="84" customWidth="1"/>
    <col min="10275" max="10275" width="13.5703125" style="84" customWidth="1"/>
    <col min="10276" max="10276" width="2.140625" style="84" customWidth="1"/>
    <col min="10277" max="10278" width="13.5703125" style="84" customWidth="1"/>
    <col min="10279" max="10496" width="9.140625" style="84"/>
    <col min="10497" max="10497" width="3.5703125" style="84" customWidth="1"/>
    <col min="10498" max="10498" width="6.85546875" style="84" bestFit="1" customWidth="1"/>
    <col min="10499" max="10499" width="10.85546875" style="84" bestFit="1" customWidth="1"/>
    <col min="10500" max="10500" width="40.42578125" style="84" bestFit="1" customWidth="1"/>
    <col min="10501" max="10501" width="2.140625" style="84" customWidth="1"/>
    <col min="10502" max="10502" width="9.5703125" style="84" customWidth="1"/>
    <col min="10503" max="10503" width="2.140625" style="84" customWidth="1"/>
    <col min="10504" max="10504" width="13.5703125" style="84" customWidth="1"/>
    <col min="10505" max="10505" width="2.140625" style="84" customWidth="1"/>
    <col min="10506" max="10506" width="13.5703125" style="84" customWidth="1"/>
    <col min="10507" max="10507" width="2.140625" style="84" customWidth="1"/>
    <col min="10508" max="10508" width="13.5703125" style="84" customWidth="1"/>
    <col min="10509" max="10509" width="2.140625" style="84" customWidth="1"/>
    <col min="10510" max="10510" width="13.5703125" style="84" customWidth="1"/>
    <col min="10511" max="10511" width="2.140625" style="84" customWidth="1"/>
    <col min="10512" max="10512" width="13.5703125" style="84" customWidth="1"/>
    <col min="10513" max="10513" width="2.140625" style="84" customWidth="1"/>
    <col min="10514" max="10514" width="13.5703125" style="84" customWidth="1"/>
    <col min="10515" max="10515" width="3.140625" style="84" customWidth="1"/>
    <col min="10516" max="10516" width="3.5703125" style="84" customWidth="1"/>
    <col min="10517" max="10517" width="11.140625" style="84" customWidth="1"/>
    <col min="10518" max="10518" width="11.85546875" style="84" bestFit="1" customWidth="1"/>
    <col min="10519" max="10519" width="40.42578125" style="84" bestFit="1" customWidth="1"/>
    <col min="10520" max="10520" width="2.140625" style="84" customWidth="1"/>
    <col min="10521" max="10521" width="9.5703125" style="84" customWidth="1"/>
    <col min="10522" max="10522" width="2.140625" style="84" customWidth="1"/>
    <col min="10523" max="10523" width="13.5703125" style="84" customWidth="1"/>
    <col min="10524" max="10524" width="2.140625" style="84" customWidth="1"/>
    <col min="10525" max="10525" width="13.5703125" style="84" customWidth="1"/>
    <col min="10526" max="10526" width="2.140625" style="84" customWidth="1"/>
    <col min="10527" max="10527" width="13.5703125" style="84" customWidth="1"/>
    <col min="10528" max="10528" width="2.140625" style="84" customWidth="1"/>
    <col min="10529" max="10529" width="13.5703125" style="84" customWidth="1"/>
    <col min="10530" max="10530" width="2.140625" style="84" customWidth="1"/>
    <col min="10531" max="10531" width="13.5703125" style="84" customWidth="1"/>
    <col min="10532" max="10532" width="2.140625" style="84" customWidth="1"/>
    <col min="10533" max="10534" width="13.5703125" style="84" customWidth="1"/>
    <col min="10535" max="10752" width="9.140625" style="84"/>
    <col min="10753" max="10753" width="3.5703125" style="84" customWidth="1"/>
    <col min="10754" max="10754" width="6.85546875" style="84" bestFit="1" customWidth="1"/>
    <col min="10755" max="10755" width="10.85546875" style="84" bestFit="1" customWidth="1"/>
    <col min="10756" max="10756" width="40.42578125" style="84" bestFit="1" customWidth="1"/>
    <col min="10757" max="10757" width="2.140625" style="84" customWidth="1"/>
    <col min="10758" max="10758" width="9.5703125" style="84" customWidth="1"/>
    <col min="10759" max="10759" width="2.140625" style="84" customWidth="1"/>
    <col min="10760" max="10760" width="13.5703125" style="84" customWidth="1"/>
    <col min="10761" max="10761" width="2.140625" style="84" customWidth="1"/>
    <col min="10762" max="10762" width="13.5703125" style="84" customWidth="1"/>
    <col min="10763" max="10763" width="2.140625" style="84" customWidth="1"/>
    <col min="10764" max="10764" width="13.5703125" style="84" customWidth="1"/>
    <col min="10765" max="10765" width="2.140625" style="84" customWidth="1"/>
    <col min="10766" max="10766" width="13.5703125" style="84" customWidth="1"/>
    <col min="10767" max="10767" width="2.140625" style="84" customWidth="1"/>
    <col min="10768" max="10768" width="13.5703125" style="84" customWidth="1"/>
    <col min="10769" max="10769" width="2.140625" style="84" customWidth="1"/>
    <col min="10770" max="10770" width="13.5703125" style="84" customWidth="1"/>
    <col min="10771" max="10771" width="3.140625" style="84" customWidth="1"/>
    <col min="10772" max="10772" width="3.5703125" style="84" customWidth="1"/>
    <col min="10773" max="10773" width="11.140625" style="84" customWidth="1"/>
    <col min="10774" max="10774" width="11.85546875" style="84" bestFit="1" customWidth="1"/>
    <col min="10775" max="10775" width="40.42578125" style="84" bestFit="1" customWidth="1"/>
    <col min="10776" max="10776" width="2.140625" style="84" customWidth="1"/>
    <col min="10777" max="10777" width="9.5703125" style="84" customWidth="1"/>
    <col min="10778" max="10778" width="2.140625" style="84" customWidth="1"/>
    <col min="10779" max="10779" width="13.5703125" style="84" customWidth="1"/>
    <col min="10780" max="10780" width="2.140625" style="84" customWidth="1"/>
    <col min="10781" max="10781" width="13.5703125" style="84" customWidth="1"/>
    <col min="10782" max="10782" width="2.140625" style="84" customWidth="1"/>
    <col min="10783" max="10783" width="13.5703125" style="84" customWidth="1"/>
    <col min="10784" max="10784" width="2.140625" style="84" customWidth="1"/>
    <col min="10785" max="10785" width="13.5703125" style="84" customWidth="1"/>
    <col min="10786" max="10786" width="2.140625" style="84" customWidth="1"/>
    <col min="10787" max="10787" width="13.5703125" style="84" customWidth="1"/>
    <col min="10788" max="10788" width="2.140625" style="84" customWidth="1"/>
    <col min="10789" max="10790" width="13.5703125" style="84" customWidth="1"/>
    <col min="10791" max="11008" width="9.140625" style="84"/>
    <col min="11009" max="11009" width="3.5703125" style="84" customWidth="1"/>
    <col min="11010" max="11010" width="6.85546875" style="84" bestFit="1" customWidth="1"/>
    <col min="11011" max="11011" width="10.85546875" style="84" bestFit="1" customWidth="1"/>
    <col min="11012" max="11012" width="40.42578125" style="84" bestFit="1" customWidth="1"/>
    <col min="11013" max="11013" width="2.140625" style="84" customWidth="1"/>
    <col min="11014" max="11014" width="9.5703125" style="84" customWidth="1"/>
    <col min="11015" max="11015" width="2.140625" style="84" customWidth="1"/>
    <col min="11016" max="11016" width="13.5703125" style="84" customWidth="1"/>
    <col min="11017" max="11017" width="2.140625" style="84" customWidth="1"/>
    <col min="11018" max="11018" width="13.5703125" style="84" customWidth="1"/>
    <col min="11019" max="11019" width="2.140625" style="84" customWidth="1"/>
    <col min="11020" max="11020" width="13.5703125" style="84" customWidth="1"/>
    <col min="11021" max="11021" width="2.140625" style="84" customWidth="1"/>
    <col min="11022" max="11022" width="13.5703125" style="84" customWidth="1"/>
    <col min="11023" max="11023" width="2.140625" style="84" customWidth="1"/>
    <col min="11024" max="11024" width="13.5703125" style="84" customWidth="1"/>
    <col min="11025" max="11025" width="2.140625" style="84" customWidth="1"/>
    <col min="11026" max="11026" width="13.5703125" style="84" customWidth="1"/>
    <col min="11027" max="11027" width="3.140625" style="84" customWidth="1"/>
    <col min="11028" max="11028" width="3.5703125" style="84" customWidth="1"/>
    <col min="11029" max="11029" width="11.140625" style="84" customWidth="1"/>
    <col min="11030" max="11030" width="11.85546875" style="84" bestFit="1" customWidth="1"/>
    <col min="11031" max="11031" width="40.42578125" style="84" bestFit="1" customWidth="1"/>
    <col min="11032" max="11032" width="2.140625" style="84" customWidth="1"/>
    <col min="11033" max="11033" width="9.5703125" style="84" customWidth="1"/>
    <col min="11034" max="11034" width="2.140625" style="84" customWidth="1"/>
    <col min="11035" max="11035" width="13.5703125" style="84" customWidth="1"/>
    <col min="11036" max="11036" width="2.140625" style="84" customWidth="1"/>
    <col min="11037" max="11037" width="13.5703125" style="84" customWidth="1"/>
    <col min="11038" max="11038" width="2.140625" style="84" customWidth="1"/>
    <col min="11039" max="11039" width="13.5703125" style="84" customWidth="1"/>
    <col min="11040" max="11040" width="2.140625" style="84" customWidth="1"/>
    <col min="11041" max="11041" width="13.5703125" style="84" customWidth="1"/>
    <col min="11042" max="11042" width="2.140625" style="84" customWidth="1"/>
    <col min="11043" max="11043" width="13.5703125" style="84" customWidth="1"/>
    <col min="11044" max="11044" width="2.140625" style="84" customWidth="1"/>
    <col min="11045" max="11046" width="13.5703125" style="84" customWidth="1"/>
    <col min="11047" max="11264" width="9.140625" style="84"/>
    <col min="11265" max="11265" width="3.5703125" style="84" customWidth="1"/>
    <col min="11266" max="11266" width="6.85546875" style="84" bestFit="1" customWidth="1"/>
    <col min="11267" max="11267" width="10.85546875" style="84" bestFit="1" customWidth="1"/>
    <col min="11268" max="11268" width="40.42578125" style="84" bestFit="1" customWidth="1"/>
    <col min="11269" max="11269" width="2.140625" style="84" customWidth="1"/>
    <col min="11270" max="11270" width="9.5703125" style="84" customWidth="1"/>
    <col min="11271" max="11271" width="2.140625" style="84" customWidth="1"/>
    <col min="11272" max="11272" width="13.5703125" style="84" customWidth="1"/>
    <col min="11273" max="11273" width="2.140625" style="84" customWidth="1"/>
    <col min="11274" max="11274" width="13.5703125" style="84" customWidth="1"/>
    <col min="11275" max="11275" width="2.140625" style="84" customWidth="1"/>
    <col min="11276" max="11276" width="13.5703125" style="84" customWidth="1"/>
    <col min="11277" max="11277" width="2.140625" style="84" customWidth="1"/>
    <col min="11278" max="11278" width="13.5703125" style="84" customWidth="1"/>
    <col min="11279" max="11279" width="2.140625" style="84" customWidth="1"/>
    <col min="11280" max="11280" width="13.5703125" style="84" customWidth="1"/>
    <col min="11281" max="11281" width="2.140625" style="84" customWidth="1"/>
    <col min="11282" max="11282" width="13.5703125" style="84" customWidth="1"/>
    <col min="11283" max="11283" width="3.140625" style="84" customWidth="1"/>
    <col min="11284" max="11284" width="3.5703125" style="84" customWidth="1"/>
    <col min="11285" max="11285" width="11.140625" style="84" customWidth="1"/>
    <col min="11286" max="11286" width="11.85546875" style="84" bestFit="1" customWidth="1"/>
    <col min="11287" max="11287" width="40.42578125" style="84" bestFit="1" customWidth="1"/>
    <col min="11288" max="11288" width="2.140625" style="84" customWidth="1"/>
    <col min="11289" max="11289" width="9.5703125" style="84" customWidth="1"/>
    <col min="11290" max="11290" width="2.140625" style="84" customWidth="1"/>
    <col min="11291" max="11291" width="13.5703125" style="84" customWidth="1"/>
    <col min="11292" max="11292" width="2.140625" style="84" customWidth="1"/>
    <col min="11293" max="11293" width="13.5703125" style="84" customWidth="1"/>
    <col min="11294" max="11294" width="2.140625" style="84" customWidth="1"/>
    <col min="11295" max="11295" width="13.5703125" style="84" customWidth="1"/>
    <col min="11296" max="11296" width="2.140625" style="84" customWidth="1"/>
    <col min="11297" max="11297" width="13.5703125" style="84" customWidth="1"/>
    <col min="11298" max="11298" width="2.140625" style="84" customWidth="1"/>
    <col min="11299" max="11299" width="13.5703125" style="84" customWidth="1"/>
    <col min="11300" max="11300" width="2.140625" style="84" customWidth="1"/>
    <col min="11301" max="11302" width="13.5703125" style="84" customWidth="1"/>
    <col min="11303" max="11520" width="9.140625" style="84"/>
    <col min="11521" max="11521" width="3.5703125" style="84" customWidth="1"/>
    <col min="11522" max="11522" width="6.85546875" style="84" bestFit="1" customWidth="1"/>
    <col min="11523" max="11523" width="10.85546875" style="84" bestFit="1" customWidth="1"/>
    <col min="11524" max="11524" width="40.42578125" style="84" bestFit="1" customWidth="1"/>
    <col min="11525" max="11525" width="2.140625" style="84" customWidth="1"/>
    <col min="11526" max="11526" width="9.5703125" style="84" customWidth="1"/>
    <col min="11527" max="11527" width="2.140625" style="84" customWidth="1"/>
    <col min="11528" max="11528" width="13.5703125" style="84" customWidth="1"/>
    <col min="11529" max="11529" width="2.140625" style="84" customWidth="1"/>
    <col min="11530" max="11530" width="13.5703125" style="84" customWidth="1"/>
    <col min="11531" max="11531" width="2.140625" style="84" customWidth="1"/>
    <col min="11532" max="11532" width="13.5703125" style="84" customWidth="1"/>
    <col min="11533" max="11533" width="2.140625" style="84" customWidth="1"/>
    <col min="11534" max="11534" width="13.5703125" style="84" customWidth="1"/>
    <col min="11535" max="11535" width="2.140625" style="84" customWidth="1"/>
    <col min="11536" max="11536" width="13.5703125" style="84" customWidth="1"/>
    <col min="11537" max="11537" width="2.140625" style="84" customWidth="1"/>
    <col min="11538" max="11538" width="13.5703125" style="84" customWidth="1"/>
    <col min="11539" max="11539" width="3.140625" style="84" customWidth="1"/>
    <col min="11540" max="11540" width="3.5703125" style="84" customWidth="1"/>
    <col min="11541" max="11541" width="11.140625" style="84" customWidth="1"/>
    <col min="11542" max="11542" width="11.85546875" style="84" bestFit="1" customWidth="1"/>
    <col min="11543" max="11543" width="40.42578125" style="84" bestFit="1" customWidth="1"/>
    <col min="11544" max="11544" width="2.140625" style="84" customWidth="1"/>
    <col min="11545" max="11545" width="9.5703125" style="84" customWidth="1"/>
    <col min="11546" max="11546" width="2.140625" style="84" customWidth="1"/>
    <col min="11547" max="11547" width="13.5703125" style="84" customWidth="1"/>
    <col min="11548" max="11548" width="2.140625" style="84" customWidth="1"/>
    <col min="11549" max="11549" width="13.5703125" style="84" customWidth="1"/>
    <col min="11550" max="11550" width="2.140625" style="84" customWidth="1"/>
    <col min="11551" max="11551" width="13.5703125" style="84" customWidth="1"/>
    <col min="11552" max="11552" width="2.140625" style="84" customWidth="1"/>
    <col min="11553" max="11553" width="13.5703125" style="84" customWidth="1"/>
    <col min="11554" max="11554" width="2.140625" style="84" customWidth="1"/>
    <col min="11555" max="11555" width="13.5703125" style="84" customWidth="1"/>
    <col min="11556" max="11556" width="2.140625" style="84" customWidth="1"/>
    <col min="11557" max="11558" width="13.5703125" style="84" customWidth="1"/>
    <col min="11559" max="11776" width="9.140625" style="84"/>
    <col min="11777" max="11777" width="3.5703125" style="84" customWidth="1"/>
    <col min="11778" max="11778" width="6.85546875" style="84" bestFit="1" customWidth="1"/>
    <col min="11779" max="11779" width="10.85546875" style="84" bestFit="1" customWidth="1"/>
    <col min="11780" max="11780" width="40.42578125" style="84" bestFit="1" customWidth="1"/>
    <col min="11781" max="11781" width="2.140625" style="84" customWidth="1"/>
    <col min="11782" max="11782" width="9.5703125" style="84" customWidth="1"/>
    <col min="11783" max="11783" width="2.140625" style="84" customWidth="1"/>
    <col min="11784" max="11784" width="13.5703125" style="84" customWidth="1"/>
    <col min="11785" max="11785" width="2.140625" style="84" customWidth="1"/>
    <col min="11786" max="11786" width="13.5703125" style="84" customWidth="1"/>
    <col min="11787" max="11787" width="2.140625" style="84" customWidth="1"/>
    <col min="11788" max="11788" width="13.5703125" style="84" customWidth="1"/>
    <col min="11789" max="11789" width="2.140625" style="84" customWidth="1"/>
    <col min="11790" max="11790" width="13.5703125" style="84" customWidth="1"/>
    <col min="11791" max="11791" width="2.140625" style="84" customWidth="1"/>
    <col min="11792" max="11792" width="13.5703125" style="84" customWidth="1"/>
    <col min="11793" max="11793" width="2.140625" style="84" customWidth="1"/>
    <col min="11794" max="11794" width="13.5703125" style="84" customWidth="1"/>
    <col min="11795" max="11795" width="3.140625" style="84" customWidth="1"/>
    <col min="11796" max="11796" width="3.5703125" style="84" customWidth="1"/>
    <col min="11797" max="11797" width="11.140625" style="84" customWidth="1"/>
    <col min="11798" max="11798" width="11.85546875" style="84" bestFit="1" customWidth="1"/>
    <col min="11799" max="11799" width="40.42578125" style="84" bestFit="1" customWidth="1"/>
    <col min="11800" max="11800" width="2.140625" style="84" customWidth="1"/>
    <col min="11801" max="11801" width="9.5703125" style="84" customWidth="1"/>
    <col min="11802" max="11802" width="2.140625" style="84" customWidth="1"/>
    <col min="11803" max="11803" width="13.5703125" style="84" customWidth="1"/>
    <col min="11804" max="11804" width="2.140625" style="84" customWidth="1"/>
    <col min="11805" max="11805" width="13.5703125" style="84" customWidth="1"/>
    <col min="11806" max="11806" width="2.140625" style="84" customWidth="1"/>
    <col min="11807" max="11807" width="13.5703125" style="84" customWidth="1"/>
    <col min="11808" max="11808" width="2.140625" style="84" customWidth="1"/>
    <col min="11809" max="11809" width="13.5703125" style="84" customWidth="1"/>
    <col min="11810" max="11810" width="2.140625" style="84" customWidth="1"/>
    <col min="11811" max="11811" width="13.5703125" style="84" customWidth="1"/>
    <col min="11812" max="11812" width="2.140625" style="84" customWidth="1"/>
    <col min="11813" max="11814" width="13.5703125" style="84" customWidth="1"/>
    <col min="11815" max="12032" width="9.140625" style="84"/>
    <col min="12033" max="12033" width="3.5703125" style="84" customWidth="1"/>
    <col min="12034" max="12034" width="6.85546875" style="84" bestFit="1" customWidth="1"/>
    <col min="12035" max="12035" width="10.85546875" style="84" bestFit="1" customWidth="1"/>
    <col min="12036" max="12036" width="40.42578125" style="84" bestFit="1" customWidth="1"/>
    <col min="12037" max="12037" width="2.140625" style="84" customWidth="1"/>
    <col min="12038" max="12038" width="9.5703125" style="84" customWidth="1"/>
    <col min="12039" max="12039" width="2.140625" style="84" customWidth="1"/>
    <col min="12040" max="12040" width="13.5703125" style="84" customWidth="1"/>
    <col min="12041" max="12041" width="2.140625" style="84" customWidth="1"/>
    <col min="12042" max="12042" width="13.5703125" style="84" customWidth="1"/>
    <col min="12043" max="12043" width="2.140625" style="84" customWidth="1"/>
    <col min="12044" max="12044" width="13.5703125" style="84" customWidth="1"/>
    <col min="12045" max="12045" width="2.140625" style="84" customWidth="1"/>
    <col min="12046" max="12046" width="13.5703125" style="84" customWidth="1"/>
    <col min="12047" max="12047" width="2.140625" style="84" customWidth="1"/>
    <col min="12048" max="12048" width="13.5703125" style="84" customWidth="1"/>
    <col min="12049" max="12049" width="2.140625" style="84" customWidth="1"/>
    <col min="12050" max="12050" width="13.5703125" style="84" customWidth="1"/>
    <col min="12051" max="12051" width="3.140625" style="84" customWidth="1"/>
    <col min="12052" max="12052" width="3.5703125" style="84" customWidth="1"/>
    <col min="12053" max="12053" width="11.140625" style="84" customWidth="1"/>
    <col min="12054" max="12054" width="11.85546875" style="84" bestFit="1" customWidth="1"/>
    <col min="12055" max="12055" width="40.42578125" style="84" bestFit="1" customWidth="1"/>
    <col min="12056" max="12056" width="2.140625" style="84" customWidth="1"/>
    <col min="12057" max="12057" width="9.5703125" style="84" customWidth="1"/>
    <col min="12058" max="12058" width="2.140625" style="84" customWidth="1"/>
    <col min="12059" max="12059" width="13.5703125" style="84" customWidth="1"/>
    <col min="12060" max="12060" width="2.140625" style="84" customWidth="1"/>
    <col min="12061" max="12061" width="13.5703125" style="84" customWidth="1"/>
    <col min="12062" max="12062" width="2.140625" style="84" customWidth="1"/>
    <col min="12063" max="12063" width="13.5703125" style="84" customWidth="1"/>
    <col min="12064" max="12064" width="2.140625" style="84" customWidth="1"/>
    <col min="12065" max="12065" width="13.5703125" style="84" customWidth="1"/>
    <col min="12066" max="12066" width="2.140625" style="84" customWidth="1"/>
    <col min="12067" max="12067" width="13.5703125" style="84" customWidth="1"/>
    <col min="12068" max="12068" width="2.140625" style="84" customWidth="1"/>
    <col min="12069" max="12070" width="13.5703125" style="84" customWidth="1"/>
    <col min="12071" max="12288" width="9.140625" style="84"/>
    <col min="12289" max="12289" width="3.5703125" style="84" customWidth="1"/>
    <col min="12290" max="12290" width="6.85546875" style="84" bestFit="1" customWidth="1"/>
    <col min="12291" max="12291" width="10.85546875" style="84" bestFit="1" customWidth="1"/>
    <col min="12292" max="12292" width="40.42578125" style="84" bestFit="1" customWidth="1"/>
    <col min="12293" max="12293" width="2.140625" style="84" customWidth="1"/>
    <col min="12294" max="12294" width="9.5703125" style="84" customWidth="1"/>
    <col min="12295" max="12295" width="2.140625" style="84" customWidth="1"/>
    <col min="12296" max="12296" width="13.5703125" style="84" customWidth="1"/>
    <col min="12297" max="12297" width="2.140625" style="84" customWidth="1"/>
    <col min="12298" max="12298" width="13.5703125" style="84" customWidth="1"/>
    <col min="12299" max="12299" width="2.140625" style="84" customWidth="1"/>
    <col min="12300" max="12300" width="13.5703125" style="84" customWidth="1"/>
    <col min="12301" max="12301" width="2.140625" style="84" customWidth="1"/>
    <col min="12302" max="12302" width="13.5703125" style="84" customWidth="1"/>
    <col min="12303" max="12303" width="2.140625" style="84" customWidth="1"/>
    <col min="12304" max="12304" width="13.5703125" style="84" customWidth="1"/>
    <col min="12305" max="12305" width="2.140625" style="84" customWidth="1"/>
    <col min="12306" max="12306" width="13.5703125" style="84" customWidth="1"/>
    <col min="12307" max="12307" width="3.140625" style="84" customWidth="1"/>
    <col min="12308" max="12308" width="3.5703125" style="84" customWidth="1"/>
    <col min="12309" max="12309" width="11.140625" style="84" customWidth="1"/>
    <col min="12310" max="12310" width="11.85546875" style="84" bestFit="1" customWidth="1"/>
    <col min="12311" max="12311" width="40.42578125" style="84" bestFit="1" customWidth="1"/>
    <col min="12312" max="12312" width="2.140625" style="84" customWidth="1"/>
    <col min="12313" max="12313" width="9.5703125" style="84" customWidth="1"/>
    <col min="12314" max="12314" width="2.140625" style="84" customWidth="1"/>
    <col min="12315" max="12315" width="13.5703125" style="84" customWidth="1"/>
    <col min="12316" max="12316" width="2.140625" style="84" customWidth="1"/>
    <col min="12317" max="12317" width="13.5703125" style="84" customWidth="1"/>
    <col min="12318" max="12318" width="2.140625" style="84" customWidth="1"/>
    <col min="12319" max="12319" width="13.5703125" style="84" customWidth="1"/>
    <col min="12320" max="12320" width="2.140625" style="84" customWidth="1"/>
    <col min="12321" max="12321" width="13.5703125" style="84" customWidth="1"/>
    <col min="12322" max="12322" width="2.140625" style="84" customWidth="1"/>
    <col min="12323" max="12323" width="13.5703125" style="84" customWidth="1"/>
    <col min="12324" max="12324" width="2.140625" style="84" customWidth="1"/>
    <col min="12325" max="12326" width="13.5703125" style="84" customWidth="1"/>
    <col min="12327" max="12544" width="9.140625" style="84"/>
    <col min="12545" max="12545" width="3.5703125" style="84" customWidth="1"/>
    <col min="12546" max="12546" width="6.85546875" style="84" bestFit="1" customWidth="1"/>
    <col min="12547" max="12547" width="10.85546875" style="84" bestFit="1" customWidth="1"/>
    <col min="12548" max="12548" width="40.42578125" style="84" bestFit="1" customWidth="1"/>
    <col min="12549" max="12549" width="2.140625" style="84" customWidth="1"/>
    <col min="12550" max="12550" width="9.5703125" style="84" customWidth="1"/>
    <col min="12551" max="12551" width="2.140625" style="84" customWidth="1"/>
    <col min="12552" max="12552" width="13.5703125" style="84" customWidth="1"/>
    <col min="12553" max="12553" width="2.140625" style="84" customWidth="1"/>
    <col min="12554" max="12554" width="13.5703125" style="84" customWidth="1"/>
    <col min="12555" max="12555" width="2.140625" style="84" customWidth="1"/>
    <col min="12556" max="12556" width="13.5703125" style="84" customWidth="1"/>
    <col min="12557" max="12557" width="2.140625" style="84" customWidth="1"/>
    <col min="12558" max="12558" width="13.5703125" style="84" customWidth="1"/>
    <col min="12559" max="12559" width="2.140625" style="84" customWidth="1"/>
    <col min="12560" max="12560" width="13.5703125" style="84" customWidth="1"/>
    <col min="12561" max="12561" width="2.140625" style="84" customWidth="1"/>
    <col min="12562" max="12562" width="13.5703125" style="84" customWidth="1"/>
    <col min="12563" max="12563" width="3.140625" style="84" customWidth="1"/>
    <col min="12564" max="12564" width="3.5703125" style="84" customWidth="1"/>
    <col min="12565" max="12565" width="11.140625" style="84" customWidth="1"/>
    <col min="12566" max="12566" width="11.85546875" style="84" bestFit="1" customWidth="1"/>
    <col min="12567" max="12567" width="40.42578125" style="84" bestFit="1" customWidth="1"/>
    <col min="12568" max="12568" width="2.140625" style="84" customWidth="1"/>
    <col min="12569" max="12569" width="9.5703125" style="84" customWidth="1"/>
    <col min="12570" max="12570" width="2.140625" style="84" customWidth="1"/>
    <col min="12571" max="12571" width="13.5703125" style="84" customWidth="1"/>
    <col min="12572" max="12572" width="2.140625" style="84" customWidth="1"/>
    <col min="12573" max="12573" width="13.5703125" style="84" customWidth="1"/>
    <col min="12574" max="12574" width="2.140625" style="84" customWidth="1"/>
    <col min="12575" max="12575" width="13.5703125" style="84" customWidth="1"/>
    <col min="12576" max="12576" width="2.140625" style="84" customWidth="1"/>
    <col min="12577" max="12577" width="13.5703125" style="84" customWidth="1"/>
    <col min="12578" max="12578" width="2.140625" style="84" customWidth="1"/>
    <col min="12579" max="12579" width="13.5703125" style="84" customWidth="1"/>
    <col min="12580" max="12580" width="2.140625" style="84" customWidth="1"/>
    <col min="12581" max="12582" width="13.5703125" style="84" customWidth="1"/>
    <col min="12583" max="12800" width="9.140625" style="84"/>
    <col min="12801" max="12801" width="3.5703125" style="84" customWidth="1"/>
    <col min="12802" max="12802" width="6.85546875" style="84" bestFit="1" customWidth="1"/>
    <col min="12803" max="12803" width="10.85546875" style="84" bestFit="1" customWidth="1"/>
    <col min="12804" max="12804" width="40.42578125" style="84" bestFit="1" customWidth="1"/>
    <col min="12805" max="12805" width="2.140625" style="84" customWidth="1"/>
    <col min="12806" max="12806" width="9.5703125" style="84" customWidth="1"/>
    <col min="12807" max="12807" width="2.140625" style="84" customWidth="1"/>
    <col min="12808" max="12808" width="13.5703125" style="84" customWidth="1"/>
    <col min="12809" max="12809" width="2.140625" style="84" customWidth="1"/>
    <col min="12810" max="12810" width="13.5703125" style="84" customWidth="1"/>
    <col min="12811" max="12811" width="2.140625" style="84" customWidth="1"/>
    <col min="12812" max="12812" width="13.5703125" style="84" customWidth="1"/>
    <col min="12813" max="12813" width="2.140625" style="84" customWidth="1"/>
    <col min="12814" max="12814" width="13.5703125" style="84" customWidth="1"/>
    <col min="12815" max="12815" width="2.140625" style="84" customWidth="1"/>
    <col min="12816" max="12816" width="13.5703125" style="84" customWidth="1"/>
    <col min="12817" max="12817" width="2.140625" style="84" customWidth="1"/>
    <col min="12818" max="12818" width="13.5703125" style="84" customWidth="1"/>
    <col min="12819" max="12819" width="3.140625" style="84" customWidth="1"/>
    <col min="12820" max="12820" width="3.5703125" style="84" customWidth="1"/>
    <col min="12821" max="12821" width="11.140625" style="84" customWidth="1"/>
    <col min="12822" max="12822" width="11.85546875" style="84" bestFit="1" customWidth="1"/>
    <col min="12823" max="12823" width="40.42578125" style="84" bestFit="1" customWidth="1"/>
    <col min="12824" max="12824" width="2.140625" style="84" customWidth="1"/>
    <col min="12825" max="12825" width="9.5703125" style="84" customWidth="1"/>
    <col min="12826" max="12826" width="2.140625" style="84" customWidth="1"/>
    <col min="12827" max="12827" width="13.5703125" style="84" customWidth="1"/>
    <col min="12828" max="12828" width="2.140625" style="84" customWidth="1"/>
    <col min="12829" max="12829" width="13.5703125" style="84" customWidth="1"/>
    <col min="12830" max="12830" width="2.140625" style="84" customWidth="1"/>
    <col min="12831" max="12831" width="13.5703125" style="84" customWidth="1"/>
    <col min="12832" max="12832" width="2.140625" style="84" customWidth="1"/>
    <col min="12833" max="12833" width="13.5703125" style="84" customWidth="1"/>
    <col min="12834" max="12834" width="2.140625" style="84" customWidth="1"/>
    <col min="12835" max="12835" width="13.5703125" style="84" customWidth="1"/>
    <col min="12836" max="12836" width="2.140625" style="84" customWidth="1"/>
    <col min="12837" max="12838" width="13.5703125" style="84" customWidth="1"/>
    <col min="12839" max="13056" width="9.140625" style="84"/>
    <col min="13057" max="13057" width="3.5703125" style="84" customWidth="1"/>
    <col min="13058" max="13058" width="6.85546875" style="84" bestFit="1" customWidth="1"/>
    <col min="13059" max="13059" width="10.85546875" style="84" bestFit="1" customWidth="1"/>
    <col min="13060" max="13060" width="40.42578125" style="84" bestFit="1" customWidth="1"/>
    <col min="13061" max="13061" width="2.140625" style="84" customWidth="1"/>
    <col min="13062" max="13062" width="9.5703125" style="84" customWidth="1"/>
    <col min="13063" max="13063" width="2.140625" style="84" customWidth="1"/>
    <col min="13064" max="13064" width="13.5703125" style="84" customWidth="1"/>
    <col min="13065" max="13065" width="2.140625" style="84" customWidth="1"/>
    <col min="13066" max="13066" width="13.5703125" style="84" customWidth="1"/>
    <col min="13067" max="13067" width="2.140625" style="84" customWidth="1"/>
    <col min="13068" max="13068" width="13.5703125" style="84" customWidth="1"/>
    <col min="13069" max="13069" width="2.140625" style="84" customWidth="1"/>
    <col min="13070" max="13070" width="13.5703125" style="84" customWidth="1"/>
    <col min="13071" max="13071" width="2.140625" style="84" customWidth="1"/>
    <col min="13072" max="13072" width="13.5703125" style="84" customWidth="1"/>
    <col min="13073" max="13073" width="2.140625" style="84" customWidth="1"/>
    <col min="13074" max="13074" width="13.5703125" style="84" customWidth="1"/>
    <col min="13075" max="13075" width="3.140625" style="84" customWidth="1"/>
    <col min="13076" max="13076" width="3.5703125" style="84" customWidth="1"/>
    <col min="13077" max="13077" width="11.140625" style="84" customWidth="1"/>
    <col min="13078" max="13078" width="11.85546875" style="84" bestFit="1" customWidth="1"/>
    <col min="13079" max="13079" width="40.42578125" style="84" bestFit="1" customWidth="1"/>
    <col min="13080" max="13080" width="2.140625" style="84" customWidth="1"/>
    <col min="13081" max="13081" width="9.5703125" style="84" customWidth="1"/>
    <col min="13082" max="13082" width="2.140625" style="84" customWidth="1"/>
    <col min="13083" max="13083" width="13.5703125" style="84" customWidth="1"/>
    <col min="13084" max="13084" width="2.140625" style="84" customWidth="1"/>
    <col min="13085" max="13085" width="13.5703125" style="84" customWidth="1"/>
    <col min="13086" max="13086" width="2.140625" style="84" customWidth="1"/>
    <col min="13087" max="13087" width="13.5703125" style="84" customWidth="1"/>
    <col min="13088" max="13088" width="2.140625" style="84" customWidth="1"/>
    <col min="13089" max="13089" width="13.5703125" style="84" customWidth="1"/>
    <col min="13090" max="13090" width="2.140625" style="84" customWidth="1"/>
    <col min="13091" max="13091" width="13.5703125" style="84" customWidth="1"/>
    <col min="13092" max="13092" width="2.140625" style="84" customWidth="1"/>
    <col min="13093" max="13094" width="13.5703125" style="84" customWidth="1"/>
    <col min="13095" max="13312" width="9.140625" style="84"/>
    <col min="13313" max="13313" width="3.5703125" style="84" customWidth="1"/>
    <col min="13314" max="13314" width="6.85546875" style="84" bestFit="1" customWidth="1"/>
    <col min="13315" max="13315" width="10.85546875" style="84" bestFit="1" customWidth="1"/>
    <col min="13316" max="13316" width="40.42578125" style="84" bestFit="1" customWidth="1"/>
    <col min="13317" max="13317" width="2.140625" style="84" customWidth="1"/>
    <col min="13318" max="13318" width="9.5703125" style="84" customWidth="1"/>
    <col min="13319" max="13319" width="2.140625" style="84" customWidth="1"/>
    <col min="13320" max="13320" width="13.5703125" style="84" customWidth="1"/>
    <col min="13321" max="13321" width="2.140625" style="84" customWidth="1"/>
    <col min="13322" max="13322" width="13.5703125" style="84" customWidth="1"/>
    <col min="13323" max="13323" width="2.140625" style="84" customWidth="1"/>
    <col min="13324" max="13324" width="13.5703125" style="84" customWidth="1"/>
    <col min="13325" max="13325" width="2.140625" style="84" customWidth="1"/>
    <col min="13326" max="13326" width="13.5703125" style="84" customWidth="1"/>
    <col min="13327" max="13327" width="2.140625" style="84" customWidth="1"/>
    <col min="13328" max="13328" width="13.5703125" style="84" customWidth="1"/>
    <col min="13329" max="13329" width="2.140625" style="84" customWidth="1"/>
    <col min="13330" max="13330" width="13.5703125" style="84" customWidth="1"/>
    <col min="13331" max="13331" width="3.140625" style="84" customWidth="1"/>
    <col min="13332" max="13332" width="3.5703125" style="84" customWidth="1"/>
    <col min="13333" max="13333" width="11.140625" style="84" customWidth="1"/>
    <col min="13334" max="13334" width="11.85546875" style="84" bestFit="1" customWidth="1"/>
    <col min="13335" max="13335" width="40.42578125" style="84" bestFit="1" customWidth="1"/>
    <col min="13336" max="13336" width="2.140625" style="84" customWidth="1"/>
    <col min="13337" max="13337" width="9.5703125" style="84" customWidth="1"/>
    <col min="13338" max="13338" width="2.140625" style="84" customWidth="1"/>
    <col min="13339" max="13339" width="13.5703125" style="84" customWidth="1"/>
    <col min="13340" max="13340" width="2.140625" style="84" customWidth="1"/>
    <col min="13341" max="13341" width="13.5703125" style="84" customWidth="1"/>
    <col min="13342" max="13342" width="2.140625" style="84" customWidth="1"/>
    <col min="13343" max="13343" width="13.5703125" style="84" customWidth="1"/>
    <col min="13344" max="13344" width="2.140625" style="84" customWidth="1"/>
    <col min="13345" max="13345" width="13.5703125" style="84" customWidth="1"/>
    <col min="13346" max="13346" width="2.140625" style="84" customWidth="1"/>
    <col min="13347" max="13347" width="13.5703125" style="84" customWidth="1"/>
    <col min="13348" max="13348" width="2.140625" style="84" customWidth="1"/>
    <col min="13349" max="13350" width="13.5703125" style="84" customWidth="1"/>
    <col min="13351" max="13568" width="9.140625" style="84"/>
    <col min="13569" max="13569" width="3.5703125" style="84" customWidth="1"/>
    <col min="13570" max="13570" width="6.85546875" style="84" bestFit="1" customWidth="1"/>
    <col min="13571" max="13571" width="10.85546875" style="84" bestFit="1" customWidth="1"/>
    <col min="13572" max="13572" width="40.42578125" style="84" bestFit="1" customWidth="1"/>
    <col min="13573" max="13573" width="2.140625" style="84" customWidth="1"/>
    <col min="13574" max="13574" width="9.5703125" style="84" customWidth="1"/>
    <col min="13575" max="13575" width="2.140625" style="84" customWidth="1"/>
    <col min="13576" max="13576" width="13.5703125" style="84" customWidth="1"/>
    <col min="13577" max="13577" width="2.140625" style="84" customWidth="1"/>
    <col min="13578" max="13578" width="13.5703125" style="84" customWidth="1"/>
    <col min="13579" max="13579" width="2.140625" style="84" customWidth="1"/>
    <col min="13580" max="13580" width="13.5703125" style="84" customWidth="1"/>
    <col min="13581" max="13581" width="2.140625" style="84" customWidth="1"/>
    <col min="13582" max="13582" width="13.5703125" style="84" customWidth="1"/>
    <col min="13583" max="13583" width="2.140625" style="84" customWidth="1"/>
    <col min="13584" max="13584" width="13.5703125" style="84" customWidth="1"/>
    <col min="13585" max="13585" width="2.140625" style="84" customWidth="1"/>
    <col min="13586" max="13586" width="13.5703125" style="84" customWidth="1"/>
    <col min="13587" max="13587" width="3.140625" style="84" customWidth="1"/>
    <col min="13588" max="13588" width="3.5703125" style="84" customWidth="1"/>
    <col min="13589" max="13589" width="11.140625" style="84" customWidth="1"/>
    <col min="13590" max="13590" width="11.85546875" style="84" bestFit="1" customWidth="1"/>
    <col min="13591" max="13591" width="40.42578125" style="84" bestFit="1" customWidth="1"/>
    <col min="13592" max="13592" width="2.140625" style="84" customWidth="1"/>
    <col min="13593" max="13593" width="9.5703125" style="84" customWidth="1"/>
    <col min="13594" max="13594" width="2.140625" style="84" customWidth="1"/>
    <col min="13595" max="13595" width="13.5703125" style="84" customWidth="1"/>
    <col min="13596" max="13596" width="2.140625" style="84" customWidth="1"/>
    <col min="13597" max="13597" width="13.5703125" style="84" customWidth="1"/>
    <col min="13598" max="13598" width="2.140625" style="84" customWidth="1"/>
    <col min="13599" max="13599" width="13.5703125" style="84" customWidth="1"/>
    <col min="13600" max="13600" width="2.140625" style="84" customWidth="1"/>
    <col min="13601" max="13601" width="13.5703125" style="84" customWidth="1"/>
    <col min="13602" max="13602" width="2.140625" style="84" customWidth="1"/>
    <col min="13603" max="13603" width="13.5703125" style="84" customWidth="1"/>
    <col min="13604" max="13604" width="2.140625" style="84" customWidth="1"/>
    <col min="13605" max="13606" width="13.5703125" style="84" customWidth="1"/>
    <col min="13607" max="13824" width="9.140625" style="84"/>
    <col min="13825" max="13825" width="3.5703125" style="84" customWidth="1"/>
    <col min="13826" max="13826" width="6.85546875" style="84" bestFit="1" customWidth="1"/>
    <col min="13827" max="13827" width="10.85546875" style="84" bestFit="1" customWidth="1"/>
    <col min="13828" max="13828" width="40.42578125" style="84" bestFit="1" customWidth="1"/>
    <col min="13829" max="13829" width="2.140625" style="84" customWidth="1"/>
    <col min="13830" max="13830" width="9.5703125" style="84" customWidth="1"/>
    <col min="13831" max="13831" width="2.140625" style="84" customWidth="1"/>
    <col min="13832" max="13832" width="13.5703125" style="84" customWidth="1"/>
    <col min="13833" max="13833" width="2.140625" style="84" customWidth="1"/>
    <col min="13834" max="13834" width="13.5703125" style="84" customWidth="1"/>
    <col min="13835" max="13835" width="2.140625" style="84" customWidth="1"/>
    <col min="13836" max="13836" width="13.5703125" style="84" customWidth="1"/>
    <col min="13837" max="13837" width="2.140625" style="84" customWidth="1"/>
    <col min="13838" max="13838" width="13.5703125" style="84" customWidth="1"/>
    <col min="13839" max="13839" width="2.140625" style="84" customWidth="1"/>
    <col min="13840" max="13840" width="13.5703125" style="84" customWidth="1"/>
    <col min="13841" max="13841" width="2.140625" style="84" customWidth="1"/>
    <col min="13842" max="13842" width="13.5703125" style="84" customWidth="1"/>
    <col min="13843" max="13843" width="3.140625" style="84" customWidth="1"/>
    <col min="13844" max="13844" width="3.5703125" style="84" customWidth="1"/>
    <col min="13845" max="13845" width="11.140625" style="84" customWidth="1"/>
    <col min="13846" max="13846" width="11.85546875" style="84" bestFit="1" customWidth="1"/>
    <col min="13847" max="13847" width="40.42578125" style="84" bestFit="1" customWidth="1"/>
    <col min="13848" max="13848" width="2.140625" style="84" customWidth="1"/>
    <col min="13849" max="13849" width="9.5703125" style="84" customWidth="1"/>
    <col min="13850" max="13850" width="2.140625" style="84" customWidth="1"/>
    <col min="13851" max="13851" width="13.5703125" style="84" customWidth="1"/>
    <col min="13852" max="13852" width="2.140625" style="84" customWidth="1"/>
    <col min="13853" max="13853" width="13.5703125" style="84" customWidth="1"/>
    <col min="13854" max="13854" width="2.140625" style="84" customWidth="1"/>
    <col min="13855" max="13855" width="13.5703125" style="84" customWidth="1"/>
    <col min="13856" max="13856" width="2.140625" style="84" customWidth="1"/>
    <col min="13857" max="13857" width="13.5703125" style="84" customWidth="1"/>
    <col min="13858" max="13858" width="2.140625" style="84" customWidth="1"/>
    <col min="13859" max="13859" width="13.5703125" style="84" customWidth="1"/>
    <col min="13860" max="13860" width="2.140625" style="84" customWidth="1"/>
    <col min="13861" max="13862" width="13.5703125" style="84" customWidth="1"/>
    <col min="13863" max="14080" width="9.140625" style="84"/>
    <col min="14081" max="14081" width="3.5703125" style="84" customWidth="1"/>
    <col min="14082" max="14082" width="6.85546875" style="84" bestFit="1" customWidth="1"/>
    <col min="14083" max="14083" width="10.85546875" style="84" bestFit="1" customWidth="1"/>
    <col min="14084" max="14084" width="40.42578125" style="84" bestFit="1" customWidth="1"/>
    <col min="14085" max="14085" width="2.140625" style="84" customWidth="1"/>
    <col min="14086" max="14086" width="9.5703125" style="84" customWidth="1"/>
    <col min="14087" max="14087" width="2.140625" style="84" customWidth="1"/>
    <col min="14088" max="14088" width="13.5703125" style="84" customWidth="1"/>
    <col min="14089" max="14089" width="2.140625" style="84" customWidth="1"/>
    <col min="14090" max="14090" width="13.5703125" style="84" customWidth="1"/>
    <col min="14091" max="14091" width="2.140625" style="84" customWidth="1"/>
    <col min="14092" max="14092" width="13.5703125" style="84" customWidth="1"/>
    <col min="14093" max="14093" width="2.140625" style="84" customWidth="1"/>
    <col min="14094" max="14094" width="13.5703125" style="84" customWidth="1"/>
    <col min="14095" max="14095" width="2.140625" style="84" customWidth="1"/>
    <col min="14096" max="14096" width="13.5703125" style="84" customWidth="1"/>
    <col min="14097" max="14097" width="2.140625" style="84" customWidth="1"/>
    <col min="14098" max="14098" width="13.5703125" style="84" customWidth="1"/>
    <col min="14099" max="14099" width="3.140625" style="84" customWidth="1"/>
    <col min="14100" max="14100" width="3.5703125" style="84" customWidth="1"/>
    <col min="14101" max="14101" width="11.140625" style="84" customWidth="1"/>
    <col min="14102" max="14102" width="11.85546875" style="84" bestFit="1" customWidth="1"/>
    <col min="14103" max="14103" width="40.42578125" style="84" bestFit="1" customWidth="1"/>
    <col min="14104" max="14104" width="2.140625" style="84" customWidth="1"/>
    <col min="14105" max="14105" width="9.5703125" style="84" customWidth="1"/>
    <col min="14106" max="14106" width="2.140625" style="84" customWidth="1"/>
    <col min="14107" max="14107" width="13.5703125" style="84" customWidth="1"/>
    <col min="14108" max="14108" width="2.140625" style="84" customWidth="1"/>
    <col min="14109" max="14109" width="13.5703125" style="84" customWidth="1"/>
    <col min="14110" max="14110" width="2.140625" style="84" customWidth="1"/>
    <col min="14111" max="14111" width="13.5703125" style="84" customWidth="1"/>
    <col min="14112" max="14112" width="2.140625" style="84" customWidth="1"/>
    <col min="14113" max="14113" width="13.5703125" style="84" customWidth="1"/>
    <col min="14114" max="14114" width="2.140625" style="84" customWidth="1"/>
    <col min="14115" max="14115" width="13.5703125" style="84" customWidth="1"/>
    <col min="14116" max="14116" width="2.140625" style="84" customWidth="1"/>
    <col min="14117" max="14118" width="13.5703125" style="84" customWidth="1"/>
    <col min="14119" max="14336" width="9.140625" style="84"/>
    <col min="14337" max="14337" width="3.5703125" style="84" customWidth="1"/>
    <col min="14338" max="14338" width="6.85546875" style="84" bestFit="1" customWidth="1"/>
    <col min="14339" max="14339" width="10.85546875" style="84" bestFit="1" customWidth="1"/>
    <col min="14340" max="14340" width="40.42578125" style="84" bestFit="1" customWidth="1"/>
    <col min="14341" max="14341" width="2.140625" style="84" customWidth="1"/>
    <col min="14342" max="14342" width="9.5703125" style="84" customWidth="1"/>
    <col min="14343" max="14343" width="2.140625" style="84" customWidth="1"/>
    <col min="14344" max="14344" width="13.5703125" style="84" customWidth="1"/>
    <col min="14345" max="14345" width="2.140625" style="84" customWidth="1"/>
    <col min="14346" max="14346" width="13.5703125" style="84" customWidth="1"/>
    <col min="14347" max="14347" width="2.140625" style="84" customWidth="1"/>
    <col min="14348" max="14348" width="13.5703125" style="84" customWidth="1"/>
    <col min="14349" max="14349" width="2.140625" style="84" customWidth="1"/>
    <col min="14350" max="14350" width="13.5703125" style="84" customWidth="1"/>
    <col min="14351" max="14351" width="2.140625" style="84" customWidth="1"/>
    <col min="14352" max="14352" width="13.5703125" style="84" customWidth="1"/>
    <col min="14353" max="14353" width="2.140625" style="84" customWidth="1"/>
    <col min="14354" max="14354" width="13.5703125" style="84" customWidth="1"/>
    <col min="14355" max="14355" width="3.140625" style="84" customWidth="1"/>
    <col min="14356" max="14356" width="3.5703125" style="84" customWidth="1"/>
    <col min="14357" max="14357" width="11.140625" style="84" customWidth="1"/>
    <col min="14358" max="14358" width="11.85546875" style="84" bestFit="1" customWidth="1"/>
    <col min="14359" max="14359" width="40.42578125" style="84" bestFit="1" customWidth="1"/>
    <col min="14360" max="14360" width="2.140625" style="84" customWidth="1"/>
    <col min="14361" max="14361" width="9.5703125" style="84" customWidth="1"/>
    <col min="14362" max="14362" width="2.140625" style="84" customWidth="1"/>
    <col min="14363" max="14363" width="13.5703125" style="84" customWidth="1"/>
    <col min="14364" max="14364" width="2.140625" style="84" customWidth="1"/>
    <col min="14365" max="14365" width="13.5703125" style="84" customWidth="1"/>
    <col min="14366" max="14366" width="2.140625" style="84" customWidth="1"/>
    <col min="14367" max="14367" width="13.5703125" style="84" customWidth="1"/>
    <col min="14368" max="14368" width="2.140625" style="84" customWidth="1"/>
    <col min="14369" max="14369" width="13.5703125" style="84" customWidth="1"/>
    <col min="14370" max="14370" width="2.140625" style="84" customWidth="1"/>
    <col min="14371" max="14371" width="13.5703125" style="84" customWidth="1"/>
    <col min="14372" max="14372" width="2.140625" style="84" customWidth="1"/>
    <col min="14373" max="14374" width="13.5703125" style="84" customWidth="1"/>
    <col min="14375" max="14592" width="9.140625" style="84"/>
    <col min="14593" max="14593" width="3.5703125" style="84" customWidth="1"/>
    <col min="14594" max="14594" width="6.85546875" style="84" bestFit="1" customWidth="1"/>
    <col min="14595" max="14595" width="10.85546875" style="84" bestFit="1" customWidth="1"/>
    <col min="14596" max="14596" width="40.42578125" style="84" bestFit="1" customWidth="1"/>
    <col min="14597" max="14597" width="2.140625" style="84" customWidth="1"/>
    <col min="14598" max="14598" width="9.5703125" style="84" customWidth="1"/>
    <col min="14599" max="14599" width="2.140625" style="84" customWidth="1"/>
    <col min="14600" max="14600" width="13.5703125" style="84" customWidth="1"/>
    <col min="14601" max="14601" width="2.140625" style="84" customWidth="1"/>
    <col min="14602" max="14602" width="13.5703125" style="84" customWidth="1"/>
    <col min="14603" max="14603" width="2.140625" style="84" customWidth="1"/>
    <col min="14604" max="14604" width="13.5703125" style="84" customWidth="1"/>
    <col min="14605" max="14605" width="2.140625" style="84" customWidth="1"/>
    <col min="14606" max="14606" width="13.5703125" style="84" customWidth="1"/>
    <col min="14607" max="14607" width="2.140625" style="84" customWidth="1"/>
    <col min="14608" max="14608" width="13.5703125" style="84" customWidth="1"/>
    <col min="14609" max="14609" width="2.140625" style="84" customWidth="1"/>
    <col min="14610" max="14610" width="13.5703125" style="84" customWidth="1"/>
    <col min="14611" max="14611" width="3.140625" style="84" customWidth="1"/>
    <col min="14612" max="14612" width="3.5703125" style="84" customWidth="1"/>
    <col min="14613" max="14613" width="11.140625" style="84" customWidth="1"/>
    <col min="14614" max="14614" width="11.85546875" style="84" bestFit="1" customWidth="1"/>
    <col min="14615" max="14615" width="40.42578125" style="84" bestFit="1" customWidth="1"/>
    <col min="14616" max="14616" width="2.140625" style="84" customWidth="1"/>
    <col min="14617" max="14617" width="9.5703125" style="84" customWidth="1"/>
    <col min="14618" max="14618" width="2.140625" style="84" customWidth="1"/>
    <col min="14619" max="14619" width="13.5703125" style="84" customWidth="1"/>
    <col min="14620" max="14620" width="2.140625" style="84" customWidth="1"/>
    <col min="14621" max="14621" width="13.5703125" style="84" customWidth="1"/>
    <col min="14622" max="14622" width="2.140625" style="84" customWidth="1"/>
    <col min="14623" max="14623" width="13.5703125" style="84" customWidth="1"/>
    <col min="14624" max="14624" width="2.140625" style="84" customWidth="1"/>
    <col min="14625" max="14625" width="13.5703125" style="84" customWidth="1"/>
    <col min="14626" max="14626" width="2.140625" style="84" customWidth="1"/>
    <col min="14627" max="14627" width="13.5703125" style="84" customWidth="1"/>
    <col min="14628" max="14628" width="2.140625" style="84" customWidth="1"/>
    <col min="14629" max="14630" width="13.5703125" style="84" customWidth="1"/>
    <col min="14631" max="14848" width="9.140625" style="84"/>
    <col min="14849" max="14849" width="3.5703125" style="84" customWidth="1"/>
    <col min="14850" max="14850" width="6.85546875" style="84" bestFit="1" customWidth="1"/>
    <col min="14851" max="14851" width="10.85546875" style="84" bestFit="1" customWidth="1"/>
    <col min="14852" max="14852" width="40.42578125" style="84" bestFit="1" customWidth="1"/>
    <col min="14853" max="14853" width="2.140625" style="84" customWidth="1"/>
    <col min="14854" max="14854" width="9.5703125" style="84" customWidth="1"/>
    <col min="14855" max="14855" width="2.140625" style="84" customWidth="1"/>
    <col min="14856" max="14856" width="13.5703125" style="84" customWidth="1"/>
    <col min="14857" max="14857" width="2.140625" style="84" customWidth="1"/>
    <col min="14858" max="14858" width="13.5703125" style="84" customWidth="1"/>
    <col min="14859" max="14859" width="2.140625" style="84" customWidth="1"/>
    <col min="14860" max="14860" width="13.5703125" style="84" customWidth="1"/>
    <col min="14861" max="14861" width="2.140625" style="84" customWidth="1"/>
    <col min="14862" max="14862" width="13.5703125" style="84" customWidth="1"/>
    <col min="14863" max="14863" width="2.140625" style="84" customWidth="1"/>
    <col min="14864" max="14864" width="13.5703125" style="84" customWidth="1"/>
    <col min="14865" max="14865" width="2.140625" style="84" customWidth="1"/>
    <col min="14866" max="14866" width="13.5703125" style="84" customWidth="1"/>
    <col min="14867" max="14867" width="3.140625" style="84" customWidth="1"/>
    <col min="14868" max="14868" width="3.5703125" style="84" customWidth="1"/>
    <col min="14869" max="14869" width="11.140625" style="84" customWidth="1"/>
    <col min="14870" max="14870" width="11.85546875" style="84" bestFit="1" customWidth="1"/>
    <col min="14871" max="14871" width="40.42578125" style="84" bestFit="1" customWidth="1"/>
    <col min="14872" max="14872" width="2.140625" style="84" customWidth="1"/>
    <col min="14873" max="14873" width="9.5703125" style="84" customWidth="1"/>
    <col min="14874" max="14874" width="2.140625" style="84" customWidth="1"/>
    <col min="14875" max="14875" width="13.5703125" style="84" customWidth="1"/>
    <col min="14876" max="14876" width="2.140625" style="84" customWidth="1"/>
    <col min="14877" max="14877" width="13.5703125" style="84" customWidth="1"/>
    <col min="14878" max="14878" width="2.140625" style="84" customWidth="1"/>
    <col min="14879" max="14879" width="13.5703125" style="84" customWidth="1"/>
    <col min="14880" max="14880" width="2.140625" style="84" customWidth="1"/>
    <col min="14881" max="14881" width="13.5703125" style="84" customWidth="1"/>
    <col min="14882" max="14882" width="2.140625" style="84" customWidth="1"/>
    <col min="14883" max="14883" width="13.5703125" style="84" customWidth="1"/>
    <col min="14884" max="14884" width="2.140625" style="84" customWidth="1"/>
    <col min="14885" max="14886" width="13.5703125" style="84" customWidth="1"/>
    <col min="14887" max="15104" width="9.140625" style="84"/>
    <col min="15105" max="15105" width="3.5703125" style="84" customWidth="1"/>
    <col min="15106" max="15106" width="6.85546875" style="84" bestFit="1" customWidth="1"/>
    <col min="15107" max="15107" width="10.85546875" style="84" bestFit="1" customWidth="1"/>
    <col min="15108" max="15108" width="40.42578125" style="84" bestFit="1" customWidth="1"/>
    <col min="15109" max="15109" width="2.140625" style="84" customWidth="1"/>
    <col min="15110" max="15110" width="9.5703125" style="84" customWidth="1"/>
    <col min="15111" max="15111" width="2.140625" style="84" customWidth="1"/>
    <col min="15112" max="15112" width="13.5703125" style="84" customWidth="1"/>
    <col min="15113" max="15113" width="2.140625" style="84" customWidth="1"/>
    <col min="15114" max="15114" width="13.5703125" style="84" customWidth="1"/>
    <col min="15115" max="15115" width="2.140625" style="84" customWidth="1"/>
    <col min="15116" max="15116" width="13.5703125" style="84" customWidth="1"/>
    <col min="15117" max="15117" width="2.140625" style="84" customWidth="1"/>
    <col min="15118" max="15118" width="13.5703125" style="84" customWidth="1"/>
    <col min="15119" max="15119" width="2.140625" style="84" customWidth="1"/>
    <col min="15120" max="15120" width="13.5703125" style="84" customWidth="1"/>
    <col min="15121" max="15121" width="2.140625" style="84" customWidth="1"/>
    <col min="15122" max="15122" width="13.5703125" style="84" customWidth="1"/>
    <col min="15123" max="15123" width="3.140625" style="84" customWidth="1"/>
    <col min="15124" max="15124" width="3.5703125" style="84" customWidth="1"/>
    <col min="15125" max="15125" width="11.140625" style="84" customWidth="1"/>
    <col min="15126" max="15126" width="11.85546875" style="84" bestFit="1" customWidth="1"/>
    <col min="15127" max="15127" width="40.42578125" style="84" bestFit="1" customWidth="1"/>
    <col min="15128" max="15128" width="2.140625" style="84" customWidth="1"/>
    <col min="15129" max="15129" width="9.5703125" style="84" customWidth="1"/>
    <col min="15130" max="15130" width="2.140625" style="84" customWidth="1"/>
    <col min="15131" max="15131" width="13.5703125" style="84" customWidth="1"/>
    <col min="15132" max="15132" width="2.140625" style="84" customWidth="1"/>
    <col min="15133" max="15133" width="13.5703125" style="84" customWidth="1"/>
    <col min="15134" max="15134" width="2.140625" style="84" customWidth="1"/>
    <col min="15135" max="15135" width="13.5703125" style="84" customWidth="1"/>
    <col min="15136" max="15136" width="2.140625" style="84" customWidth="1"/>
    <col min="15137" max="15137" width="13.5703125" style="84" customWidth="1"/>
    <col min="15138" max="15138" width="2.140625" style="84" customWidth="1"/>
    <col min="15139" max="15139" width="13.5703125" style="84" customWidth="1"/>
    <col min="15140" max="15140" width="2.140625" style="84" customWidth="1"/>
    <col min="15141" max="15142" width="13.5703125" style="84" customWidth="1"/>
    <col min="15143" max="15360" width="9.140625" style="84"/>
    <col min="15361" max="15361" width="3.5703125" style="84" customWidth="1"/>
    <col min="15362" max="15362" width="6.85546875" style="84" bestFit="1" customWidth="1"/>
    <col min="15363" max="15363" width="10.85546875" style="84" bestFit="1" customWidth="1"/>
    <col min="15364" max="15364" width="40.42578125" style="84" bestFit="1" customWidth="1"/>
    <col min="15365" max="15365" width="2.140625" style="84" customWidth="1"/>
    <col min="15366" max="15366" width="9.5703125" style="84" customWidth="1"/>
    <col min="15367" max="15367" width="2.140625" style="84" customWidth="1"/>
    <col min="15368" max="15368" width="13.5703125" style="84" customWidth="1"/>
    <col min="15369" max="15369" width="2.140625" style="84" customWidth="1"/>
    <col min="15370" max="15370" width="13.5703125" style="84" customWidth="1"/>
    <col min="15371" max="15371" width="2.140625" style="84" customWidth="1"/>
    <col min="15372" max="15372" width="13.5703125" style="84" customWidth="1"/>
    <col min="15373" max="15373" width="2.140625" style="84" customWidth="1"/>
    <col min="15374" max="15374" width="13.5703125" style="84" customWidth="1"/>
    <col min="15375" max="15375" width="2.140625" style="84" customWidth="1"/>
    <col min="15376" max="15376" width="13.5703125" style="84" customWidth="1"/>
    <col min="15377" max="15377" width="2.140625" style="84" customWidth="1"/>
    <col min="15378" max="15378" width="13.5703125" style="84" customWidth="1"/>
    <col min="15379" max="15379" width="3.140625" style="84" customWidth="1"/>
    <col min="15380" max="15380" width="3.5703125" style="84" customWidth="1"/>
    <col min="15381" max="15381" width="11.140625" style="84" customWidth="1"/>
    <col min="15382" max="15382" width="11.85546875" style="84" bestFit="1" customWidth="1"/>
    <col min="15383" max="15383" width="40.42578125" style="84" bestFit="1" customWidth="1"/>
    <col min="15384" max="15384" width="2.140625" style="84" customWidth="1"/>
    <col min="15385" max="15385" width="9.5703125" style="84" customWidth="1"/>
    <col min="15386" max="15386" width="2.140625" style="84" customWidth="1"/>
    <col min="15387" max="15387" width="13.5703125" style="84" customWidth="1"/>
    <col min="15388" max="15388" width="2.140625" style="84" customWidth="1"/>
    <col min="15389" max="15389" width="13.5703125" style="84" customWidth="1"/>
    <col min="15390" max="15390" width="2.140625" style="84" customWidth="1"/>
    <col min="15391" max="15391" width="13.5703125" style="84" customWidth="1"/>
    <col min="15392" max="15392" width="2.140625" style="84" customWidth="1"/>
    <col min="15393" max="15393" width="13.5703125" style="84" customWidth="1"/>
    <col min="15394" max="15394" width="2.140625" style="84" customWidth="1"/>
    <col min="15395" max="15395" width="13.5703125" style="84" customWidth="1"/>
    <col min="15396" max="15396" width="2.140625" style="84" customWidth="1"/>
    <col min="15397" max="15398" width="13.5703125" style="84" customWidth="1"/>
    <col min="15399" max="15616" width="9.140625" style="84"/>
    <col min="15617" max="15617" width="3.5703125" style="84" customWidth="1"/>
    <col min="15618" max="15618" width="6.85546875" style="84" bestFit="1" customWidth="1"/>
    <col min="15619" max="15619" width="10.85546875" style="84" bestFit="1" customWidth="1"/>
    <col min="15620" max="15620" width="40.42578125" style="84" bestFit="1" customWidth="1"/>
    <col min="15621" max="15621" width="2.140625" style="84" customWidth="1"/>
    <col min="15622" max="15622" width="9.5703125" style="84" customWidth="1"/>
    <col min="15623" max="15623" width="2.140625" style="84" customWidth="1"/>
    <col min="15624" max="15624" width="13.5703125" style="84" customWidth="1"/>
    <col min="15625" max="15625" width="2.140625" style="84" customWidth="1"/>
    <col min="15626" max="15626" width="13.5703125" style="84" customWidth="1"/>
    <col min="15627" max="15627" width="2.140625" style="84" customWidth="1"/>
    <col min="15628" max="15628" width="13.5703125" style="84" customWidth="1"/>
    <col min="15629" max="15629" width="2.140625" style="84" customWidth="1"/>
    <col min="15630" max="15630" width="13.5703125" style="84" customWidth="1"/>
    <col min="15631" max="15631" width="2.140625" style="84" customWidth="1"/>
    <col min="15632" max="15632" width="13.5703125" style="84" customWidth="1"/>
    <col min="15633" max="15633" width="2.140625" style="84" customWidth="1"/>
    <col min="15634" max="15634" width="13.5703125" style="84" customWidth="1"/>
    <col min="15635" max="15635" width="3.140625" style="84" customWidth="1"/>
    <col min="15636" max="15636" width="3.5703125" style="84" customWidth="1"/>
    <col min="15637" max="15637" width="11.140625" style="84" customWidth="1"/>
    <col min="15638" max="15638" width="11.85546875" style="84" bestFit="1" customWidth="1"/>
    <col min="15639" max="15639" width="40.42578125" style="84" bestFit="1" customWidth="1"/>
    <col min="15640" max="15640" width="2.140625" style="84" customWidth="1"/>
    <col min="15641" max="15641" width="9.5703125" style="84" customWidth="1"/>
    <col min="15642" max="15642" width="2.140625" style="84" customWidth="1"/>
    <col min="15643" max="15643" width="13.5703125" style="84" customWidth="1"/>
    <col min="15644" max="15644" width="2.140625" style="84" customWidth="1"/>
    <col min="15645" max="15645" width="13.5703125" style="84" customWidth="1"/>
    <col min="15646" max="15646" width="2.140625" style="84" customWidth="1"/>
    <col min="15647" max="15647" width="13.5703125" style="84" customWidth="1"/>
    <col min="15648" max="15648" width="2.140625" style="84" customWidth="1"/>
    <col min="15649" max="15649" width="13.5703125" style="84" customWidth="1"/>
    <col min="15650" max="15650" width="2.140625" style="84" customWidth="1"/>
    <col min="15651" max="15651" width="13.5703125" style="84" customWidth="1"/>
    <col min="15652" max="15652" width="2.140625" style="84" customWidth="1"/>
    <col min="15653" max="15654" width="13.5703125" style="84" customWidth="1"/>
    <col min="15655" max="15872" width="9.140625" style="84"/>
    <col min="15873" max="15873" width="3.5703125" style="84" customWidth="1"/>
    <col min="15874" max="15874" width="6.85546875" style="84" bestFit="1" customWidth="1"/>
    <col min="15875" max="15875" width="10.85546875" style="84" bestFit="1" customWidth="1"/>
    <col min="15876" max="15876" width="40.42578125" style="84" bestFit="1" customWidth="1"/>
    <col min="15877" max="15877" width="2.140625" style="84" customWidth="1"/>
    <col min="15878" max="15878" width="9.5703125" style="84" customWidth="1"/>
    <col min="15879" max="15879" width="2.140625" style="84" customWidth="1"/>
    <col min="15880" max="15880" width="13.5703125" style="84" customWidth="1"/>
    <col min="15881" max="15881" width="2.140625" style="84" customWidth="1"/>
    <col min="15882" max="15882" width="13.5703125" style="84" customWidth="1"/>
    <col min="15883" max="15883" width="2.140625" style="84" customWidth="1"/>
    <col min="15884" max="15884" width="13.5703125" style="84" customWidth="1"/>
    <col min="15885" max="15885" width="2.140625" style="84" customWidth="1"/>
    <col min="15886" max="15886" width="13.5703125" style="84" customWidth="1"/>
    <col min="15887" max="15887" width="2.140625" style="84" customWidth="1"/>
    <col min="15888" max="15888" width="13.5703125" style="84" customWidth="1"/>
    <col min="15889" max="15889" width="2.140625" style="84" customWidth="1"/>
    <col min="15890" max="15890" width="13.5703125" style="84" customWidth="1"/>
    <col min="15891" max="15891" width="3.140625" style="84" customWidth="1"/>
    <col min="15892" max="15892" width="3.5703125" style="84" customWidth="1"/>
    <col min="15893" max="15893" width="11.140625" style="84" customWidth="1"/>
    <col min="15894" max="15894" width="11.85546875" style="84" bestFit="1" customWidth="1"/>
    <col min="15895" max="15895" width="40.42578125" style="84" bestFit="1" customWidth="1"/>
    <col min="15896" max="15896" width="2.140625" style="84" customWidth="1"/>
    <col min="15897" max="15897" width="9.5703125" style="84" customWidth="1"/>
    <col min="15898" max="15898" width="2.140625" style="84" customWidth="1"/>
    <col min="15899" max="15899" width="13.5703125" style="84" customWidth="1"/>
    <col min="15900" max="15900" width="2.140625" style="84" customWidth="1"/>
    <col min="15901" max="15901" width="13.5703125" style="84" customWidth="1"/>
    <col min="15902" max="15902" width="2.140625" style="84" customWidth="1"/>
    <col min="15903" max="15903" width="13.5703125" style="84" customWidth="1"/>
    <col min="15904" max="15904" width="2.140625" style="84" customWidth="1"/>
    <col min="15905" max="15905" width="13.5703125" style="84" customWidth="1"/>
    <col min="15906" max="15906" width="2.140625" style="84" customWidth="1"/>
    <col min="15907" max="15907" width="13.5703125" style="84" customWidth="1"/>
    <col min="15908" max="15908" width="2.140625" style="84" customWidth="1"/>
    <col min="15909" max="15910" width="13.5703125" style="84" customWidth="1"/>
    <col min="15911" max="16128" width="9.140625" style="84"/>
    <col min="16129" max="16129" width="3.5703125" style="84" customWidth="1"/>
    <col min="16130" max="16130" width="6.85546875" style="84" bestFit="1" customWidth="1"/>
    <col min="16131" max="16131" width="10.85546875" style="84" bestFit="1" customWidth="1"/>
    <col min="16132" max="16132" width="40.42578125" style="84" bestFit="1" customWidth="1"/>
    <col min="16133" max="16133" width="2.140625" style="84" customWidth="1"/>
    <col min="16134" max="16134" width="9.5703125" style="84" customWidth="1"/>
    <col min="16135" max="16135" width="2.140625" style="84" customWidth="1"/>
    <col min="16136" max="16136" width="13.5703125" style="84" customWidth="1"/>
    <col min="16137" max="16137" width="2.140625" style="84" customWidth="1"/>
    <col min="16138" max="16138" width="13.5703125" style="84" customWidth="1"/>
    <col min="16139" max="16139" width="2.140625" style="84" customWidth="1"/>
    <col min="16140" max="16140" width="13.5703125" style="84" customWidth="1"/>
    <col min="16141" max="16141" width="2.140625" style="84" customWidth="1"/>
    <col min="16142" max="16142" width="13.5703125" style="84" customWidth="1"/>
    <col min="16143" max="16143" width="2.140625" style="84" customWidth="1"/>
    <col min="16144" max="16144" width="13.5703125" style="84" customWidth="1"/>
    <col min="16145" max="16145" width="2.140625" style="84" customWidth="1"/>
    <col min="16146" max="16146" width="13.5703125" style="84" customWidth="1"/>
    <col min="16147" max="16147" width="3.140625" style="84" customWidth="1"/>
    <col min="16148" max="16148" width="3.5703125" style="84" customWidth="1"/>
    <col min="16149" max="16149" width="11.140625" style="84" customWidth="1"/>
    <col min="16150" max="16150" width="11.85546875" style="84" bestFit="1" customWidth="1"/>
    <col min="16151" max="16151" width="40.42578125" style="84" bestFit="1" customWidth="1"/>
    <col min="16152" max="16152" width="2.140625" style="84" customWidth="1"/>
    <col min="16153" max="16153" width="9.5703125" style="84" customWidth="1"/>
    <col min="16154" max="16154" width="2.140625" style="84" customWidth="1"/>
    <col min="16155" max="16155" width="13.5703125" style="84" customWidth="1"/>
    <col min="16156" max="16156" width="2.140625" style="84" customWidth="1"/>
    <col min="16157" max="16157" width="13.5703125" style="84" customWidth="1"/>
    <col min="16158" max="16158" width="2.140625" style="84" customWidth="1"/>
    <col min="16159" max="16159" width="13.5703125" style="84" customWidth="1"/>
    <col min="16160" max="16160" width="2.140625" style="84" customWidth="1"/>
    <col min="16161" max="16161" width="13.5703125" style="84" customWidth="1"/>
    <col min="16162" max="16162" width="2.140625" style="84" customWidth="1"/>
    <col min="16163" max="16163" width="13.5703125" style="84" customWidth="1"/>
    <col min="16164" max="16164" width="2.140625" style="84" customWidth="1"/>
    <col min="16165" max="16166" width="13.5703125" style="84" customWidth="1"/>
    <col min="16167" max="16384" width="9.140625" style="84"/>
  </cols>
  <sheetData>
    <row r="1" spans="1:37" ht="14.1" customHeight="1" thickBot="1" x14ac:dyDescent="0.25">
      <c r="A1" s="605" t="s">
        <v>127</v>
      </c>
      <c r="B1" s="114"/>
      <c r="C1" s="114"/>
      <c r="D1" s="114"/>
      <c r="E1" s="114"/>
      <c r="F1" s="114"/>
      <c r="G1" s="114" t="s">
        <v>128</v>
      </c>
      <c r="H1" s="114"/>
      <c r="I1" s="114"/>
      <c r="J1" s="114"/>
      <c r="K1" s="114"/>
      <c r="L1" s="114"/>
      <c r="M1" s="114"/>
      <c r="N1" s="114"/>
      <c r="O1" s="114"/>
      <c r="P1" s="638">
        <v>10</v>
      </c>
      <c r="Q1" s="114"/>
      <c r="R1" s="114" t="s">
        <v>323</v>
      </c>
      <c r="T1" s="605" t="s">
        <v>127</v>
      </c>
      <c r="U1" s="114"/>
      <c r="V1" s="114"/>
      <c r="W1" s="114"/>
      <c r="X1" s="114"/>
      <c r="Y1" s="114"/>
      <c r="Z1" s="114" t="s">
        <v>128</v>
      </c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 t="s">
        <v>324</v>
      </c>
    </row>
    <row r="2" spans="1:37" ht="14.1" customHeight="1" x14ac:dyDescent="0.2">
      <c r="A2" s="84" t="s">
        <v>129</v>
      </c>
      <c r="E2" s="88" t="s">
        <v>130</v>
      </c>
      <c r="F2" s="616" t="s">
        <v>131</v>
      </c>
      <c r="J2" s="623"/>
      <c r="K2" s="623"/>
      <c r="M2" s="623"/>
      <c r="N2" s="623"/>
      <c r="O2" s="623"/>
      <c r="P2" s="623" t="s">
        <v>132</v>
      </c>
      <c r="R2" s="604"/>
      <c r="S2" s="604"/>
      <c r="T2" s="84" t="s">
        <v>129</v>
      </c>
      <c r="X2" s="88" t="s">
        <v>130</v>
      </c>
      <c r="Y2" s="84" t="s">
        <v>131</v>
      </c>
      <c r="AC2" s="623"/>
      <c r="AD2" s="623"/>
      <c r="AF2" s="623"/>
      <c r="AG2" s="623"/>
      <c r="AH2" s="623"/>
      <c r="AI2" s="623" t="s">
        <v>132</v>
      </c>
      <c r="AK2" s="604"/>
    </row>
    <row r="3" spans="1:37" ht="14.1" customHeight="1" x14ac:dyDescent="0.2">
      <c r="F3" s="84" t="s">
        <v>133</v>
      </c>
      <c r="J3" s="88"/>
      <c r="K3" s="604"/>
      <c r="N3" s="88"/>
      <c r="O3" s="594"/>
      <c r="P3" s="600" t="s">
        <v>844</v>
      </c>
      <c r="R3" s="88"/>
      <c r="S3" s="604"/>
      <c r="Y3" s="84" t="s">
        <v>133</v>
      </c>
      <c r="AC3" s="88"/>
      <c r="AD3" s="604"/>
      <c r="AG3" s="88"/>
      <c r="AH3" s="88"/>
      <c r="AI3" s="604" t="s">
        <v>844</v>
      </c>
      <c r="AK3" s="88"/>
    </row>
    <row r="4" spans="1:37" ht="14.1" customHeight="1" x14ac:dyDescent="0.2">
      <c r="A4" s="84" t="s">
        <v>134</v>
      </c>
      <c r="J4" s="88"/>
      <c r="K4" s="604"/>
      <c r="L4" s="88"/>
      <c r="O4" s="594"/>
      <c r="P4" s="600"/>
      <c r="R4" s="88"/>
      <c r="S4" s="604"/>
      <c r="T4" s="84" t="s">
        <v>134</v>
      </c>
      <c r="AC4" s="88"/>
      <c r="AD4" s="604"/>
      <c r="AE4" s="88"/>
      <c r="AH4" s="88"/>
      <c r="AI4" s="604"/>
      <c r="AK4" s="88"/>
    </row>
    <row r="5" spans="1:37" ht="14.1" customHeight="1" x14ac:dyDescent="0.2">
      <c r="J5" s="88"/>
      <c r="K5" s="604"/>
      <c r="L5" s="88"/>
      <c r="O5" s="594"/>
      <c r="P5" s="600"/>
      <c r="R5" s="88"/>
      <c r="S5" s="604"/>
      <c r="AC5" s="88"/>
      <c r="AD5" s="604"/>
      <c r="AE5" s="88"/>
      <c r="AH5" s="88"/>
      <c r="AI5" s="604"/>
      <c r="AK5" s="88"/>
    </row>
    <row r="6" spans="1:37" ht="14.1" customHeight="1" thickBot="1" x14ac:dyDescent="0.25">
      <c r="A6" s="639" t="s">
        <v>135</v>
      </c>
      <c r="B6" s="114"/>
      <c r="C6" s="114"/>
      <c r="D6" s="114"/>
      <c r="E6" s="114"/>
      <c r="F6" s="114"/>
      <c r="G6" s="114"/>
      <c r="H6" s="606"/>
      <c r="I6" s="114"/>
      <c r="J6" s="114"/>
      <c r="K6" s="114"/>
      <c r="L6" s="114"/>
      <c r="M6" s="114"/>
      <c r="N6" s="114"/>
      <c r="O6" s="595"/>
      <c r="P6" s="605"/>
      <c r="Q6" s="114"/>
      <c r="R6" s="114"/>
      <c r="T6" s="625" t="s">
        <v>135</v>
      </c>
      <c r="U6" s="114"/>
      <c r="V6" s="114"/>
      <c r="W6" s="114"/>
      <c r="X6" s="114"/>
      <c r="Y6" s="114"/>
      <c r="Z6" s="114"/>
      <c r="AA6" s="606"/>
      <c r="AB6" s="114"/>
      <c r="AC6" s="114"/>
      <c r="AD6" s="114"/>
      <c r="AE6" s="114"/>
      <c r="AF6" s="114"/>
      <c r="AG6" s="114"/>
      <c r="AH6" s="114"/>
      <c r="AI6" s="605"/>
      <c r="AJ6" s="114"/>
      <c r="AK6" s="114"/>
    </row>
    <row r="7" spans="1:37" ht="14.1" customHeight="1" x14ac:dyDescent="0.2">
      <c r="C7" s="607"/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V7" s="607"/>
      <c r="W7" s="607"/>
      <c r="X7" s="607"/>
      <c r="Y7" s="607"/>
      <c r="Z7" s="607"/>
      <c r="AA7" s="607"/>
      <c r="AB7" s="607"/>
      <c r="AC7" s="607"/>
      <c r="AD7" s="607"/>
      <c r="AE7" s="607"/>
      <c r="AF7" s="607"/>
      <c r="AG7" s="607"/>
      <c r="AH7" s="607"/>
      <c r="AI7" s="607"/>
      <c r="AJ7" s="607"/>
      <c r="AK7" s="607"/>
    </row>
    <row r="8" spans="1:37" ht="14.1" customHeight="1" x14ac:dyDescent="0.2">
      <c r="C8" s="607" t="s">
        <v>136</v>
      </c>
      <c r="D8" s="607" t="s">
        <v>137</v>
      </c>
      <c r="E8" s="607"/>
      <c r="F8" s="607" t="s">
        <v>138</v>
      </c>
      <c r="G8" s="607"/>
      <c r="H8" s="607" t="s">
        <v>139</v>
      </c>
      <c r="I8" s="607"/>
      <c r="J8" s="237" t="s">
        <v>140</v>
      </c>
      <c r="K8" s="237"/>
      <c r="L8" s="607" t="s">
        <v>141</v>
      </c>
      <c r="M8" s="607"/>
      <c r="N8" s="607" t="s">
        <v>142</v>
      </c>
      <c r="O8" s="607"/>
      <c r="P8" s="607" t="s">
        <v>143</v>
      </c>
      <c r="Q8" s="607"/>
      <c r="R8" s="607" t="s">
        <v>144</v>
      </c>
      <c r="V8" s="607" t="s">
        <v>136</v>
      </c>
      <c r="W8" s="607" t="s">
        <v>137</v>
      </c>
      <c r="X8" s="607"/>
      <c r="Y8" s="607" t="s">
        <v>138</v>
      </c>
      <c r="Z8" s="607"/>
      <c r="AA8" s="607" t="s">
        <v>139</v>
      </c>
      <c r="AB8" s="607"/>
      <c r="AC8" s="237" t="s">
        <v>140</v>
      </c>
      <c r="AD8" s="237"/>
      <c r="AE8" s="607" t="s">
        <v>141</v>
      </c>
      <c r="AF8" s="607"/>
      <c r="AG8" s="607" t="s">
        <v>142</v>
      </c>
      <c r="AH8" s="607"/>
      <c r="AI8" s="607" t="s">
        <v>143</v>
      </c>
      <c r="AJ8" s="607"/>
      <c r="AK8" s="607" t="s">
        <v>144</v>
      </c>
    </row>
    <row r="9" spans="1:37" ht="14.1" customHeight="1" x14ac:dyDescent="0.2">
      <c r="C9" s="237" t="s">
        <v>145</v>
      </c>
      <c r="D9" s="237" t="s">
        <v>145</v>
      </c>
      <c r="F9" s="237" t="s">
        <v>6</v>
      </c>
      <c r="G9" s="237"/>
      <c r="H9" s="607" t="s">
        <v>48</v>
      </c>
      <c r="I9" s="237"/>
      <c r="J9" s="607" t="s">
        <v>40</v>
      </c>
      <c r="K9" s="237"/>
      <c r="L9" s="237" t="s">
        <v>40</v>
      </c>
      <c r="M9" s="237"/>
      <c r="P9" s="237" t="s">
        <v>48</v>
      </c>
      <c r="R9" s="237"/>
      <c r="V9" s="237" t="s">
        <v>145</v>
      </c>
      <c r="W9" s="237" t="s">
        <v>145</v>
      </c>
      <c r="Y9" s="237" t="s">
        <v>6</v>
      </c>
      <c r="Z9" s="237"/>
      <c r="AA9" s="607" t="s">
        <v>48</v>
      </c>
      <c r="AB9" s="237"/>
      <c r="AC9" s="607" t="s">
        <v>40</v>
      </c>
      <c r="AD9" s="237"/>
      <c r="AE9" s="237" t="s">
        <v>40</v>
      </c>
      <c r="AF9" s="237"/>
      <c r="AI9" s="237" t="s">
        <v>48</v>
      </c>
      <c r="AK9" s="237"/>
    </row>
    <row r="10" spans="1:37" ht="14.1" customHeight="1" x14ac:dyDescent="0.2">
      <c r="A10" s="84" t="s">
        <v>146</v>
      </c>
      <c r="B10" s="237"/>
      <c r="C10" s="237" t="s">
        <v>147</v>
      </c>
      <c r="D10" s="237" t="s">
        <v>147</v>
      </c>
      <c r="E10" s="607"/>
      <c r="F10" s="237" t="s">
        <v>148</v>
      </c>
      <c r="G10" s="237"/>
      <c r="H10" s="237" t="s">
        <v>149</v>
      </c>
      <c r="I10" s="237"/>
      <c r="J10" s="237" t="s">
        <v>48</v>
      </c>
      <c r="K10" s="607"/>
      <c r="L10" s="237" t="s">
        <v>48</v>
      </c>
      <c r="M10" s="604"/>
      <c r="N10" s="237" t="s">
        <v>150</v>
      </c>
      <c r="O10" s="607"/>
      <c r="P10" s="607" t="s">
        <v>149</v>
      </c>
      <c r="Q10" s="607"/>
      <c r="R10" s="237" t="s">
        <v>151</v>
      </c>
      <c r="T10" s="84" t="s">
        <v>146</v>
      </c>
      <c r="U10" s="237"/>
      <c r="V10" s="237" t="s">
        <v>147</v>
      </c>
      <c r="W10" s="237" t="s">
        <v>147</v>
      </c>
      <c r="X10" s="607"/>
      <c r="Y10" s="237" t="s">
        <v>148</v>
      </c>
      <c r="Z10" s="237"/>
      <c r="AA10" s="237" t="s">
        <v>149</v>
      </c>
      <c r="AB10" s="237"/>
      <c r="AC10" s="237" t="s">
        <v>48</v>
      </c>
      <c r="AD10" s="607"/>
      <c r="AE10" s="237" t="s">
        <v>48</v>
      </c>
      <c r="AF10" s="604"/>
      <c r="AG10" s="237" t="s">
        <v>150</v>
      </c>
      <c r="AH10" s="607"/>
      <c r="AI10" s="607" t="s">
        <v>149</v>
      </c>
      <c r="AJ10" s="607"/>
      <c r="AK10" s="237" t="s">
        <v>151</v>
      </c>
    </row>
    <row r="11" spans="1:37" ht="14.1" customHeight="1" thickBot="1" x14ac:dyDescent="0.25">
      <c r="A11" s="114" t="s">
        <v>152</v>
      </c>
      <c r="B11" s="606"/>
      <c r="C11" s="606" t="s">
        <v>52</v>
      </c>
      <c r="D11" s="606" t="s">
        <v>153</v>
      </c>
      <c r="E11" s="606"/>
      <c r="F11" s="608" t="s">
        <v>57</v>
      </c>
      <c r="G11" s="608"/>
      <c r="H11" s="608" t="s">
        <v>154</v>
      </c>
      <c r="I11" s="609"/>
      <c r="J11" s="608" t="s">
        <v>155</v>
      </c>
      <c r="K11" s="609"/>
      <c r="L11" s="609" t="s">
        <v>156</v>
      </c>
      <c r="M11" s="610"/>
      <c r="N11" s="610" t="s">
        <v>157</v>
      </c>
      <c r="O11" s="610"/>
      <c r="P11" s="610" t="s">
        <v>158</v>
      </c>
      <c r="Q11" s="610"/>
      <c r="R11" s="610" t="s">
        <v>3</v>
      </c>
      <c r="T11" s="114" t="s">
        <v>152</v>
      </c>
      <c r="U11" s="606"/>
      <c r="V11" s="606" t="s">
        <v>52</v>
      </c>
      <c r="W11" s="606" t="s">
        <v>153</v>
      </c>
      <c r="X11" s="606"/>
      <c r="Y11" s="608" t="s">
        <v>57</v>
      </c>
      <c r="Z11" s="608"/>
      <c r="AA11" s="608" t="s">
        <v>154</v>
      </c>
      <c r="AB11" s="609"/>
      <c r="AC11" s="608" t="s">
        <v>155</v>
      </c>
      <c r="AD11" s="609"/>
      <c r="AE11" s="609" t="s">
        <v>156</v>
      </c>
      <c r="AF11" s="610"/>
      <c r="AG11" s="610" t="s">
        <v>157</v>
      </c>
      <c r="AH11" s="610"/>
      <c r="AI11" s="610" t="s">
        <v>158</v>
      </c>
      <c r="AJ11" s="610"/>
      <c r="AK11" s="610" t="s">
        <v>3</v>
      </c>
    </row>
    <row r="12" spans="1:37" ht="14.1" customHeight="1" x14ac:dyDescent="0.2">
      <c r="A12" s="84">
        <v>1</v>
      </c>
      <c r="B12" s="596"/>
      <c r="T12" s="84">
        <v>1</v>
      </c>
      <c r="U12" s="596"/>
    </row>
    <row r="13" spans="1:37" ht="14.1" customHeight="1" x14ac:dyDescent="0.2">
      <c r="A13" s="84">
        <v>2</v>
      </c>
      <c r="B13" s="596"/>
      <c r="D13" s="84" t="s">
        <v>58</v>
      </c>
      <c r="F13" s="612">
        <v>19</v>
      </c>
      <c r="G13" s="613"/>
      <c r="H13" s="612">
        <v>3</v>
      </c>
      <c r="I13" s="613"/>
      <c r="J13" s="612">
        <v>4</v>
      </c>
      <c r="K13" s="613"/>
      <c r="L13" s="612">
        <v>5</v>
      </c>
      <c r="M13" s="613"/>
      <c r="N13" s="612">
        <v>6</v>
      </c>
      <c r="O13" s="613"/>
      <c r="P13" s="612">
        <v>7</v>
      </c>
      <c r="Q13" s="613"/>
      <c r="R13" s="612">
        <v>8</v>
      </c>
      <c r="T13" s="84">
        <v>2</v>
      </c>
      <c r="U13" s="596"/>
    </row>
    <row r="14" spans="1:37" ht="14.1" customHeight="1" x14ac:dyDescent="0.2">
      <c r="A14" s="84">
        <v>3</v>
      </c>
      <c r="B14" s="596"/>
      <c r="D14" s="84" t="s">
        <v>159</v>
      </c>
      <c r="T14" s="84">
        <v>3</v>
      </c>
      <c r="U14" s="596"/>
      <c r="W14" s="84" t="s">
        <v>68</v>
      </c>
      <c r="Y14" s="238"/>
      <c r="Z14" s="238"/>
      <c r="AA14" s="238">
        <v>2149950869.0699992</v>
      </c>
      <c r="AB14" s="238"/>
      <c r="AC14" s="238">
        <v>38903853.950000003</v>
      </c>
      <c r="AD14" s="238"/>
      <c r="AE14" s="238">
        <v>-8508904.4500000011</v>
      </c>
      <c r="AF14" s="238"/>
      <c r="AG14" s="238">
        <v>-12489.95</v>
      </c>
      <c r="AH14" s="238"/>
      <c r="AI14" s="238">
        <v>2180333328.6199994</v>
      </c>
      <c r="AJ14" s="238"/>
      <c r="AK14" s="238">
        <v>2159252370.8792305</v>
      </c>
    </row>
    <row r="15" spans="1:37" ht="14.1" customHeight="1" x14ac:dyDescent="0.2">
      <c r="A15" s="84">
        <v>4</v>
      </c>
      <c r="B15" s="596"/>
      <c r="D15" s="84" t="s">
        <v>160</v>
      </c>
      <c r="H15" s="85"/>
      <c r="I15" s="85"/>
      <c r="J15" s="75"/>
      <c r="K15" s="75"/>
      <c r="L15" s="75"/>
      <c r="M15" s="75"/>
      <c r="N15" s="75"/>
      <c r="O15" s="75"/>
      <c r="P15" s="86"/>
      <c r="Q15" s="86"/>
      <c r="R15" s="75"/>
      <c r="T15" s="84">
        <v>4</v>
      </c>
      <c r="U15" s="596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</row>
    <row r="16" spans="1:37" ht="14.1" customHeight="1" x14ac:dyDescent="0.2">
      <c r="A16" s="84">
        <v>5</v>
      </c>
      <c r="B16" s="596"/>
      <c r="C16" s="237">
        <v>31140</v>
      </c>
      <c r="D16" s="84" t="s">
        <v>161</v>
      </c>
      <c r="F16" s="87">
        <v>2.9</v>
      </c>
      <c r="G16" s="88"/>
      <c r="H16" s="68">
        <v>207928185.6400001</v>
      </c>
      <c r="I16" s="89"/>
      <c r="J16" s="68">
        <v>17780925.68</v>
      </c>
      <c r="K16" s="78"/>
      <c r="L16" s="68">
        <v>-1455001.3800000001</v>
      </c>
      <c r="M16" s="78"/>
      <c r="N16" s="68">
        <v>-12489.95</v>
      </c>
      <c r="O16" s="78"/>
      <c r="P16" s="68">
        <v>224241619.99000013</v>
      </c>
      <c r="Q16" s="78"/>
      <c r="R16" s="68">
        <v>213519269.87000015</v>
      </c>
      <c r="T16" s="84">
        <v>5</v>
      </c>
      <c r="U16" s="596"/>
      <c r="W16" s="84" t="s">
        <v>66</v>
      </c>
      <c r="Y16" s="238"/>
      <c r="Z16" s="238"/>
      <c r="AA16" s="239">
        <v>2729672710.6399994</v>
      </c>
      <c r="AB16" s="238"/>
      <c r="AC16" s="239">
        <v>343307226.02999997</v>
      </c>
      <c r="AD16" s="238"/>
      <c r="AE16" s="239">
        <v>-8020620.9199999999</v>
      </c>
      <c r="AF16" s="238"/>
      <c r="AG16" s="239">
        <v>0</v>
      </c>
      <c r="AH16" s="238"/>
      <c r="AI16" s="239">
        <v>3064959315.7500005</v>
      </c>
      <c r="AJ16" s="238"/>
      <c r="AK16" s="239">
        <v>3011290517.2100005</v>
      </c>
    </row>
    <row r="17" spans="1:37" ht="14.1" customHeight="1" x14ac:dyDescent="0.2">
      <c r="A17" s="84">
        <v>6</v>
      </c>
      <c r="B17" s="596"/>
      <c r="C17" s="237">
        <v>31240</v>
      </c>
      <c r="D17" s="84" t="s">
        <v>162</v>
      </c>
      <c r="F17" s="87">
        <v>3.4000000000000004</v>
      </c>
      <c r="G17" s="88"/>
      <c r="H17" s="68">
        <v>179602378.30000001</v>
      </c>
      <c r="I17" s="89"/>
      <c r="J17" s="68">
        <v>3944908.2299999995</v>
      </c>
      <c r="K17" s="78"/>
      <c r="L17" s="68">
        <v>-1119580.77</v>
      </c>
      <c r="M17" s="78"/>
      <c r="N17" s="68">
        <v>0</v>
      </c>
      <c r="O17" s="78"/>
      <c r="P17" s="68">
        <v>182427705.75999999</v>
      </c>
      <c r="Q17" s="78"/>
      <c r="R17" s="68">
        <v>180492802.29230773</v>
      </c>
      <c r="T17" s="84">
        <v>6</v>
      </c>
      <c r="U17" s="596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</row>
    <row r="18" spans="1:37" ht="14.1" customHeight="1" x14ac:dyDescent="0.2">
      <c r="A18" s="84">
        <v>7</v>
      </c>
      <c r="B18" s="596"/>
      <c r="C18" s="237">
        <v>31440</v>
      </c>
      <c r="D18" s="84" t="s">
        <v>163</v>
      </c>
      <c r="F18" s="87">
        <v>2.2999999999999998</v>
      </c>
      <c r="G18" s="88"/>
      <c r="H18" s="68">
        <v>7983273.0200000014</v>
      </c>
      <c r="I18" s="89"/>
      <c r="J18" s="68">
        <v>1272135.08</v>
      </c>
      <c r="K18" s="78"/>
      <c r="L18" s="68">
        <v>-444538.91</v>
      </c>
      <c r="M18" s="78"/>
      <c r="N18" s="68">
        <v>0</v>
      </c>
      <c r="O18" s="78"/>
      <c r="P18" s="68">
        <v>8810869.1900000013</v>
      </c>
      <c r="Q18" s="78"/>
      <c r="R18" s="68">
        <v>8076651.7300000004</v>
      </c>
      <c r="T18" s="84">
        <v>7</v>
      </c>
      <c r="U18" s="596"/>
      <c r="W18" s="84" t="s">
        <v>67</v>
      </c>
      <c r="Y18" s="238"/>
      <c r="Z18" s="238"/>
      <c r="AA18" s="238">
        <v>4879623579.7099991</v>
      </c>
      <c r="AB18" s="238"/>
      <c r="AC18" s="238">
        <v>382211079.97999996</v>
      </c>
      <c r="AD18" s="238"/>
      <c r="AE18" s="238">
        <v>-16529525.370000001</v>
      </c>
      <c r="AF18" s="238"/>
      <c r="AG18" s="238">
        <v>-12489.95</v>
      </c>
      <c r="AH18" s="238"/>
      <c r="AI18" s="238">
        <v>5245292644.3699999</v>
      </c>
      <c r="AJ18" s="238">
        <v>0</v>
      </c>
      <c r="AK18" s="238">
        <v>5170542888.0892315</v>
      </c>
    </row>
    <row r="19" spans="1:37" ht="14.1" customHeight="1" x14ac:dyDescent="0.2">
      <c r="A19" s="84">
        <v>8</v>
      </c>
      <c r="B19" s="596"/>
      <c r="C19" s="237">
        <v>31540</v>
      </c>
      <c r="D19" s="84" t="s">
        <v>164</v>
      </c>
      <c r="F19" s="87">
        <v>3.7000000000000006</v>
      </c>
      <c r="G19" s="88"/>
      <c r="H19" s="68">
        <v>43107526.43999999</v>
      </c>
      <c r="I19" s="89"/>
      <c r="J19" s="68">
        <v>212412.86000000002</v>
      </c>
      <c r="K19" s="78"/>
      <c r="L19" s="68">
        <v>-2647.31</v>
      </c>
      <c r="M19" s="78"/>
      <c r="N19" s="68">
        <v>0</v>
      </c>
      <c r="O19" s="78"/>
      <c r="P19" s="68">
        <v>43317291.989999987</v>
      </c>
      <c r="Q19" s="78"/>
      <c r="R19" s="68">
        <v>43250920.723846145</v>
      </c>
      <c r="T19" s="84">
        <v>8</v>
      </c>
      <c r="U19" s="596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 ht="14.1" customHeight="1" x14ac:dyDescent="0.2">
      <c r="A20" s="84">
        <v>9</v>
      </c>
      <c r="B20" s="596"/>
      <c r="C20" s="237">
        <v>31640</v>
      </c>
      <c r="D20" s="84" t="s">
        <v>165</v>
      </c>
      <c r="F20" s="87">
        <v>4.2</v>
      </c>
      <c r="G20" s="88"/>
      <c r="H20" s="68">
        <v>24720331.310000006</v>
      </c>
      <c r="I20" s="89"/>
      <c r="J20" s="68">
        <v>191829.02</v>
      </c>
      <c r="K20" s="78"/>
      <c r="L20" s="68">
        <v>-46642.8</v>
      </c>
      <c r="M20" s="78"/>
      <c r="N20" s="68">
        <v>0</v>
      </c>
      <c r="O20" s="78"/>
      <c r="P20" s="68">
        <v>24865517.530000005</v>
      </c>
      <c r="Q20" s="78"/>
      <c r="R20" s="68">
        <v>24720962.00538462</v>
      </c>
      <c r="T20" s="84">
        <v>9</v>
      </c>
      <c r="U20" s="596"/>
      <c r="W20" s="84" t="s">
        <v>166</v>
      </c>
      <c r="Y20" s="238"/>
      <c r="Z20" s="238"/>
      <c r="AA20" s="238">
        <v>862083327.23999989</v>
      </c>
      <c r="AB20" s="238"/>
      <c r="AC20" s="238">
        <v>66700788.480000004</v>
      </c>
      <c r="AD20" s="238"/>
      <c r="AE20" s="238">
        <v>-5754910.7799999993</v>
      </c>
      <c r="AF20" s="238"/>
      <c r="AG20" s="238">
        <v>-857537.75999999989</v>
      </c>
      <c r="AH20" s="238"/>
      <c r="AI20" s="238">
        <v>922171667.17999983</v>
      </c>
      <c r="AJ20" s="238"/>
      <c r="AK20" s="238">
        <v>884925321.09846139</v>
      </c>
    </row>
    <row r="21" spans="1:37" ht="14.1" customHeight="1" x14ac:dyDescent="0.2">
      <c r="A21" s="84">
        <v>10</v>
      </c>
      <c r="B21" s="596"/>
      <c r="C21" s="237"/>
      <c r="D21" s="84" t="s">
        <v>167</v>
      </c>
      <c r="H21" s="90">
        <v>463341694.7100001</v>
      </c>
      <c r="I21" s="91"/>
      <c r="J21" s="90">
        <v>23402210.870000001</v>
      </c>
      <c r="K21" s="91"/>
      <c r="L21" s="90">
        <v>-3068411.1700000004</v>
      </c>
      <c r="M21" s="91"/>
      <c r="N21" s="90">
        <v>-12489.95</v>
      </c>
      <c r="O21" s="91"/>
      <c r="P21" s="90">
        <v>483663004.46000016</v>
      </c>
      <c r="Q21" s="91"/>
      <c r="R21" s="90">
        <v>470060606.62153864</v>
      </c>
      <c r="T21" s="84">
        <v>10</v>
      </c>
      <c r="U21" s="596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</row>
    <row r="22" spans="1:37" ht="14.1" customHeight="1" x14ac:dyDescent="0.2">
      <c r="A22" s="84">
        <v>11</v>
      </c>
      <c r="B22" s="596"/>
      <c r="C22" s="237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T22" s="84">
        <v>11</v>
      </c>
      <c r="U22" s="596"/>
      <c r="W22" s="84" t="s">
        <v>169</v>
      </c>
      <c r="Y22" s="238"/>
      <c r="Z22" s="238"/>
      <c r="AA22" s="238">
        <v>2549061527.6000004</v>
      </c>
      <c r="AB22" s="238"/>
      <c r="AC22" s="238">
        <v>197057287.76999998</v>
      </c>
      <c r="AD22" s="238"/>
      <c r="AE22" s="238">
        <v>-32932396.809999999</v>
      </c>
      <c r="AF22" s="238"/>
      <c r="AG22" s="238">
        <v>709366.12999999989</v>
      </c>
      <c r="AH22" s="238"/>
      <c r="AI22" s="238">
        <v>2713895784.6900005</v>
      </c>
      <c r="AJ22" s="238"/>
      <c r="AK22" s="238">
        <v>2625189419.4323077</v>
      </c>
    </row>
    <row r="23" spans="1:37" ht="14.1" customHeight="1" x14ac:dyDescent="0.2">
      <c r="A23" s="84">
        <v>12</v>
      </c>
      <c r="B23" s="596"/>
      <c r="C23" s="237"/>
      <c r="D23" s="84" t="s">
        <v>170</v>
      </c>
      <c r="H23" s="94"/>
      <c r="I23" s="94"/>
      <c r="J23" s="93"/>
      <c r="K23" s="93"/>
      <c r="L23" s="93"/>
      <c r="M23" s="93"/>
      <c r="N23" s="93"/>
      <c r="O23" s="93"/>
      <c r="P23" s="93"/>
      <c r="Q23" s="93"/>
      <c r="R23" s="93"/>
      <c r="T23" s="84">
        <v>12</v>
      </c>
      <c r="U23" s="596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</row>
    <row r="24" spans="1:37" ht="14.1" customHeight="1" x14ac:dyDescent="0.2">
      <c r="A24" s="84">
        <v>13</v>
      </c>
      <c r="B24" s="596"/>
      <c r="C24" s="237">
        <v>31141</v>
      </c>
      <c r="D24" s="84" t="s">
        <v>161</v>
      </c>
      <c r="F24" s="87">
        <v>2</v>
      </c>
      <c r="G24" s="88"/>
      <c r="H24" s="68">
        <v>7287126.2399999993</v>
      </c>
      <c r="I24" s="89"/>
      <c r="J24" s="68">
        <v>0</v>
      </c>
      <c r="K24" s="78"/>
      <c r="L24" s="68">
        <v>0</v>
      </c>
      <c r="M24" s="78"/>
      <c r="N24" s="68">
        <v>0</v>
      </c>
      <c r="O24" s="78"/>
      <c r="P24" s="68">
        <v>7287126.2399999993</v>
      </c>
      <c r="Q24" s="78"/>
      <c r="R24" s="68">
        <v>7287126.2399999993</v>
      </c>
      <c r="T24" s="84">
        <v>13</v>
      </c>
      <c r="U24" s="596"/>
      <c r="W24" s="84" t="s">
        <v>171</v>
      </c>
      <c r="Y24" s="238"/>
      <c r="Z24" s="238"/>
      <c r="AA24" s="239">
        <v>296365780</v>
      </c>
      <c r="AB24" s="238"/>
      <c r="AC24" s="239">
        <v>42825431.250000007</v>
      </c>
      <c r="AD24" s="238"/>
      <c r="AE24" s="239">
        <v>-15528849.100000001</v>
      </c>
      <c r="AF24" s="238"/>
      <c r="AG24" s="239">
        <v>1446091.15</v>
      </c>
      <c r="AH24" s="238"/>
      <c r="AI24" s="239">
        <v>325108453.30000007</v>
      </c>
      <c r="AJ24" s="238"/>
      <c r="AK24" s="239">
        <v>315375549.92307693</v>
      </c>
    </row>
    <row r="25" spans="1:37" ht="14.1" customHeight="1" x14ac:dyDescent="0.2">
      <c r="A25" s="84">
        <v>14</v>
      </c>
      <c r="B25" s="596"/>
      <c r="C25" s="237">
        <v>31241</v>
      </c>
      <c r="D25" s="84" t="s">
        <v>162</v>
      </c>
      <c r="F25" s="87">
        <v>4</v>
      </c>
      <c r="G25" s="88"/>
      <c r="H25" s="68">
        <v>102209169.5</v>
      </c>
      <c r="I25" s="89"/>
      <c r="J25" s="68">
        <v>835070.92</v>
      </c>
      <c r="K25" s="78"/>
      <c r="L25" s="68">
        <v>-33323.22</v>
      </c>
      <c r="M25" s="78"/>
      <c r="N25" s="68">
        <v>0</v>
      </c>
      <c r="O25" s="78"/>
      <c r="P25" s="68">
        <v>103010917.2</v>
      </c>
      <c r="Q25" s="78"/>
      <c r="R25" s="68">
        <v>102501964.50923078</v>
      </c>
      <c r="T25" s="84">
        <v>14</v>
      </c>
      <c r="U25" s="596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</row>
    <row r="26" spans="1:37" ht="14.1" customHeight="1" x14ac:dyDescent="0.2">
      <c r="A26" s="84">
        <v>15</v>
      </c>
      <c r="B26" s="596"/>
      <c r="C26" s="237">
        <v>31441</v>
      </c>
      <c r="D26" s="84" t="s">
        <v>163</v>
      </c>
      <c r="F26" s="87">
        <v>3.5000000000000004</v>
      </c>
      <c r="G26" s="88"/>
      <c r="H26" s="68">
        <v>50386033.019999996</v>
      </c>
      <c r="I26" s="89"/>
      <c r="J26" s="68">
        <v>113125.95</v>
      </c>
      <c r="K26" s="78"/>
      <c r="L26" s="68">
        <v>-15417.51</v>
      </c>
      <c r="M26" s="78"/>
      <c r="N26" s="68">
        <v>0</v>
      </c>
      <c r="O26" s="78"/>
      <c r="P26" s="68">
        <v>50483741.460000001</v>
      </c>
      <c r="Q26" s="78"/>
      <c r="R26" s="68">
        <v>50416097.155384615</v>
      </c>
      <c r="T26" s="84">
        <v>15</v>
      </c>
      <c r="U26" s="596"/>
      <c r="W26" s="616" t="s">
        <v>172</v>
      </c>
      <c r="Y26" s="238"/>
      <c r="Z26" s="238"/>
      <c r="AA26" s="238">
        <v>8587134214.5499992</v>
      </c>
      <c r="AB26" s="238"/>
      <c r="AC26" s="238">
        <v>688794587.48000002</v>
      </c>
      <c r="AD26" s="238"/>
      <c r="AE26" s="238">
        <v>-70745682.060000002</v>
      </c>
      <c r="AF26" s="238"/>
      <c r="AG26" s="238">
        <v>1285429.5699999998</v>
      </c>
      <c r="AH26" s="238"/>
      <c r="AI26" s="238">
        <v>9206468549.539999</v>
      </c>
      <c r="AJ26" s="238"/>
      <c r="AK26" s="238">
        <v>8996033178.5430775</v>
      </c>
    </row>
    <row r="27" spans="1:37" ht="14.1" customHeight="1" x14ac:dyDescent="0.2">
      <c r="A27" s="84">
        <v>16</v>
      </c>
      <c r="B27" s="596"/>
      <c r="C27" s="237">
        <v>31541</v>
      </c>
      <c r="D27" s="84" t="s">
        <v>164</v>
      </c>
      <c r="F27" s="87">
        <v>3.5000000000000004</v>
      </c>
      <c r="G27" s="88"/>
      <c r="H27" s="68">
        <v>17018634.02</v>
      </c>
      <c r="I27" s="89"/>
      <c r="J27" s="68">
        <v>0</v>
      </c>
      <c r="K27" s="78"/>
      <c r="L27" s="68">
        <v>0</v>
      </c>
      <c r="M27" s="78"/>
      <c r="N27" s="68">
        <v>0</v>
      </c>
      <c r="O27" s="78"/>
      <c r="P27" s="68">
        <v>17018634.02</v>
      </c>
      <c r="Q27" s="78"/>
      <c r="R27" s="68">
        <v>17018634.020000003</v>
      </c>
      <c r="T27" s="84">
        <v>16</v>
      </c>
      <c r="U27" s="596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</row>
    <row r="28" spans="1:37" ht="14.1" customHeight="1" x14ac:dyDescent="0.2">
      <c r="A28" s="84">
        <v>17</v>
      </c>
      <c r="B28" s="596"/>
      <c r="C28" s="237">
        <v>31641</v>
      </c>
      <c r="D28" s="84" t="s">
        <v>165</v>
      </c>
      <c r="F28" s="87">
        <v>2.9</v>
      </c>
      <c r="G28" s="88"/>
      <c r="H28" s="68">
        <v>969783.7</v>
      </c>
      <c r="I28" s="89"/>
      <c r="J28" s="68">
        <v>0</v>
      </c>
      <c r="K28" s="78"/>
      <c r="L28" s="68">
        <v>0</v>
      </c>
      <c r="M28" s="78"/>
      <c r="N28" s="68">
        <v>0</v>
      </c>
      <c r="O28" s="78"/>
      <c r="P28" s="68">
        <v>969783.7</v>
      </c>
      <c r="Q28" s="78"/>
      <c r="R28" s="68">
        <v>969783.69999999984</v>
      </c>
      <c r="T28" s="84">
        <v>17</v>
      </c>
      <c r="U28" s="596"/>
      <c r="W28" s="616" t="s">
        <v>173</v>
      </c>
      <c r="Y28" s="238"/>
      <c r="Z28" s="238"/>
      <c r="AA28" s="238">
        <v>76516233.609999985</v>
      </c>
      <c r="AB28" s="238"/>
      <c r="AC28" s="238">
        <v>47262023.969999991</v>
      </c>
      <c r="AD28" s="238"/>
      <c r="AE28" s="238">
        <v>0</v>
      </c>
      <c r="AF28" s="238"/>
      <c r="AG28" s="238">
        <v>-57632.87</v>
      </c>
      <c r="AH28" s="238"/>
      <c r="AI28" s="238">
        <v>123720624.70999998</v>
      </c>
      <c r="AJ28" s="238"/>
      <c r="AK28" s="238">
        <v>115443574.3446154</v>
      </c>
    </row>
    <row r="29" spans="1:37" ht="14.1" customHeight="1" x14ac:dyDescent="0.2">
      <c r="A29" s="84">
        <v>18</v>
      </c>
      <c r="B29" s="596"/>
      <c r="C29" s="237"/>
      <c r="D29" s="84" t="s">
        <v>174</v>
      </c>
      <c r="F29" s="87"/>
      <c r="H29" s="90">
        <v>177870746.47999999</v>
      </c>
      <c r="I29" s="93"/>
      <c r="J29" s="90">
        <v>948196.87</v>
      </c>
      <c r="K29" s="93"/>
      <c r="L29" s="90">
        <v>-48740.73</v>
      </c>
      <c r="M29" s="93"/>
      <c r="N29" s="90">
        <v>0</v>
      </c>
      <c r="O29" s="93"/>
      <c r="P29" s="90">
        <v>178770202.62</v>
      </c>
      <c r="Q29" s="93"/>
      <c r="R29" s="90">
        <v>178193605.6246154</v>
      </c>
      <c r="T29" s="84">
        <v>18</v>
      </c>
      <c r="U29" s="596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</row>
    <row r="30" spans="1:37" ht="14.1" customHeight="1" x14ac:dyDescent="0.2">
      <c r="A30" s="84">
        <v>19</v>
      </c>
      <c r="B30" s="596"/>
      <c r="C30" s="237"/>
      <c r="D30" s="617"/>
      <c r="E30" s="617"/>
      <c r="F30" s="87"/>
      <c r="G30" s="617"/>
      <c r="H30" s="92"/>
      <c r="I30" s="92"/>
      <c r="J30" s="93"/>
      <c r="K30" s="93"/>
      <c r="L30" s="93"/>
      <c r="M30" s="93"/>
      <c r="N30" s="93"/>
      <c r="O30" s="93"/>
      <c r="P30" s="93"/>
      <c r="Q30" s="93"/>
      <c r="R30" s="93"/>
      <c r="T30" s="84">
        <v>19</v>
      </c>
      <c r="U30" s="596"/>
      <c r="W30" s="84" t="s">
        <v>175</v>
      </c>
      <c r="Y30" s="238"/>
      <c r="Z30" s="238"/>
      <c r="AA30" s="238">
        <v>214011037.90999997</v>
      </c>
      <c r="AB30" s="238"/>
      <c r="AC30" s="238">
        <v>17979914.579999998</v>
      </c>
      <c r="AD30" s="238"/>
      <c r="AE30" s="238">
        <v>0</v>
      </c>
      <c r="AF30" s="238"/>
      <c r="AG30" s="238">
        <v>2823003.56</v>
      </c>
      <c r="AH30" s="238"/>
      <c r="AI30" s="238">
        <v>234813956.04999995</v>
      </c>
      <c r="AJ30" s="238"/>
      <c r="AK30" s="238">
        <v>221888309.98846152</v>
      </c>
    </row>
    <row r="31" spans="1:37" ht="14.1" customHeight="1" x14ac:dyDescent="0.2">
      <c r="A31" s="84">
        <v>20</v>
      </c>
      <c r="B31" s="596"/>
      <c r="C31" s="237"/>
      <c r="D31" s="617" t="s">
        <v>176</v>
      </c>
      <c r="E31" s="617"/>
      <c r="F31" s="87"/>
      <c r="G31" s="617"/>
      <c r="H31" s="92"/>
      <c r="I31" s="92"/>
      <c r="J31" s="93"/>
      <c r="K31" s="93"/>
      <c r="L31" s="93"/>
      <c r="M31" s="93"/>
      <c r="N31" s="93"/>
      <c r="O31" s="93"/>
      <c r="P31" s="93"/>
      <c r="Q31" s="93"/>
      <c r="R31" s="93"/>
      <c r="T31" s="84">
        <v>20</v>
      </c>
      <c r="U31" s="596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</row>
    <row r="32" spans="1:37" ht="14.1" customHeight="1" x14ac:dyDescent="0.2">
      <c r="A32" s="84">
        <v>21</v>
      </c>
      <c r="B32" s="596"/>
      <c r="C32" s="237">
        <v>31142</v>
      </c>
      <c r="D32" s="84" t="s">
        <v>161</v>
      </c>
      <c r="F32" s="87">
        <v>2</v>
      </c>
      <c r="G32" s="88"/>
      <c r="H32" s="68">
        <v>6879930.5200000005</v>
      </c>
      <c r="I32" s="89"/>
      <c r="J32" s="68">
        <v>257753.9</v>
      </c>
      <c r="K32" s="78"/>
      <c r="L32" s="68">
        <v>-89874.53</v>
      </c>
      <c r="M32" s="78"/>
      <c r="N32" s="68">
        <v>0</v>
      </c>
      <c r="O32" s="78"/>
      <c r="P32" s="68">
        <v>7047809.8900000006</v>
      </c>
      <c r="Q32" s="78"/>
      <c r="R32" s="68">
        <v>6994690.6446153857</v>
      </c>
      <c r="T32" s="84">
        <v>21</v>
      </c>
      <c r="U32" s="596"/>
      <c r="W32" s="616" t="s">
        <v>177</v>
      </c>
      <c r="AA32" s="239">
        <v>58146512.659999996</v>
      </c>
      <c r="AB32" s="238"/>
      <c r="AC32" s="239">
        <v>479316.81999999832</v>
      </c>
      <c r="AD32" s="238"/>
      <c r="AE32" s="239">
        <v>-18001106.350000001</v>
      </c>
      <c r="AF32" s="238"/>
      <c r="AG32" s="239">
        <v>0</v>
      </c>
      <c r="AH32" s="238"/>
      <c r="AI32" s="239">
        <v>40624723.129999995</v>
      </c>
      <c r="AJ32" s="238"/>
      <c r="AK32" s="239">
        <v>56885746.767692313</v>
      </c>
    </row>
    <row r="33" spans="1:37" ht="14.1" customHeight="1" x14ac:dyDescent="0.2">
      <c r="A33" s="84">
        <v>22</v>
      </c>
      <c r="B33" s="596"/>
      <c r="C33" s="237">
        <v>31242</v>
      </c>
      <c r="D33" s="84" t="s">
        <v>162</v>
      </c>
      <c r="F33" s="87">
        <v>3.7000000000000006</v>
      </c>
      <c r="G33" s="88"/>
      <c r="H33" s="68">
        <v>86049153.229999989</v>
      </c>
      <c r="I33" s="89"/>
      <c r="J33" s="68">
        <v>97919.31</v>
      </c>
      <c r="K33" s="78"/>
      <c r="L33" s="68">
        <v>-52997.759999999995</v>
      </c>
      <c r="M33" s="78"/>
      <c r="N33" s="68">
        <v>0</v>
      </c>
      <c r="O33" s="78"/>
      <c r="P33" s="68">
        <v>86094074.779999986</v>
      </c>
      <c r="Q33" s="78"/>
      <c r="R33" s="68">
        <v>86068172.18076922</v>
      </c>
      <c r="T33" s="84">
        <v>22</v>
      </c>
      <c r="U33" s="596"/>
    </row>
    <row r="34" spans="1:37" ht="14.1" customHeight="1" thickBot="1" x14ac:dyDescent="0.25">
      <c r="A34" s="84">
        <v>23</v>
      </c>
      <c r="B34" s="596"/>
      <c r="C34" s="237">
        <v>31442</v>
      </c>
      <c r="D34" s="84" t="s">
        <v>163</v>
      </c>
      <c r="F34" s="87">
        <v>3.8</v>
      </c>
      <c r="G34" s="88"/>
      <c r="H34" s="68">
        <v>50765791.029999986</v>
      </c>
      <c r="I34" s="89"/>
      <c r="J34" s="68">
        <v>25384.89</v>
      </c>
      <c r="K34" s="78"/>
      <c r="L34" s="68">
        <v>0</v>
      </c>
      <c r="M34" s="78"/>
      <c r="N34" s="68">
        <v>0</v>
      </c>
      <c r="O34" s="78"/>
      <c r="P34" s="68">
        <v>50791175.919999987</v>
      </c>
      <c r="Q34" s="78"/>
      <c r="R34" s="68">
        <v>50788970.363076895</v>
      </c>
      <c r="T34" s="84">
        <v>23</v>
      </c>
      <c r="U34" s="596"/>
      <c r="W34" s="84" t="s">
        <v>178</v>
      </c>
      <c r="Y34" s="238"/>
      <c r="Z34" s="238"/>
      <c r="AA34" s="597">
        <v>8935807998.7299995</v>
      </c>
      <c r="AB34" s="238"/>
      <c r="AC34" s="597">
        <v>754515842.85000014</v>
      </c>
      <c r="AD34" s="238"/>
      <c r="AE34" s="597">
        <v>-88746788.409999996</v>
      </c>
      <c r="AF34" s="238"/>
      <c r="AG34" s="597">
        <v>4050800.26</v>
      </c>
      <c r="AH34" s="238"/>
      <c r="AI34" s="597">
        <v>9605627853.4299965</v>
      </c>
      <c r="AJ34" s="238"/>
      <c r="AK34" s="597">
        <v>9390250809.6438484</v>
      </c>
    </row>
    <row r="35" spans="1:37" ht="14.1" customHeight="1" thickTop="1" x14ac:dyDescent="0.2">
      <c r="A35" s="84">
        <v>24</v>
      </c>
      <c r="B35" s="596"/>
      <c r="C35" s="237">
        <v>31542</v>
      </c>
      <c r="D35" s="84" t="s">
        <v>164</v>
      </c>
      <c r="F35" s="87">
        <v>3.3000000000000003</v>
      </c>
      <c r="G35" s="88"/>
      <c r="H35" s="68">
        <v>18836335.339999996</v>
      </c>
      <c r="I35" s="89"/>
      <c r="J35" s="68">
        <v>33723.030000000006</v>
      </c>
      <c r="K35" s="78"/>
      <c r="L35" s="68">
        <v>0</v>
      </c>
      <c r="M35" s="78"/>
      <c r="N35" s="68">
        <v>0</v>
      </c>
      <c r="O35" s="78"/>
      <c r="P35" s="68">
        <v>18870058.369999997</v>
      </c>
      <c r="Q35" s="78"/>
      <c r="R35" s="68">
        <v>18868170.823846154</v>
      </c>
      <c r="T35" s="84">
        <v>24</v>
      </c>
      <c r="U35" s="596"/>
    </row>
    <row r="36" spans="1:37" ht="14.1" customHeight="1" x14ac:dyDescent="0.2">
      <c r="A36" s="84">
        <v>25</v>
      </c>
      <c r="B36" s="596"/>
      <c r="C36" s="237">
        <v>31642</v>
      </c>
      <c r="D36" s="84" t="s">
        <v>165</v>
      </c>
      <c r="F36" s="87">
        <v>3</v>
      </c>
      <c r="G36" s="88"/>
      <c r="H36" s="68">
        <v>546950.39</v>
      </c>
      <c r="I36" s="89"/>
      <c r="J36" s="68">
        <v>0</v>
      </c>
      <c r="K36" s="78"/>
      <c r="L36" s="68">
        <v>0</v>
      </c>
      <c r="M36" s="78"/>
      <c r="N36" s="68">
        <v>0</v>
      </c>
      <c r="O36" s="78"/>
      <c r="P36" s="68">
        <v>546950.39</v>
      </c>
      <c r="Q36" s="78"/>
      <c r="R36" s="68">
        <v>546950.3899999999</v>
      </c>
      <c r="T36" s="84">
        <v>25</v>
      </c>
      <c r="U36" s="596"/>
      <c r="W36" s="616" t="s">
        <v>179</v>
      </c>
      <c r="AA36" s="618">
        <v>7484822.7599999998</v>
      </c>
      <c r="AC36" s="618">
        <v>0</v>
      </c>
      <c r="AD36" s="238"/>
      <c r="AE36" s="618">
        <v>0</v>
      </c>
      <c r="AF36" s="238"/>
      <c r="AG36" s="618">
        <v>0</v>
      </c>
      <c r="AH36" s="238"/>
      <c r="AI36" s="618">
        <v>7484822.7599999998</v>
      </c>
      <c r="AJ36" s="238"/>
      <c r="AK36" s="618">
        <v>7484822.7599999998</v>
      </c>
    </row>
    <row r="37" spans="1:37" ht="14.1" customHeight="1" x14ac:dyDescent="0.2">
      <c r="A37" s="84">
        <v>26</v>
      </c>
      <c r="B37" s="596"/>
      <c r="C37" s="237"/>
      <c r="D37" s="619" t="s">
        <v>180</v>
      </c>
      <c r="E37" s="619"/>
      <c r="F37" s="87"/>
      <c r="H37" s="90">
        <v>163078160.50999996</v>
      </c>
      <c r="I37" s="93"/>
      <c r="J37" s="90">
        <v>414781.13</v>
      </c>
      <c r="K37" s="93"/>
      <c r="L37" s="90">
        <v>-142872.28999999998</v>
      </c>
      <c r="M37" s="93"/>
      <c r="N37" s="90">
        <v>0</v>
      </c>
      <c r="O37" s="93"/>
      <c r="P37" s="90">
        <v>163350069.34999996</v>
      </c>
      <c r="Q37" s="93"/>
      <c r="R37" s="90">
        <v>163266954.40230763</v>
      </c>
      <c r="T37" s="84">
        <v>26</v>
      </c>
      <c r="U37" s="596"/>
      <c r="Y37" s="238"/>
      <c r="Z37" s="238"/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</row>
    <row r="38" spans="1:37" ht="14.1" customHeight="1" x14ac:dyDescent="0.2">
      <c r="A38" s="84">
        <v>27</v>
      </c>
      <c r="B38" s="596"/>
      <c r="C38" s="237"/>
      <c r="D38" s="619"/>
      <c r="E38" s="619"/>
      <c r="F38" s="87"/>
      <c r="G38" s="619"/>
      <c r="H38" s="93"/>
      <c r="I38" s="93"/>
      <c r="J38" s="93"/>
      <c r="K38" s="93"/>
      <c r="L38" s="93"/>
      <c r="M38" s="93"/>
      <c r="N38" s="93"/>
      <c r="O38" s="92"/>
      <c r="P38" s="93"/>
      <c r="Q38" s="92"/>
      <c r="R38" s="93"/>
      <c r="T38" s="84">
        <v>27</v>
      </c>
      <c r="U38" s="596"/>
      <c r="W38" s="95" t="s">
        <v>181</v>
      </c>
      <c r="Y38" s="238"/>
      <c r="Z38" s="238"/>
      <c r="AA38" s="238">
        <v>0</v>
      </c>
      <c r="AB38" s="238"/>
      <c r="AC38" s="238">
        <v>0</v>
      </c>
      <c r="AD38" s="238"/>
      <c r="AE38" s="238">
        <v>0</v>
      </c>
      <c r="AF38" s="238"/>
      <c r="AG38" s="238">
        <v>0</v>
      </c>
      <c r="AH38" s="238"/>
      <c r="AI38" s="238">
        <v>0</v>
      </c>
      <c r="AJ38" s="238"/>
      <c r="AK38" s="238">
        <v>0</v>
      </c>
    </row>
    <row r="39" spans="1:37" ht="14.1" customHeight="1" x14ac:dyDescent="0.2">
      <c r="A39" s="84">
        <v>28</v>
      </c>
      <c r="B39" s="596"/>
      <c r="C39" s="237"/>
      <c r="D39" s="619" t="s">
        <v>182</v>
      </c>
      <c r="E39" s="619"/>
      <c r="F39" s="87"/>
      <c r="G39" s="619"/>
      <c r="H39" s="93"/>
      <c r="I39" s="93"/>
      <c r="J39" s="93"/>
      <c r="K39" s="93"/>
      <c r="L39" s="93"/>
      <c r="M39" s="93"/>
      <c r="N39" s="93"/>
      <c r="O39" s="92"/>
      <c r="P39" s="93"/>
      <c r="Q39" s="92"/>
      <c r="R39" s="93"/>
      <c r="T39" s="84">
        <v>28</v>
      </c>
      <c r="U39" s="596"/>
    </row>
    <row r="40" spans="1:37" ht="14.1" customHeight="1" x14ac:dyDescent="0.2">
      <c r="A40" s="84">
        <v>29</v>
      </c>
      <c r="B40" s="596"/>
      <c r="C40" s="237">
        <v>31143</v>
      </c>
      <c r="D40" s="84" t="s">
        <v>161</v>
      </c>
      <c r="F40" s="87">
        <v>1.8000000000000003</v>
      </c>
      <c r="G40" s="88"/>
      <c r="H40" s="68">
        <v>15001603.859999999</v>
      </c>
      <c r="I40" s="89"/>
      <c r="J40" s="68">
        <v>324074.39999999997</v>
      </c>
      <c r="K40" s="78"/>
      <c r="L40" s="68">
        <v>0</v>
      </c>
      <c r="M40" s="78"/>
      <c r="N40" s="68">
        <v>0</v>
      </c>
      <c r="O40" s="78"/>
      <c r="P40" s="68">
        <v>15325678.26</v>
      </c>
      <c r="Q40" s="78"/>
      <c r="R40" s="68">
        <v>15266599.215384612</v>
      </c>
      <c r="T40" s="84">
        <v>29</v>
      </c>
      <c r="U40" s="596"/>
      <c r="W40" s="84" t="s">
        <v>183</v>
      </c>
      <c r="AA40" s="240">
        <v>50148105.039999999</v>
      </c>
      <c r="AC40" s="240">
        <v>1083615.2300000004</v>
      </c>
      <c r="AE40" s="240">
        <v>-22949.89</v>
      </c>
      <c r="AG40" s="240">
        <v>-6896409.1699999999</v>
      </c>
      <c r="AI40" s="240">
        <v>44312361.209999993</v>
      </c>
      <c r="AK40" s="240">
        <v>44138301.870000005</v>
      </c>
    </row>
    <row r="41" spans="1:37" ht="14.1" customHeight="1" x14ac:dyDescent="0.2">
      <c r="A41" s="84">
        <v>30</v>
      </c>
      <c r="B41" s="596"/>
      <c r="C41" s="237">
        <v>31243</v>
      </c>
      <c r="D41" s="84" t="s">
        <v>162</v>
      </c>
      <c r="F41" s="87">
        <v>3.5000000000000004</v>
      </c>
      <c r="G41" s="88"/>
      <c r="H41" s="68">
        <v>160126158.95999998</v>
      </c>
      <c r="I41" s="89"/>
      <c r="J41" s="68">
        <v>2474292.75</v>
      </c>
      <c r="K41" s="78"/>
      <c r="L41" s="68">
        <v>-626123.17999999993</v>
      </c>
      <c r="M41" s="78"/>
      <c r="N41" s="68">
        <v>0</v>
      </c>
      <c r="O41" s="78"/>
      <c r="P41" s="68">
        <v>161974328.52999997</v>
      </c>
      <c r="Q41" s="78"/>
      <c r="R41" s="68">
        <v>160467152.22692305</v>
      </c>
      <c r="T41" s="84">
        <v>30</v>
      </c>
      <c r="U41" s="596"/>
      <c r="Y41" s="238"/>
      <c r="Z41" s="238"/>
      <c r="AB41" s="238"/>
      <c r="AD41" s="238"/>
      <c r="AF41" s="238"/>
      <c r="AH41" s="238"/>
      <c r="AJ41" s="238"/>
    </row>
    <row r="42" spans="1:37" ht="14.1" customHeight="1" x14ac:dyDescent="0.2">
      <c r="A42" s="84">
        <v>31</v>
      </c>
      <c r="B42" s="596"/>
      <c r="C42" s="237">
        <v>31443</v>
      </c>
      <c r="D42" s="84" t="s">
        <v>163</v>
      </c>
      <c r="F42" s="87">
        <v>3.2</v>
      </c>
      <c r="G42" s="88"/>
      <c r="H42" s="68">
        <v>51423101.569999993</v>
      </c>
      <c r="I42" s="89"/>
      <c r="J42" s="68">
        <v>754954.79</v>
      </c>
      <c r="K42" s="78"/>
      <c r="L42" s="68">
        <v>-241632.92</v>
      </c>
      <c r="M42" s="78"/>
      <c r="N42" s="68">
        <v>0</v>
      </c>
      <c r="O42" s="78"/>
      <c r="P42" s="68">
        <v>51936423.43999999</v>
      </c>
      <c r="Q42" s="78"/>
      <c r="R42" s="68">
        <v>51725074.406153843</v>
      </c>
      <c r="T42" s="84">
        <v>31</v>
      </c>
      <c r="U42" s="596"/>
      <c r="AA42" s="640"/>
      <c r="AC42" s="640"/>
      <c r="AE42" s="640"/>
      <c r="AG42" s="640"/>
      <c r="AI42" s="640"/>
      <c r="AK42" s="640"/>
    </row>
    <row r="43" spans="1:37" ht="14.1" customHeight="1" x14ac:dyDescent="0.2">
      <c r="A43" s="84">
        <v>32</v>
      </c>
      <c r="B43" s="596"/>
      <c r="C43" s="237">
        <v>31543</v>
      </c>
      <c r="D43" s="84" t="s">
        <v>164</v>
      </c>
      <c r="F43" s="87">
        <v>3.6000000000000005</v>
      </c>
      <c r="G43" s="88"/>
      <c r="H43" s="68">
        <v>24655361.319999997</v>
      </c>
      <c r="I43" s="89"/>
      <c r="J43" s="68">
        <v>329494.94999999995</v>
      </c>
      <c r="K43" s="78"/>
      <c r="L43" s="68">
        <v>-110771.01</v>
      </c>
      <c r="M43" s="78"/>
      <c r="N43" s="68">
        <v>0</v>
      </c>
      <c r="O43" s="78"/>
      <c r="P43" s="68">
        <v>24874085.259999994</v>
      </c>
      <c r="Q43" s="78"/>
      <c r="R43" s="68">
        <v>24673194.30153846</v>
      </c>
      <c r="T43" s="84">
        <v>32</v>
      </c>
      <c r="U43" s="596"/>
    </row>
    <row r="44" spans="1:37" ht="14.1" customHeight="1" thickBot="1" x14ac:dyDescent="0.25">
      <c r="A44" s="84">
        <v>33</v>
      </c>
      <c r="B44" s="596"/>
      <c r="C44" s="237">
        <v>31643</v>
      </c>
      <c r="D44" s="84" t="s">
        <v>165</v>
      </c>
      <c r="F44" s="87">
        <v>3</v>
      </c>
      <c r="G44" s="88"/>
      <c r="H44" s="68">
        <v>1988252.8</v>
      </c>
      <c r="I44" s="89"/>
      <c r="J44" s="68">
        <v>0</v>
      </c>
      <c r="K44" s="78"/>
      <c r="L44" s="68">
        <v>0</v>
      </c>
      <c r="M44" s="78"/>
      <c r="N44" s="68">
        <v>0</v>
      </c>
      <c r="O44" s="78"/>
      <c r="P44" s="68">
        <v>1988252.8</v>
      </c>
      <c r="Q44" s="78"/>
      <c r="R44" s="68">
        <v>1988252.8000000005</v>
      </c>
      <c r="T44" s="84">
        <v>33</v>
      </c>
      <c r="U44" s="596"/>
      <c r="W44" s="84" t="s">
        <v>184</v>
      </c>
      <c r="Y44" s="238"/>
      <c r="Z44" s="238"/>
      <c r="AA44" s="597">
        <v>8993440926.5300007</v>
      </c>
      <c r="AB44" s="238"/>
      <c r="AC44" s="597">
        <v>755599458.08000016</v>
      </c>
      <c r="AE44" s="597">
        <v>-88769738.299999997</v>
      </c>
      <c r="AG44" s="597">
        <v>-2845608.91</v>
      </c>
      <c r="AI44" s="597">
        <v>9657425037.3999958</v>
      </c>
      <c r="AK44" s="597">
        <v>9441873934.2738495</v>
      </c>
    </row>
    <row r="45" spans="1:37" ht="14.1" customHeight="1" thickTop="1" x14ac:dyDescent="0.2">
      <c r="A45" s="84">
        <v>34</v>
      </c>
      <c r="B45" s="596"/>
      <c r="C45" s="237"/>
      <c r="D45" s="619" t="s">
        <v>185</v>
      </c>
      <c r="E45" s="619"/>
      <c r="F45" s="87"/>
      <c r="H45" s="90">
        <v>253194478.50999999</v>
      </c>
      <c r="I45" s="93"/>
      <c r="J45" s="90">
        <v>3882816.8899999997</v>
      </c>
      <c r="K45" s="93"/>
      <c r="L45" s="90">
        <v>-978527.11</v>
      </c>
      <c r="M45" s="93"/>
      <c r="N45" s="90">
        <v>0</v>
      </c>
      <c r="O45" s="93"/>
      <c r="P45" s="90">
        <v>256098768.28999996</v>
      </c>
      <c r="Q45" s="93"/>
      <c r="R45" s="90">
        <v>254120272.94999999</v>
      </c>
      <c r="T45" s="84">
        <v>34</v>
      </c>
      <c r="U45" s="596"/>
      <c r="AA45" s="238">
        <v>0</v>
      </c>
      <c r="AB45" s="238"/>
      <c r="AC45" s="238">
        <v>0</v>
      </c>
      <c r="AD45" s="238"/>
      <c r="AE45" s="238">
        <v>0</v>
      </c>
      <c r="AF45" s="238"/>
      <c r="AG45" s="238">
        <v>0</v>
      </c>
      <c r="AH45" s="238"/>
      <c r="AI45" s="238">
        <v>0</v>
      </c>
      <c r="AJ45" s="238"/>
      <c r="AK45" s="238">
        <v>0</v>
      </c>
    </row>
    <row r="46" spans="1:37" ht="14.1" customHeight="1" x14ac:dyDescent="0.2">
      <c r="A46" s="84">
        <v>35</v>
      </c>
      <c r="B46" s="596"/>
      <c r="C46" s="237"/>
      <c r="D46" s="619"/>
      <c r="E46" s="619"/>
      <c r="F46" s="87"/>
      <c r="H46" s="91"/>
      <c r="I46" s="93"/>
      <c r="J46" s="91"/>
      <c r="K46" s="93"/>
      <c r="L46" s="91"/>
      <c r="M46" s="93"/>
      <c r="N46" s="91"/>
      <c r="O46" s="93"/>
      <c r="P46" s="91"/>
      <c r="Q46" s="93"/>
      <c r="R46" s="91"/>
      <c r="T46" s="84">
        <v>35</v>
      </c>
      <c r="U46" s="596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</row>
    <row r="47" spans="1:37" ht="14.1" customHeight="1" x14ac:dyDescent="0.2">
      <c r="A47" s="84">
        <v>36</v>
      </c>
      <c r="B47" s="596"/>
      <c r="C47" s="620"/>
      <c r="D47" s="619" t="s">
        <v>188</v>
      </c>
      <c r="E47" s="619"/>
      <c r="F47" s="87"/>
      <c r="G47" s="619"/>
      <c r="H47" s="93"/>
      <c r="I47" s="93"/>
      <c r="J47" s="93"/>
      <c r="K47" s="93"/>
      <c r="L47" s="93"/>
      <c r="M47" s="93"/>
      <c r="N47" s="92"/>
      <c r="O47" s="92"/>
      <c r="P47" s="92"/>
      <c r="Q47" s="92"/>
      <c r="R47" s="93"/>
      <c r="T47" s="84">
        <v>36</v>
      </c>
      <c r="U47" s="596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</row>
    <row r="48" spans="1:37" ht="14.1" customHeight="1" x14ac:dyDescent="0.2">
      <c r="A48" s="84">
        <v>37</v>
      </c>
      <c r="B48" s="596"/>
      <c r="C48" s="237">
        <v>31144</v>
      </c>
      <c r="D48" s="84" t="s">
        <v>161</v>
      </c>
      <c r="F48" s="87">
        <v>1.8000000000000003</v>
      </c>
      <c r="G48" s="88"/>
      <c r="H48" s="68">
        <v>63481125.710000008</v>
      </c>
      <c r="I48" s="89"/>
      <c r="J48" s="68">
        <v>-97703.030000000013</v>
      </c>
      <c r="K48" s="78"/>
      <c r="L48" s="68">
        <v>-20077.02</v>
      </c>
      <c r="M48" s="78"/>
      <c r="N48" s="68">
        <v>0</v>
      </c>
      <c r="O48" s="78"/>
      <c r="P48" s="68">
        <v>63363345.660000004</v>
      </c>
      <c r="Q48" s="78"/>
      <c r="R48" s="68">
        <v>63399650.56769231</v>
      </c>
      <c r="T48" s="84">
        <v>37</v>
      </c>
      <c r="U48" s="596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</row>
    <row r="49" spans="1:48" ht="14.1" customHeight="1" x14ac:dyDescent="0.2">
      <c r="A49" s="84">
        <v>38</v>
      </c>
      <c r="B49" s="596"/>
      <c r="C49" s="237">
        <v>31244</v>
      </c>
      <c r="D49" s="84" t="s">
        <v>162</v>
      </c>
      <c r="F49" s="87">
        <v>3</v>
      </c>
      <c r="G49" s="88"/>
      <c r="H49" s="68">
        <v>254572216.45999995</v>
      </c>
      <c r="I49" s="89"/>
      <c r="J49" s="68">
        <v>3102735.01</v>
      </c>
      <c r="K49" s="78"/>
      <c r="L49" s="68">
        <v>-1325694.52</v>
      </c>
      <c r="M49" s="78"/>
      <c r="N49" s="68">
        <v>0</v>
      </c>
      <c r="O49" s="78"/>
      <c r="P49" s="68">
        <v>256349256.94999993</v>
      </c>
      <c r="Q49" s="78"/>
      <c r="R49" s="68">
        <v>254990826.34999993</v>
      </c>
      <c r="T49" s="84">
        <v>38</v>
      </c>
      <c r="U49" s="596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</row>
    <row r="50" spans="1:48" ht="14.1" customHeight="1" x14ac:dyDescent="0.2">
      <c r="A50" s="84">
        <v>39</v>
      </c>
      <c r="B50" s="596"/>
      <c r="C50" s="237">
        <v>31444</v>
      </c>
      <c r="D50" s="84" t="s">
        <v>163</v>
      </c>
      <c r="F50" s="87">
        <v>2.8</v>
      </c>
      <c r="G50" s="88"/>
      <c r="H50" s="68">
        <v>96797802.469999954</v>
      </c>
      <c r="I50" s="89"/>
      <c r="J50" s="68">
        <v>1538192.41</v>
      </c>
      <c r="K50" s="78"/>
      <c r="L50" s="68">
        <v>-554910.38</v>
      </c>
      <c r="M50" s="78"/>
      <c r="N50" s="68">
        <v>0</v>
      </c>
      <c r="O50" s="78"/>
      <c r="P50" s="68">
        <v>97781084.499999955</v>
      </c>
      <c r="Q50" s="78"/>
      <c r="R50" s="68">
        <v>96965129.916153818</v>
      </c>
      <c r="T50" s="84">
        <v>39</v>
      </c>
      <c r="U50" s="596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</row>
    <row r="51" spans="1:48" ht="14.1" customHeight="1" x14ac:dyDescent="0.2">
      <c r="A51" s="84">
        <v>40</v>
      </c>
      <c r="B51" s="596"/>
      <c r="C51" s="237">
        <v>31544</v>
      </c>
      <c r="D51" s="84" t="s">
        <v>164</v>
      </c>
      <c r="F51" s="87">
        <v>3.2</v>
      </c>
      <c r="G51" s="88"/>
      <c r="H51" s="68">
        <v>43670953.700000018</v>
      </c>
      <c r="I51" s="89"/>
      <c r="J51" s="68">
        <v>1117358.1599999999</v>
      </c>
      <c r="K51" s="78"/>
      <c r="L51" s="68">
        <v>-59251.97</v>
      </c>
      <c r="M51" s="78"/>
      <c r="N51" s="68">
        <v>0</v>
      </c>
      <c r="O51" s="78"/>
      <c r="P51" s="68">
        <v>44729059.890000015</v>
      </c>
      <c r="Q51" s="78"/>
      <c r="R51" s="68">
        <v>43758489.843076929</v>
      </c>
      <c r="T51" s="84">
        <v>40</v>
      </c>
      <c r="U51" s="596"/>
    </row>
    <row r="52" spans="1:48" ht="14.1" customHeight="1" x14ac:dyDescent="0.2">
      <c r="A52" s="84">
        <v>41</v>
      </c>
      <c r="B52" s="596"/>
      <c r="C52" s="237">
        <v>31644</v>
      </c>
      <c r="D52" s="84" t="s">
        <v>165</v>
      </c>
      <c r="F52" s="87">
        <v>2.5</v>
      </c>
      <c r="G52" s="88"/>
      <c r="H52" s="68">
        <v>5802819.3799999999</v>
      </c>
      <c r="I52" s="89"/>
      <c r="J52" s="68">
        <v>105255.18</v>
      </c>
      <c r="K52" s="78"/>
      <c r="L52" s="68">
        <v>-42262.77</v>
      </c>
      <c r="M52" s="78"/>
      <c r="N52" s="68">
        <v>0</v>
      </c>
      <c r="O52" s="78"/>
      <c r="P52" s="68">
        <v>5865811.79</v>
      </c>
      <c r="Q52" s="78"/>
      <c r="R52" s="68">
        <v>5822201.6600000011</v>
      </c>
      <c r="T52" s="84">
        <v>41</v>
      </c>
      <c r="U52" s="596"/>
    </row>
    <row r="53" spans="1:48" ht="14.1" customHeight="1" x14ac:dyDescent="0.2">
      <c r="A53" s="84">
        <v>42</v>
      </c>
      <c r="B53" s="598"/>
      <c r="D53" s="619" t="s">
        <v>189</v>
      </c>
      <c r="E53" s="619"/>
      <c r="F53" s="87"/>
      <c r="H53" s="90">
        <v>464324917.71999991</v>
      </c>
      <c r="I53" s="93"/>
      <c r="J53" s="90">
        <v>5765837.7299999995</v>
      </c>
      <c r="K53" s="93"/>
      <c r="L53" s="90">
        <v>-2002196.66</v>
      </c>
      <c r="M53" s="93"/>
      <c r="N53" s="90">
        <v>0</v>
      </c>
      <c r="O53" s="93"/>
      <c r="P53" s="90">
        <v>468088558.7899999</v>
      </c>
      <c r="Q53" s="93"/>
      <c r="R53" s="90">
        <v>464936298.33692306</v>
      </c>
      <c r="T53" s="84">
        <v>42</v>
      </c>
      <c r="U53" s="598"/>
    </row>
    <row r="54" spans="1:48" ht="14.1" customHeight="1" x14ac:dyDescent="0.2">
      <c r="A54" s="84">
        <v>43</v>
      </c>
      <c r="B54" s="598"/>
      <c r="T54" s="84">
        <v>43</v>
      </c>
      <c r="U54" s="598"/>
    </row>
    <row r="55" spans="1:48" ht="14.1" customHeight="1" thickBot="1" x14ac:dyDescent="0.25">
      <c r="A55" s="84">
        <v>44</v>
      </c>
      <c r="B55" s="343" t="s">
        <v>186</v>
      </c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T55" s="84">
        <v>44</v>
      </c>
      <c r="U55" s="343" t="s">
        <v>186</v>
      </c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</row>
    <row r="56" spans="1:48" ht="14.1" customHeight="1" x14ac:dyDescent="0.2">
      <c r="A56" s="604" t="s">
        <v>60</v>
      </c>
      <c r="P56" s="84" t="s">
        <v>60</v>
      </c>
    </row>
    <row r="57" spans="1:48" ht="14.1" customHeight="1" thickBot="1" x14ac:dyDescent="0.25">
      <c r="A57" s="114" t="s">
        <v>127</v>
      </c>
      <c r="B57" s="114"/>
      <c r="C57" s="114"/>
      <c r="D57" s="114"/>
      <c r="E57" s="114"/>
      <c r="F57" s="114"/>
      <c r="G57" s="114" t="s">
        <v>128</v>
      </c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 t="s">
        <v>840</v>
      </c>
    </row>
    <row r="58" spans="1:48" ht="14.1" customHeight="1" x14ac:dyDescent="0.2">
      <c r="A58" s="84" t="s">
        <v>129</v>
      </c>
      <c r="B58" s="622"/>
      <c r="E58" s="88" t="s">
        <v>130</v>
      </c>
      <c r="F58" s="84" t="s">
        <v>131</v>
      </c>
      <c r="J58" s="623"/>
      <c r="K58" s="623"/>
      <c r="M58" s="623"/>
      <c r="N58" s="623"/>
      <c r="O58" s="623" t="s">
        <v>187</v>
      </c>
      <c r="R58" s="604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</row>
    <row r="59" spans="1:48" ht="14.1" customHeight="1" x14ac:dyDescent="0.2">
      <c r="B59" s="622"/>
      <c r="F59" s="84" t="s">
        <v>133</v>
      </c>
      <c r="J59" s="88"/>
      <c r="K59" s="604"/>
      <c r="N59" s="88"/>
      <c r="O59" s="88" t="s">
        <v>123</v>
      </c>
      <c r="P59" s="604" t="s">
        <v>844</v>
      </c>
      <c r="R59" s="88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</row>
    <row r="60" spans="1:48" ht="14.1" customHeight="1" x14ac:dyDescent="0.2">
      <c r="A60" s="84" t="s">
        <v>134</v>
      </c>
      <c r="B60" s="622"/>
      <c r="F60" s="84" t="s">
        <v>123</v>
      </c>
      <c r="J60" s="88"/>
      <c r="K60" s="604"/>
      <c r="L60" s="88"/>
      <c r="O60" s="88" t="s">
        <v>123</v>
      </c>
      <c r="P60" s="604"/>
      <c r="R60" s="88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</row>
    <row r="61" spans="1:48" ht="14.1" customHeight="1" x14ac:dyDescent="0.2">
      <c r="B61" s="622"/>
      <c r="F61" s="84" t="s">
        <v>123</v>
      </c>
      <c r="J61" s="88"/>
      <c r="K61" s="604"/>
      <c r="L61" s="88"/>
      <c r="O61" s="88" t="s">
        <v>123</v>
      </c>
      <c r="P61" s="604"/>
      <c r="R61" s="88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</row>
    <row r="62" spans="1:48" ht="14.1" customHeight="1" thickBot="1" x14ac:dyDescent="0.25">
      <c r="A62" s="114" t="s">
        <v>135</v>
      </c>
      <c r="B62" s="624"/>
      <c r="C62" s="114"/>
      <c r="D62" s="114"/>
      <c r="E62" s="114"/>
      <c r="F62" s="114" t="s">
        <v>123</v>
      </c>
      <c r="G62" s="114"/>
      <c r="H62" s="606"/>
      <c r="I62" s="114"/>
      <c r="J62" s="114"/>
      <c r="K62" s="114"/>
      <c r="L62" s="114"/>
      <c r="M62" s="114"/>
      <c r="N62" s="114"/>
      <c r="O62" s="114"/>
      <c r="P62" s="625"/>
      <c r="Q62" s="114"/>
      <c r="R62" s="114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</row>
    <row r="63" spans="1:48" ht="14.1" customHeight="1" x14ac:dyDescent="0.2">
      <c r="C63" s="607"/>
      <c r="D63" s="607"/>
      <c r="E63" s="607"/>
      <c r="F63" s="607"/>
      <c r="G63" s="607"/>
      <c r="H63" s="607"/>
      <c r="I63" s="607"/>
      <c r="J63" s="607"/>
      <c r="K63" s="607"/>
      <c r="L63" s="607"/>
      <c r="M63" s="607"/>
      <c r="N63" s="607"/>
      <c r="O63" s="607"/>
      <c r="P63" s="607"/>
      <c r="Q63" s="607"/>
      <c r="R63" s="607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</row>
    <row r="64" spans="1:48" ht="14.1" customHeight="1" x14ac:dyDescent="0.2">
      <c r="C64" s="607" t="s">
        <v>136</v>
      </c>
      <c r="D64" s="607" t="s">
        <v>137</v>
      </c>
      <c r="E64" s="607"/>
      <c r="F64" s="607" t="s">
        <v>138</v>
      </c>
      <c r="G64" s="607"/>
      <c r="H64" s="607" t="s">
        <v>139</v>
      </c>
      <c r="I64" s="607"/>
      <c r="J64" s="237" t="s">
        <v>140</v>
      </c>
      <c r="K64" s="237"/>
      <c r="L64" s="607" t="s">
        <v>141</v>
      </c>
      <c r="M64" s="607"/>
      <c r="N64" s="607" t="s">
        <v>142</v>
      </c>
      <c r="O64" s="607"/>
      <c r="P64" s="607" t="s">
        <v>143</v>
      </c>
      <c r="Q64" s="607"/>
      <c r="R64" s="607" t="s">
        <v>144</v>
      </c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</row>
    <row r="65" spans="1:48" ht="14.1" customHeight="1" x14ac:dyDescent="0.2">
      <c r="C65" s="237" t="s">
        <v>145</v>
      </c>
      <c r="D65" s="237" t="s">
        <v>145</v>
      </c>
      <c r="F65" s="237" t="s">
        <v>6</v>
      </c>
      <c r="G65" s="237"/>
      <c r="H65" s="607" t="s">
        <v>48</v>
      </c>
      <c r="I65" s="237"/>
      <c r="J65" s="607" t="s">
        <v>40</v>
      </c>
      <c r="K65" s="237"/>
      <c r="L65" s="237" t="s">
        <v>40</v>
      </c>
      <c r="M65" s="237"/>
      <c r="P65" s="237" t="s">
        <v>48</v>
      </c>
      <c r="R65" s="237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</row>
    <row r="66" spans="1:48" ht="14.1" customHeight="1" x14ac:dyDescent="0.2">
      <c r="A66" s="84" t="s">
        <v>146</v>
      </c>
      <c r="B66" s="237"/>
      <c r="C66" s="237" t="s">
        <v>147</v>
      </c>
      <c r="D66" s="237" t="s">
        <v>147</v>
      </c>
      <c r="E66" s="607"/>
      <c r="F66" s="237" t="s">
        <v>148</v>
      </c>
      <c r="G66" s="237"/>
      <c r="H66" s="237" t="s">
        <v>149</v>
      </c>
      <c r="I66" s="237"/>
      <c r="J66" s="237" t="s">
        <v>48</v>
      </c>
      <c r="K66" s="607"/>
      <c r="L66" s="237" t="s">
        <v>48</v>
      </c>
      <c r="M66" s="604"/>
      <c r="N66" s="237" t="s">
        <v>150</v>
      </c>
      <c r="O66" s="607"/>
      <c r="P66" s="607" t="s">
        <v>149</v>
      </c>
      <c r="Q66" s="607"/>
      <c r="R66" s="237" t="s">
        <v>151</v>
      </c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</row>
    <row r="67" spans="1:48" ht="14.1" customHeight="1" thickBot="1" x14ac:dyDescent="0.25">
      <c r="A67" s="114" t="s">
        <v>152</v>
      </c>
      <c r="B67" s="606"/>
      <c r="C67" s="606" t="s">
        <v>52</v>
      </c>
      <c r="D67" s="606" t="s">
        <v>153</v>
      </c>
      <c r="E67" s="606"/>
      <c r="F67" s="608" t="s">
        <v>57</v>
      </c>
      <c r="G67" s="608"/>
      <c r="H67" s="608" t="s">
        <v>154</v>
      </c>
      <c r="I67" s="609"/>
      <c r="J67" s="608" t="s">
        <v>155</v>
      </c>
      <c r="K67" s="609"/>
      <c r="L67" s="609" t="s">
        <v>156</v>
      </c>
      <c r="M67" s="610"/>
      <c r="N67" s="610" t="s">
        <v>157</v>
      </c>
      <c r="O67" s="610"/>
      <c r="P67" s="610" t="s">
        <v>158</v>
      </c>
      <c r="Q67" s="610"/>
      <c r="R67" s="610" t="s">
        <v>3</v>
      </c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</row>
    <row r="68" spans="1:48" ht="14.1" customHeight="1" x14ac:dyDescent="0.2">
      <c r="A68" s="84">
        <v>1</v>
      </c>
      <c r="B68" s="237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</row>
    <row r="69" spans="1:48" ht="14.1" customHeight="1" x14ac:dyDescent="0.2">
      <c r="A69" s="84">
        <v>2</v>
      </c>
      <c r="B69" s="596"/>
      <c r="D69" s="615" t="s">
        <v>190</v>
      </c>
      <c r="E69" s="619"/>
      <c r="F69" s="619"/>
      <c r="G69" s="619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</row>
    <row r="70" spans="1:48" ht="14.1" customHeight="1" x14ac:dyDescent="0.2">
      <c r="A70" s="84">
        <v>3</v>
      </c>
      <c r="B70" s="596"/>
      <c r="C70" s="237">
        <v>31145</v>
      </c>
      <c r="D70" s="84" t="s">
        <v>161</v>
      </c>
      <c r="F70" s="87">
        <v>2</v>
      </c>
      <c r="G70" s="88"/>
      <c r="H70" s="68">
        <v>24064721.010000005</v>
      </c>
      <c r="I70" s="89"/>
      <c r="J70" s="68">
        <v>-41131.380000000005</v>
      </c>
      <c r="K70" s="78"/>
      <c r="L70" s="68">
        <v>-111670.9</v>
      </c>
      <c r="M70" s="78"/>
      <c r="N70" s="68">
        <v>0</v>
      </c>
      <c r="O70" s="78"/>
      <c r="P70" s="68">
        <v>23911918.730000008</v>
      </c>
      <c r="Q70" s="78"/>
      <c r="R70" s="68">
        <v>23946865.939230781</v>
      </c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</row>
    <row r="71" spans="1:48" ht="14.1" customHeight="1" x14ac:dyDescent="0.2">
      <c r="A71" s="84">
        <v>4</v>
      </c>
      <c r="B71" s="596"/>
      <c r="C71" s="237">
        <v>31245</v>
      </c>
      <c r="D71" s="84" t="s">
        <v>162</v>
      </c>
      <c r="F71" s="87">
        <v>2.5</v>
      </c>
      <c r="G71" s="88"/>
      <c r="H71" s="68">
        <v>157068962.12999994</v>
      </c>
      <c r="I71" s="89"/>
      <c r="J71" s="68">
        <v>3422117.8499999996</v>
      </c>
      <c r="K71" s="78"/>
      <c r="L71" s="68">
        <v>-1290018.48</v>
      </c>
      <c r="M71" s="78"/>
      <c r="N71" s="68">
        <v>0</v>
      </c>
      <c r="O71" s="78"/>
      <c r="P71" s="68">
        <v>159201061.49999994</v>
      </c>
      <c r="Q71" s="78"/>
      <c r="R71" s="68">
        <v>157834397.72615379</v>
      </c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</row>
    <row r="72" spans="1:48" ht="14.1" customHeight="1" x14ac:dyDescent="0.2">
      <c r="A72" s="84">
        <v>5</v>
      </c>
      <c r="B72" s="596"/>
      <c r="C72" s="237">
        <v>31545</v>
      </c>
      <c r="D72" s="84" t="s">
        <v>164</v>
      </c>
      <c r="F72" s="87">
        <v>3.1</v>
      </c>
      <c r="G72" s="88"/>
      <c r="H72" s="68">
        <v>26894646.959999993</v>
      </c>
      <c r="I72" s="89"/>
      <c r="J72" s="68">
        <v>33146.6</v>
      </c>
      <c r="K72" s="78"/>
      <c r="L72" s="68">
        <v>0</v>
      </c>
      <c r="M72" s="78"/>
      <c r="N72" s="68">
        <v>0</v>
      </c>
      <c r="O72" s="78"/>
      <c r="P72" s="68">
        <v>26927793.559999995</v>
      </c>
      <c r="Q72" s="78"/>
      <c r="R72" s="68">
        <v>26922478.013846155</v>
      </c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</row>
    <row r="73" spans="1:48" ht="14.1" customHeight="1" x14ac:dyDescent="0.2">
      <c r="A73" s="84">
        <v>6</v>
      </c>
      <c r="B73" s="596"/>
      <c r="C73" s="237">
        <v>31645</v>
      </c>
      <c r="D73" s="84" t="s">
        <v>165</v>
      </c>
      <c r="F73" s="87">
        <v>3.2</v>
      </c>
      <c r="G73" s="88"/>
      <c r="H73" s="68">
        <v>752024.22</v>
      </c>
      <c r="I73" s="89"/>
      <c r="J73" s="68">
        <v>0</v>
      </c>
      <c r="K73" s="78"/>
      <c r="L73" s="68">
        <v>-62610.45</v>
      </c>
      <c r="M73" s="78"/>
      <c r="N73" s="68">
        <v>0</v>
      </c>
      <c r="O73" s="78"/>
      <c r="P73" s="68">
        <v>689413.77</v>
      </c>
      <c r="Q73" s="78"/>
      <c r="R73" s="68">
        <v>737448.96846153832</v>
      </c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</row>
    <row r="74" spans="1:48" ht="14.1" customHeight="1" x14ac:dyDescent="0.2">
      <c r="A74" s="84">
        <v>7</v>
      </c>
      <c r="B74" s="237"/>
      <c r="C74" s="237"/>
      <c r="D74" s="615" t="s">
        <v>191</v>
      </c>
      <c r="E74" s="619"/>
      <c r="F74" s="87"/>
      <c r="H74" s="90">
        <v>208780354.3199999</v>
      </c>
      <c r="I74" s="93"/>
      <c r="J74" s="90">
        <v>3414133.07</v>
      </c>
      <c r="K74" s="93"/>
      <c r="L74" s="90">
        <v>-1464299.8299999998</v>
      </c>
      <c r="M74" s="93"/>
      <c r="N74" s="90">
        <v>0</v>
      </c>
      <c r="O74" s="93"/>
      <c r="P74" s="90">
        <v>210730187.55999997</v>
      </c>
      <c r="Q74" s="93"/>
      <c r="R74" s="90">
        <v>209441190.64769226</v>
      </c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</row>
    <row r="75" spans="1:48" ht="14.1" customHeight="1" x14ac:dyDescent="0.2">
      <c r="A75" s="84">
        <v>8</v>
      </c>
      <c r="B75" s="237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</row>
    <row r="76" spans="1:48" ht="14.1" customHeight="1" x14ac:dyDescent="0.2">
      <c r="A76" s="84">
        <v>9</v>
      </c>
      <c r="B76" s="596"/>
      <c r="F76" s="87"/>
      <c r="H76" s="641"/>
      <c r="I76" s="641"/>
      <c r="J76" s="641"/>
      <c r="K76" s="641"/>
      <c r="L76" s="641"/>
      <c r="M76" s="641"/>
      <c r="N76" s="641"/>
      <c r="O76" s="641"/>
      <c r="P76" s="641"/>
      <c r="Q76" s="641"/>
      <c r="R76" s="641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</row>
    <row r="77" spans="1:48" ht="14.1" customHeight="1" x14ac:dyDescent="0.2">
      <c r="A77" s="84">
        <v>10</v>
      </c>
      <c r="B77" s="596"/>
      <c r="C77" s="237"/>
      <c r="D77" s="619" t="s">
        <v>192</v>
      </c>
      <c r="E77" s="619"/>
      <c r="F77" s="87"/>
      <c r="G77" s="619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</row>
    <row r="78" spans="1:48" ht="14.1" customHeight="1" x14ac:dyDescent="0.2">
      <c r="A78" s="84">
        <v>11</v>
      </c>
      <c r="B78" s="596"/>
      <c r="C78" s="237">
        <v>31146</v>
      </c>
      <c r="D78" s="84" t="s">
        <v>161</v>
      </c>
      <c r="F78" s="87">
        <v>2.9</v>
      </c>
      <c r="G78" s="88"/>
      <c r="H78" s="68">
        <v>12701642.68</v>
      </c>
      <c r="I78" s="89"/>
      <c r="J78" s="68">
        <v>7251.35</v>
      </c>
      <c r="K78" s="78"/>
      <c r="L78" s="68">
        <v>-4462.37</v>
      </c>
      <c r="M78" s="78"/>
      <c r="N78" s="68">
        <v>0</v>
      </c>
      <c r="O78" s="78"/>
      <c r="P78" s="68">
        <v>12704431.66</v>
      </c>
      <c r="Q78" s="78"/>
      <c r="R78" s="68">
        <v>12705976.326923076</v>
      </c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</row>
    <row r="79" spans="1:48" ht="14.1" customHeight="1" x14ac:dyDescent="0.2">
      <c r="A79" s="84">
        <v>12</v>
      </c>
      <c r="B79" s="596"/>
      <c r="C79" s="237">
        <v>31246</v>
      </c>
      <c r="D79" s="84" t="s">
        <v>162</v>
      </c>
      <c r="F79" s="87">
        <v>3.3000000000000003</v>
      </c>
      <c r="G79" s="88"/>
      <c r="H79" s="68">
        <v>54847969.289999992</v>
      </c>
      <c r="I79" s="89"/>
      <c r="J79" s="68">
        <v>43082.6</v>
      </c>
      <c r="K79" s="78"/>
      <c r="L79" s="68">
        <v>-31275.21</v>
      </c>
      <c r="M79" s="78"/>
      <c r="N79" s="68">
        <v>0</v>
      </c>
      <c r="O79" s="78"/>
      <c r="P79" s="68">
        <v>54859776.679999992</v>
      </c>
      <c r="Q79" s="78"/>
      <c r="R79" s="68">
        <v>54851602.333076887</v>
      </c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</row>
    <row r="80" spans="1:48" ht="14.1" customHeight="1" x14ac:dyDescent="0.2">
      <c r="A80" s="84">
        <v>13</v>
      </c>
      <c r="B80" s="596"/>
      <c r="C80" s="237">
        <v>31546</v>
      </c>
      <c r="D80" s="84" t="s">
        <v>164</v>
      </c>
      <c r="F80" s="87">
        <v>3.5000000000000004</v>
      </c>
      <c r="G80" s="88"/>
      <c r="H80" s="68">
        <v>9765956.1899999995</v>
      </c>
      <c r="I80" s="89"/>
      <c r="J80" s="68">
        <v>0</v>
      </c>
      <c r="K80" s="78"/>
      <c r="L80" s="68">
        <v>0</v>
      </c>
      <c r="M80" s="78"/>
      <c r="N80" s="68">
        <v>0</v>
      </c>
      <c r="O80" s="78"/>
      <c r="P80" s="68">
        <v>9765956.1899999995</v>
      </c>
      <c r="Q80" s="78"/>
      <c r="R80" s="68">
        <v>9765956.1899999995</v>
      </c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</row>
    <row r="81" spans="1:48" ht="14.1" customHeight="1" x14ac:dyDescent="0.2">
      <c r="A81" s="84">
        <v>14</v>
      </c>
      <c r="B81" s="596"/>
      <c r="C81" s="237">
        <v>31646</v>
      </c>
      <c r="D81" s="84" t="s">
        <v>165</v>
      </c>
      <c r="F81" s="87">
        <v>2.9</v>
      </c>
      <c r="G81" s="88"/>
      <c r="H81" s="68">
        <v>1725496.47</v>
      </c>
      <c r="I81" s="89"/>
      <c r="J81" s="68">
        <v>0</v>
      </c>
      <c r="K81" s="78"/>
      <c r="L81" s="68">
        <v>0</v>
      </c>
      <c r="M81" s="78"/>
      <c r="N81" s="68">
        <v>0</v>
      </c>
      <c r="O81" s="78"/>
      <c r="P81" s="68">
        <v>1725496.47</v>
      </c>
      <c r="Q81" s="78"/>
      <c r="R81" s="68">
        <v>1725496.47</v>
      </c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</row>
    <row r="82" spans="1:48" ht="14.1" customHeight="1" x14ac:dyDescent="0.2">
      <c r="A82" s="84">
        <v>15</v>
      </c>
      <c r="B82" s="596"/>
      <c r="C82" s="237"/>
      <c r="D82" s="619" t="s">
        <v>193</v>
      </c>
      <c r="E82" s="619"/>
      <c r="F82" s="87"/>
      <c r="H82" s="90">
        <v>79041064.629999995</v>
      </c>
      <c r="I82" s="93"/>
      <c r="J82" s="90">
        <v>50333.95</v>
      </c>
      <c r="K82" s="93"/>
      <c r="L82" s="90">
        <v>-35737.58</v>
      </c>
      <c r="M82" s="93"/>
      <c r="N82" s="90">
        <v>0</v>
      </c>
      <c r="O82" s="93"/>
      <c r="P82" s="90">
        <v>79055660.999999985</v>
      </c>
      <c r="Q82" s="93"/>
      <c r="R82" s="90">
        <v>79049031.319999963</v>
      </c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</row>
    <row r="83" spans="1:48" ht="14.1" customHeight="1" x14ac:dyDescent="0.2">
      <c r="A83" s="84">
        <v>16</v>
      </c>
      <c r="B83" s="59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</row>
    <row r="84" spans="1:48" ht="14.1" customHeight="1" x14ac:dyDescent="0.2">
      <c r="A84" s="84">
        <v>17</v>
      </c>
      <c r="B84" s="59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</row>
    <row r="85" spans="1:48" ht="14.1" customHeight="1" x14ac:dyDescent="0.2">
      <c r="A85" s="84">
        <v>18</v>
      </c>
      <c r="B85" s="596"/>
      <c r="C85" s="249"/>
      <c r="D85" s="615" t="s">
        <v>194</v>
      </c>
      <c r="F85" s="87"/>
      <c r="H85" s="96"/>
      <c r="I85" s="93"/>
      <c r="J85" s="641"/>
      <c r="K85" s="93"/>
      <c r="L85" s="641"/>
      <c r="M85" s="93"/>
      <c r="N85" s="641"/>
      <c r="O85" s="93"/>
      <c r="P85" s="641"/>
      <c r="Q85" s="93"/>
      <c r="R85" s="641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</row>
    <row r="86" spans="1:48" ht="14.1" customHeight="1" x14ac:dyDescent="0.2">
      <c r="A86" s="84">
        <v>19</v>
      </c>
      <c r="B86" s="596"/>
      <c r="C86" s="237">
        <v>31151</v>
      </c>
      <c r="D86" s="84" t="s">
        <v>161</v>
      </c>
      <c r="F86" s="87">
        <v>4.0999999999999996</v>
      </c>
      <c r="G86" s="88"/>
      <c r="H86" s="68">
        <v>23136622.989999998</v>
      </c>
      <c r="I86" s="89"/>
      <c r="J86" s="68">
        <v>0</v>
      </c>
      <c r="K86" s="78"/>
      <c r="L86" s="68">
        <v>0</v>
      </c>
      <c r="M86" s="78"/>
      <c r="N86" s="68">
        <v>0</v>
      </c>
      <c r="O86" s="78"/>
      <c r="P86" s="68">
        <v>23136622.989999998</v>
      </c>
      <c r="Q86" s="78"/>
      <c r="R86" s="68">
        <v>23136622.990000006</v>
      </c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</row>
    <row r="87" spans="1:48" ht="14.1" customHeight="1" x14ac:dyDescent="0.2">
      <c r="A87" s="84">
        <v>20</v>
      </c>
      <c r="B87" s="596"/>
      <c r="C87" s="237">
        <v>31251</v>
      </c>
      <c r="D87" s="84" t="s">
        <v>162</v>
      </c>
      <c r="F87" s="87">
        <v>4.3</v>
      </c>
      <c r="G87" s="88"/>
      <c r="H87" s="68">
        <v>46985092.910000004</v>
      </c>
      <c r="I87" s="89"/>
      <c r="J87" s="68">
        <v>0</v>
      </c>
      <c r="K87" s="78"/>
      <c r="L87" s="68">
        <v>0</v>
      </c>
      <c r="M87" s="78"/>
      <c r="N87" s="68">
        <v>0</v>
      </c>
      <c r="O87" s="78"/>
      <c r="P87" s="68">
        <v>46985092.910000004</v>
      </c>
      <c r="Q87" s="78"/>
      <c r="R87" s="68">
        <v>46985092.910000011</v>
      </c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</row>
    <row r="88" spans="1:48" ht="14.1" customHeight="1" x14ac:dyDescent="0.2">
      <c r="A88" s="84">
        <v>21</v>
      </c>
      <c r="B88" s="596"/>
      <c r="C88" s="237">
        <v>31551</v>
      </c>
      <c r="D88" s="84" t="s">
        <v>164</v>
      </c>
      <c r="F88" s="87">
        <v>4.8</v>
      </c>
      <c r="G88" s="88"/>
      <c r="H88" s="68">
        <v>14576030.57</v>
      </c>
      <c r="I88" s="89"/>
      <c r="J88" s="68">
        <v>0</v>
      </c>
      <c r="K88" s="78"/>
      <c r="L88" s="68">
        <v>0</v>
      </c>
      <c r="M88" s="78"/>
      <c r="N88" s="68">
        <v>0</v>
      </c>
      <c r="O88" s="78"/>
      <c r="P88" s="68">
        <v>14576030.57</v>
      </c>
      <c r="Q88" s="78"/>
      <c r="R88" s="68">
        <v>14576030.569999995</v>
      </c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</row>
    <row r="89" spans="1:48" ht="14.1" customHeight="1" x14ac:dyDescent="0.2">
      <c r="A89" s="84">
        <v>22</v>
      </c>
      <c r="B89" s="596"/>
      <c r="C89" s="237">
        <v>31651</v>
      </c>
      <c r="D89" s="84" t="s">
        <v>195</v>
      </c>
      <c r="F89" s="87">
        <v>4.0999999999999996</v>
      </c>
      <c r="G89" s="88"/>
      <c r="H89" s="68">
        <v>879814.74</v>
      </c>
      <c r="I89" s="89"/>
      <c r="J89" s="68">
        <v>0</v>
      </c>
      <c r="K89" s="78"/>
      <c r="L89" s="68">
        <v>0</v>
      </c>
      <c r="M89" s="78"/>
      <c r="N89" s="68">
        <v>0</v>
      </c>
      <c r="O89" s="78"/>
      <c r="P89" s="68">
        <v>879814.74</v>
      </c>
      <c r="Q89" s="78"/>
      <c r="R89" s="68">
        <v>879814.74000000011</v>
      </c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</row>
    <row r="90" spans="1:48" ht="14.1" customHeight="1" x14ac:dyDescent="0.2">
      <c r="A90" s="84">
        <v>23</v>
      </c>
      <c r="B90" s="596"/>
      <c r="C90" s="237"/>
      <c r="D90" s="616" t="s">
        <v>196</v>
      </c>
      <c r="H90" s="90">
        <v>85577561.209999993</v>
      </c>
      <c r="I90" s="93"/>
      <c r="J90" s="90">
        <v>0</v>
      </c>
      <c r="K90" s="93"/>
      <c r="L90" s="90">
        <v>0</v>
      </c>
      <c r="M90" s="93"/>
      <c r="N90" s="90">
        <v>0</v>
      </c>
      <c r="O90" s="93"/>
      <c r="P90" s="90">
        <v>85577561.209999993</v>
      </c>
      <c r="Q90" s="93"/>
      <c r="R90" s="90">
        <v>85577561.210000008</v>
      </c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</row>
    <row r="91" spans="1:48" ht="14.1" customHeight="1" x14ac:dyDescent="0.2">
      <c r="A91" s="84">
        <v>24</v>
      </c>
      <c r="B91" s="59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</row>
    <row r="92" spans="1:48" ht="14.1" customHeight="1" x14ac:dyDescent="0.2">
      <c r="A92" s="84">
        <v>25</v>
      </c>
      <c r="B92" s="59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</row>
    <row r="93" spans="1:48" ht="14.1" customHeight="1" x14ac:dyDescent="0.2">
      <c r="A93" s="84">
        <v>26</v>
      </c>
      <c r="B93" s="596"/>
      <c r="C93" s="249"/>
      <c r="D93" s="615" t="s">
        <v>197</v>
      </c>
      <c r="E93" s="619"/>
      <c r="F93" s="87"/>
      <c r="G93" s="619"/>
      <c r="H93" s="93"/>
      <c r="I93" s="93"/>
      <c r="J93" s="93"/>
      <c r="K93" s="93"/>
      <c r="L93" s="93"/>
      <c r="M93" s="93"/>
      <c r="N93" s="92"/>
      <c r="O93" s="92"/>
      <c r="P93" s="92"/>
      <c r="Q93" s="92"/>
      <c r="R93" s="93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</row>
    <row r="94" spans="1:48" ht="14.1" customHeight="1" x14ac:dyDescent="0.2">
      <c r="A94" s="84">
        <v>27</v>
      </c>
      <c r="B94" s="596"/>
      <c r="C94" s="237">
        <v>31152</v>
      </c>
      <c r="D94" s="84" t="s">
        <v>161</v>
      </c>
      <c r="F94" s="87">
        <v>3.5000000000000004</v>
      </c>
      <c r="G94" s="88"/>
      <c r="H94" s="68">
        <v>25208869.300000001</v>
      </c>
      <c r="I94" s="89"/>
      <c r="J94" s="68">
        <v>0</v>
      </c>
      <c r="K94" s="78"/>
      <c r="L94" s="68">
        <v>0</v>
      </c>
      <c r="M94" s="78"/>
      <c r="N94" s="68">
        <v>0</v>
      </c>
      <c r="O94" s="78"/>
      <c r="P94" s="68">
        <v>25208869.300000001</v>
      </c>
      <c r="Q94" s="78"/>
      <c r="R94" s="68">
        <v>25208869.300000008</v>
      </c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</row>
    <row r="95" spans="1:48" ht="14.1" customHeight="1" x14ac:dyDescent="0.2">
      <c r="A95" s="84">
        <v>28</v>
      </c>
      <c r="B95" s="596"/>
      <c r="C95" s="237">
        <v>31252</v>
      </c>
      <c r="D95" s="84" t="s">
        <v>162</v>
      </c>
      <c r="F95" s="87">
        <v>4</v>
      </c>
      <c r="G95" s="88"/>
      <c r="H95" s="68">
        <v>51260286.850000009</v>
      </c>
      <c r="I95" s="89"/>
      <c r="J95" s="68">
        <v>0</v>
      </c>
      <c r="K95" s="78"/>
      <c r="L95" s="68">
        <v>0</v>
      </c>
      <c r="M95" s="78"/>
      <c r="N95" s="68">
        <v>0</v>
      </c>
      <c r="O95" s="78"/>
      <c r="P95" s="68">
        <v>51260286.850000009</v>
      </c>
      <c r="Q95" s="78"/>
      <c r="R95" s="68">
        <v>51260286.850000016</v>
      </c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</row>
    <row r="96" spans="1:48" ht="14.1" customHeight="1" x14ac:dyDescent="0.2">
      <c r="A96" s="84">
        <v>29</v>
      </c>
      <c r="B96" s="596"/>
      <c r="C96" s="237">
        <v>31552</v>
      </c>
      <c r="D96" s="84" t="s">
        <v>164</v>
      </c>
      <c r="F96" s="87">
        <v>4.0999999999999996</v>
      </c>
      <c r="G96" s="88"/>
      <c r="H96" s="68">
        <v>15951072.529999997</v>
      </c>
      <c r="I96" s="89"/>
      <c r="J96" s="68">
        <v>0</v>
      </c>
      <c r="K96" s="78"/>
      <c r="L96" s="68">
        <v>0</v>
      </c>
      <c r="M96" s="78"/>
      <c r="N96" s="68">
        <v>0</v>
      </c>
      <c r="O96" s="78"/>
      <c r="P96" s="68">
        <v>15951072.529999997</v>
      </c>
      <c r="Q96" s="78"/>
      <c r="R96" s="68">
        <v>15951072.529999999</v>
      </c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</row>
    <row r="97" spans="1:48" ht="14.1" customHeight="1" x14ac:dyDescent="0.2">
      <c r="A97" s="84">
        <v>30</v>
      </c>
      <c r="B97" s="596"/>
      <c r="C97" s="237">
        <v>31652</v>
      </c>
      <c r="D97" s="84" t="s">
        <v>165</v>
      </c>
      <c r="F97" s="87">
        <v>3.7000000000000006</v>
      </c>
      <c r="G97" s="88"/>
      <c r="H97" s="68">
        <v>958615.89</v>
      </c>
      <c r="I97" s="89"/>
      <c r="J97" s="68">
        <v>0</v>
      </c>
      <c r="K97" s="78"/>
      <c r="L97" s="68">
        <v>0</v>
      </c>
      <c r="M97" s="78"/>
      <c r="N97" s="68">
        <v>0</v>
      </c>
      <c r="O97" s="78"/>
      <c r="P97" s="68">
        <v>958615.89</v>
      </c>
      <c r="Q97" s="78"/>
      <c r="R97" s="68">
        <v>958615.89000000013</v>
      </c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</row>
    <row r="98" spans="1:48" ht="14.1" customHeight="1" x14ac:dyDescent="0.2">
      <c r="A98" s="84">
        <v>31</v>
      </c>
      <c r="B98" s="596"/>
      <c r="D98" s="615" t="s">
        <v>198</v>
      </c>
      <c r="E98" s="619"/>
      <c r="F98" s="87"/>
      <c r="H98" s="90">
        <v>93378844.570000008</v>
      </c>
      <c r="I98" s="93"/>
      <c r="J98" s="90">
        <v>0</v>
      </c>
      <c r="K98" s="93"/>
      <c r="L98" s="90">
        <v>0</v>
      </c>
      <c r="M98" s="93"/>
      <c r="N98" s="90">
        <v>0</v>
      </c>
      <c r="O98" s="93"/>
      <c r="P98" s="90">
        <v>93378844.570000008</v>
      </c>
      <c r="Q98" s="93"/>
      <c r="R98" s="90">
        <v>93378844.570000023</v>
      </c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</row>
    <row r="99" spans="1:48" ht="14.1" customHeight="1" x14ac:dyDescent="0.2">
      <c r="A99" s="84">
        <v>32</v>
      </c>
      <c r="B99" s="596"/>
      <c r="C99" s="237"/>
      <c r="F99" s="87"/>
      <c r="H99" s="641"/>
      <c r="I99" s="641"/>
      <c r="J99" s="641"/>
      <c r="K99" s="641"/>
      <c r="L99" s="641"/>
      <c r="M99" s="641"/>
      <c r="N99" s="641"/>
      <c r="O99" s="641"/>
      <c r="P99" s="641"/>
      <c r="Q99" s="641"/>
      <c r="R99" s="641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</row>
    <row r="100" spans="1:48" ht="14.1" customHeight="1" x14ac:dyDescent="0.2">
      <c r="A100" s="84">
        <v>33</v>
      </c>
      <c r="B100" s="596"/>
      <c r="C100" s="237"/>
      <c r="F100" s="87"/>
      <c r="H100" s="641"/>
      <c r="I100" s="641"/>
      <c r="J100" s="641"/>
      <c r="K100" s="641"/>
      <c r="L100" s="641"/>
      <c r="M100" s="641"/>
      <c r="N100" s="641"/>
      <c r="O100" s="641"/>
      <c r="P100" s="641"/>
      <c r="Q100" s="641"/>
      <c r="R100" s="641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</row>
    <row r="101" spans="1:48" ht="14.1" customHeight="1" x14ac:dyDescent="0.2">
      <c r="A101" s="84">
        <v>34</v>
      </c>
      <c r="B101" s="596"/>
      <c r="C101" s="249"/>
      <c r="D101" s="615" t="s">
        <v>199</v>
      </c>
      <c r="E101" s="619"/>
      <c r="F101" s="619"/>
      <c r="G101" s="619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</row>
    <row r="102" spans="1:48" ht="14.1" customHeight="1" x14ac:dyDescent="0.2">
      <c r="A102" s="84">
        <v>35</v>
      </c>
      <c r="B102" s="596"/>
      <c r="C102" s="237">
        <v>31153</v>
      </c>
      <c r="D102" s="84" t="s">
        <v>161</v>
      </c>
      <c r="F102" s="87">
        <v>3.1</v>
      </c>
      <c r="G102" s="88"/>
      <c r="H102" s="68">
        <v>21689421.57</v>
      </c>
      <c r="I102" s="89"/>
      <c r="J102" s="68">
        <v>0</v>
      </c>
      <c r="K102" s="78"/>
      <c r="L102" s="68">
        <v>0</v>
      </c>
      <c r="M102" s="78"/>
      <c r="N102" s="68">
        <v>0</v>
      </c>
      <c r="O102" s="78"/>
      <c r="P102" s="68">
        <v>21689421.57</v>
      </c>
      <c r="Q102" s="78"/>
      <c r="R102" s="68">
        <v>21689421.569999997</v>
      </c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</row>
    <row r="103" spans="1:48" ht="14.1" customHeight="1" x14ac:dyDescent="0.2">
      <c r="A103" s="84">
        <v>36</v>
      </c>
      <c r="B103" s="596"/>
      <c r="C103" s="237">
        <v>31253</v>
      </c>
      <c r="D103" s="84" t="s">
        <v>162</v>
      </c>
      <c r="F103" s="87">
        <v>3.9</v>
      </c>
      <c r="G103" s="88"/>
      <c r="H103" s="68">
        <v>44040159.469999999</v>
      </c>
      <c r="I103" s="89"/>
      <c r="J103" s="68">
        <v>0</v>
      </c>
      <c r="K103" s="78"/>
      <c r="L103" s="68">
        <v>0</v>
      </c>
      <c r="M103" s="78"/>
      <c r="N103" s="68">
        <v>0</v>
      </c>
      <c r="O103" s="78"/>
      <c r="P103" s="68">
        <v>44040159.469999999</v>
      </c>
      <c r="Q103" s="78"/>
      <c r="R103" s="68">
        <v>44040159.470000014</v>
      </c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</row>
    <row r="104" spans="1:48" ht="14.1" customHeight="1" x14ac:dyDescent="0.2">
      <c r="A104" s="84">
        <v>37</v>
      </c>
      <c r="B104" s="596"/>
      <c r="C104" s="237">
        <v>31553</v>
      </c>
      <c r="D104" s="84" t="s">
        <v>164</v>
      </c>
      <c r="F104" s="87">
        <v>4</v>
      </c>
      <c r="G104" s="88"/>
      <c r="H104" s="68">
        <v>13761422.039999999</v>
      </c>
      <c r="I104" s="89"/>
      <c r="J104" s="68">
        <v>0</v>
      </c>
      <c r="K104" s="78"/>
      <c r="L104" s="68">
        <v>0</v>
      </c>
      <c r="M104" s="78"/>
      <c r="N104" s="68">
        <v>0</v>
      </c>
      <c r="O104" s="78"/>
      <c r="P104" s="68">
        <v>13761422.039999999</v>
      </c>
      <c r="Q104" s="78"/>
      <c r="R104" s="68">
        <v>13761422.039999994</v>
      </c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</row>
    <row r="105" spans="1:48" ht="14.1" customHeight="1" x14ac:dyDescent="0.2">
      <c r="A105" s="84">
        <v>38</v>
      </c>
      <c r="B105" s="596"/>
      <c r="C105" s="237">
        <v>31653</v>
      </c>
      <c r="D105" s="84" t="s">
        <v>165</v>
      </c>
      <c r="F105" s="87">
        <v>3.4000000000000004</v>
      </c>
      <c r="G105" s="88"/>
      <c r="H105" s="68">
        <v>824683.51</v>
      </c>
      <c r="I105" s="89"/>
      <c r="J105" s="68">
        <v>0</v>
      </c>
      <c r="K105" s="78"/>
      <c r="L105" s="68">
        <v>0</v>
      </c>
      <c r="M105" s="78"/>
      <c r="N105" s="68">
        <v>0</v>
      </c>
      <c r="O105" s="78"/>
      <c r="P105" s="68">
        <v>824683.51</v>
      </c>
      <c r="Q105" s="78"/>
      <c r="R105" s="68">
        <v>824683.50999999989</v>
      </c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</row>
    <row r="106" spans="1:48" ht="14.1" customHeight="1" x14ac:dyDescent="0.2">
      <c r="A106" s="84">
        <v>39</v>
      </c>
      <c r="B106" s="596"/>
      <c r="C106" s="237"/>
      <c r="D106" s="615" t="s">
        <v>200</v>
      </c>
      <c r="E106" s="619"/>
      <c r="F106" s="87"/>
      <c r="H106" s="90">
        <v>80315686.590000004</v>
      </c>
      <c r="I106" s="93"/>
      <c r="J106" s="90">
        <v>0</v>
      </c>
      <c r="K106" s="93"/>
      <c r="L106" s="90">
        <v>0</v>
      </c>
      <c r="M106" s="93"/>
      <c r="N106" s="90">
        <v>0</v>
      </c>
      <c r="O106" s="93"/>
      <c r="P106" s="90">
        <v>80315686.590000004</v>
      </c>
      <c r="Q106" s="93"/>
      <c r="R106" s="90">
        <v>80315686.590000004</v>
      </c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</row>
    <row r="107" spans="1:48" ht="14.1" customHeight="1" x14ac:dyDescent="0.2">
      <c r="A107" s="84">
        <v>40</v>
      </c>
      <c r="B107" s="59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</row>
    <row r="108" spans="1:48" ht="14.1" customHeight="1" x14ac:dyDescent="0.2">
      <c r="A108" s="84">
        <v>41</v>
      </c>
      <c r="B108" s="596"/>
      <c r="C108" s="237"/>
      <c r="F108" s="88"/>
      <c r="G108" s="88"/>
      <c r="H108" s="75"/>
      <c r="I108" s="93"/>
      <c r="J108" s="75"/>
      <c r="K108" s="93"/>
      <c r="L108" s="75"/>
      <c r="M108" s="93"/>
      <c r="N108" s="75"/>
      <c r="O108" s="93"/>
      <c r="P108" s="75"/>
      <c r="Q108" s="93"/>
      <c r="R108" s="75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</row>
    <row r="109" spans="1:48" ht="14.1" customHeight="1" x14ac:dyDescent="0.2">
      <c r="A109" s="84">
        <v>42</v>
      </c>
      <c r="B109" s="596"/>
      <c r="C109" s="237"/>
      <c r="F109" s="88"/>
      <c r="G109" s="88"/>
      <c r="H109" s="75"/>
      <c r="I109" s="93"/>
      <c r="J109" s="75"/>
      <c r="K109" s="93"/>
      <c r="L109" s="75"/>
      <c r="M109" s="93"/>
      <c r="N109" s="75"/>
      <c r="O109" s="93"/>
      <c r="P109" s="75"/>
      <c r="Q109" s="93"/>
      <c r="R109" s="75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</row>
    <row r="110" spans="1:48" ht="14.1" customHeight="1" x14ac:dyDescent="0.2">
      <c r="A110" s="84">
        <v>43</v>
      </c>
      <c r="B110" s="596"/>
      <c r="C110" s="237"/>
      <c r="F110" s="88"/>
      <c r="G110" s="88"/>
      <c r="H110" s="75"/>
      <c r="I110" s="93"/>
      <c r="J110" s="75"/>
      <c r="K110" s="93"/>
      <c r="L110" s="75"/>
      <c r="M110" s="93"/>
      <c r="N110" s="75"/>
      <c r="O110" s="93"/>
      <c r="P110" s="75"/>
      <c r="Q110" s="93"/>
      <c r="R110" s="75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</row>
    <row r="111" spans="1:48" ht="14.1" customHeight="1" thickBot="1" x14ac:dyDescent="0.25">
      <c r="A111" s="114">
        <v>44</v>
      </c>
      <c r="B111" s="343" t="s">
        <v>186</v>
      </c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</row>
    <row r="112" spans="1:48" ht="14.1" customHeight="1" x14ac:dyDescent="0.2">
      <c r="A112" s="84" t="s">
        <v>60</v>
      </c>
      <c r="P112" s="84" t="s">
        <v>60</v>
      </c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</row>
    <row r="113" spans="1:48" ht="14.1" customHeight="1" thickBot="1" x14ac:dyDescent="0.25">
      <c r="A113" s="114" t="s">
        <v>127</v>
      </c>
      <c r="B113" s="114"/>
      <c r="C113" s="114"/>
      <c r="D113" s="114"/>
      <c r="E113" s="114"/>
      <c r="F113" s="114"/>
      <c r="G113" s="114" t="s">
        <v>128</v>
      </c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 t="s">
        <v>325</v>
      </c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</row>
    <row r="114" spans="1:48" ht="14.1" customHeight="1" x14ac:dyDescent="0.2">
      <c r="A114" s="84" t="s">
        <v>129</v>
      </c>
      <c r="B114" s="622"/>
      <c r="E114" s="88" t="s">
        <v>130</v>
      </c>
      <c r="F114" s="84" t="s">
        <v>131</v>
      </c>
      <c r="J114" s="623"/>
      <c r="K114" s="623"/>
      <c r="M114" s="623"/>
      <c r="N114" s="623"/>
      <c r="O114" s="623" t="s">
        <v>187</v>
      </c>
      <c r="R114" s="604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</row>
    <row r="115" spans="1:48" ht="14.1" customHeight="1" x14ac:dyDescent="0.2">
      <c r="B115" s="622"/>
      <c r="F115" s="84" t="s">
        <v>133</v>
      </c>
      <c r="J115" s="88"/>
      <c r="K115" s="604"/>
      <c r="N115" s="88"/>
      <c r="O115" s="88" t="s">
        <v>123</v>
      </c>
      <c r="P115" s="604" t="s">
        <v>844</v>
      </c>
      <c r="R115" s="88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</row>
    <row r="116" spans="1:48" ht="14.1" customHeight="1" x14ac:dyDescent="0.2">
      <c r="A116" s="84" t="s">
        <v>134</v>
      </c>
      <c r="B116" s="622"/>
      <c r="F116" s="84" t="s">
        <v>123</v>
      </c>
      <c r="J116" s="88"/>
      <c r="K116" s="604"/>
      <c r="L116" s="88"/>
      <c r="O116" s="88" t="s">
        <v>123</v>
      </c>
      <c r="P116" s="604"/>
      <c r="R116" s="88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</row>
    <row r="117" spans="1:48" ht="14.1" customHeight="1" x14ac:dyDescent="0.2">
      <c r="B117" s="622"/>
      <c r="F117" s="84" t="s">
        <v>123</v>
      </c>
      <c r="J117" s="88"/>
      <c r="K117" s="604"/>
      <c r="L117" s="88"/>
      <c r="O117" s="88" t="s">
        <v>123</v>
      </c>
      <c r="P117" s="604"/>
      <c r="R117" s="88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</row>
    <row r="118" spans="1:48" ht="14.1" customHeight="1" thickBot="1" x14ac:dyDescent="0.25">
      <c r="A118" s="114" t="s">
        <v>135</v>
      </c>
      <c r="B118" s="624"/>
      <c r="C118" s="114"/>
      <c r="D118" s="114"/>
      <c r="E118" s="114"/>
      <c r="F118" s="114" t="s">
        <v>123</v>
      </c>
      <c r="G118" s="114"/>
      <c r="H118" s="606"/>
      <c r="I118" s="114"/>
      <c r="J118" s="114"/>
      <c r="K118" s="114"/>
      <c r="L118" s="114"/>
      <c r="M118" s="114"/>
      <c r="N118" s="114"/>
      <c r="O118" s="114"/>
      <c r="P118" s="625"/>
      <c r="Q118" s="114"/>
      <c r="R118" s="114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</row>
    <row r="119" spans="1:48" ht="14.1" customHeight="1" x14ac:dyDescent="0.2">
      <c r="C119" s="607"/>
      <c r="D119" s="607"/>
      <c r="E119" s="607"/>
      <c r="F119" s="607"/>
      <c r="G119" s="607"/>
      <c r="H119" s="607"/>
      <c r="I119" s="607"/>
      <c r="J119" s="607"/>
      <c r="K119" s="607"/>
      <c r="L119" s="607"/>
      <c r="M119" s="607"/>
      <c r="N119" s="607"/>
      <c r="O119" s="607"/>
      <c r="P119" s="607"/>
      <c r="Q119" s="607"/>
      <c r="R119" s="607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</row>
    <row r="120" spans="1:48" ht="14.1" customHeight="1" x14ac:dyDescent="0.2">
      <c r="C120" s="607" t="s">
        <v>136</v>
      </c>
      <c r="D120" s="607" t="s">
        <v>137</v>
      </c>
      <c r="E120" s="607"/>
      <c r="F120" s="607" t="s">
        <v>138</v>
      </c>
      <c r="G120" s="607"/>
      <c r="H120" s="607" t="s">
        <v>139</v>
      </c>
      <c r="I120" s="607"/>
      <c r="J120" s="237" t="s">
        <v>140</v>
      </c>
      <c r="K120" s="237"/>
      <c r="L120" s="607" t="s">
        <v>141</v>
      </c>
      <c r="M120" s="607"/>
      <c r="N120" s="607" t="s">
        <v>142</v>
      </c>
      <c r="O120" s="607"/>
      <c r="P120" s="607" t="s">
        <v>143</v>
      </c>
      <c r="Q120" s="607"/>
      <c r="R120" s="607" t="s">
        <v>144</v>
      </c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</row>
    <row r="121" spans="1:48" ht="14.1" customHeight="1" x14ac:dyDescent="0.2">
      <c r="C121" s="237" t="s">
        <v>145</v>
      </c>
      <c r="D121" s="237" t="s">
        <v>145</v>
      </c>
      <c r="F121" s="237" t="s">
        <v>6</v>
      </c>
      <c r="G121" s="237"/>
      <c r="H121" s="607" t="s">
        <v>48</v>
      </c>
      <c r="I121" s="237"/>
      <c r="J121" s="607" t="s">
        <v>40</v>
      </c>
      <c r="K121" s="237"/>
      <c r="L121" s="237" t="s">
        <v>40</v>
      </c>
      <c r="M121" s="237"/>
      <c r="P121" s="237" t="s">
        <v>48</v>
      </c>
      <c r="R121" s="237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</row>
    <row r="122" spans="1:48" ht="14.1" customHeight="1" x14ac:dyDescent="0.2">
      <c r="A122" s="84" t="s">
        <v>146</v>
      </c>
      <c r="B122" s="237"/>
      <c r="C122" s="237" t="s">
        <v>147</v>
      </c>
      <c r="D122" s="237" t="s">
        <v>147</v>
      </c>
      <c r="E122" s="607"/>
      <c r="F122" s="237" t="s">
        <v>148</v>
      </c>
      <c r="G122" s="237"/>
      <c r="H122" s="237" t="s">
        <v>149</v>
      </c>
      <c r="I122" s="237"/>
      <c r="J122" s="237" t="s">
        <v>48</v>
      </c>
      <c r="K122" s="607"/>
      <c r="L122" s="237" t="s">
        <v>48</v>
      </c>
      <c r="M122" s="604"/>
      <c r="N122" s="237" t="s">
        <v>150</v>
      </c>
      <c r="O122" s="607"/>
      <c r="P122" s="607" t="s">
        <v>149</v>
      </c>
      <c r="Q122" s="607"/>
      <c r="R122" s="237" t="s">
        <v>151</v>
      </c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</row>
    <row r="123" spans="1:48" ht="14.1" customHeight="1" thickBot="1" x14ac:dyDescent="0.25">
      <c r="A123" s="114" t="s">
        <v>152</v>
      </c>
      <c r="B123" s="606"/>
      <c r="C123" s="606" t="s">
        <v>52</v>
      </c>
      <c r="D123" s="606" t="s">
        <v>153</v>
      </c>
      <c r="E123" s="606"/>
      <c r="F123" s="608" t="s">
        <v>57</v>
      </c>
      <c r="G123" s="608"/>
      <c r="H123" s="608" t="s">
        <v>154</v>
      </c>
      <c r="I123" s="609"/>
      <c r="J123" s="608" t="s">
        <v>155</v>
      </c>
      <c r="K123" s="609"/>
      <c r="L123" s="609" t="s">
        <v>156</v>
      </c>
      <c r="M123" s="610"/>
      <c r="N123" s="610" t="s">
        <v>157</v>
      </c>
      <c r="O123" s="610"/>
      <c r="P123" s="610" t="s">
        <v>158</v>
      </c>
      <c r="Q123" s="610"/>
      <c r="R123" s="610" t="s">
        <v>3</v>
      </c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</row>
    <row r="124" spans="1:48" ht="14.1" customHeight="1" x14ac:dyDescent="0.2">
      <c r="A124" s="84">
        <v>1</v>
      </c>
      <c r="B124" s="237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</row>
    <row r="125" spans="1:48" ht="14.1" customHeight="1" x14ac:dyDescent="0.2">
      <c r="A125" s="84">
        <v>2</v>
      </c>
      <c r="B125" s="596"/>
      <c r="C125" s="249"/>
      <c r="D125" s="615" t="s">
        <v>201</v>
      </c>
      <c r="E125" s="619"/>
      <c r="F125" s="87"/>
      <c r="G125" s="619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</row>
    <row r="126" spans="1:48" ht="14.1" customHeight="1" x14ac:dyDescent="0.2">
      <c r="A126" s="84">
        <v>3</v>
      </c>
      <c r="B126" s="596"/>
      <c r="C126" s="237">
        <v>31154</v>
      </c>
      <c r="D126" s="84" t="s">
        <v>161</v>
      </c>
      <c r="F126" s="87">
        <v>2.4</v>
      </c>
      <c r="G126" s="88"/>
      <c r="H126" s="68">
        <v>16857249.890000001</v>
      </c>
      <c r="I126" s="89"/>
      <c r="J126" s="68">
        <v>0</v>
      </c>
      <c r="K126" s="78"/>
      <c r="L126" s="68">
        <v>0</v>
      </c>
      <c r="M126" s="78"/>
      <c r="N126" s="68">
        <v>0</v>
      </c>
      <c r="O126" s="78"/>
      <c r="P126" s="68">
        <v>16857249.890000001</v>
      </c>
      <c r="Q126" s="78"/>
      <c r="R126" s="68">
        <v>16857249.889999993</v>
      </c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</row>
    <row r="127" spans="1:48" ht="14.1" customHeight="1" x14ac:dyDescent="0.2">
      <c r="A127" s="84">
        <v>4</v>
      </c>
      <c r="B127" s="596"/>
      <c r="C127" s="237">
        <v>31254</v>
      </c>
      <c r="D127" s="84" t="s">
        <v>162</v>
      </c>
      <c r="F127" s="87">
        <v>3.8</v>
      </c>
      <c r="G127" s="88"/>
      <c r="H127" s="68">
        <v>30124919.68</v>
      </c>
      <c r="I127" s="89"/>
      <c r="J127" s="68">
        <v>294250.96999999997</v>
      </c>
      <c r="K127" s="78"/>
      <c r="L127" s="68">
        <v>-45979.48</v>
      </c>
      <c r="M127" s="78"/>
      <c r="N127" s="68">
        <v>0</v>
      </c>
      <c r="O127" s="78"/>
      <c r="P127" s="68">
        <v>30373191.169999998</v>
      </c>
      <c r="Q127" s="78"/>
      <c r="R127" s="68">
        <v>30222729.98692308</v>
      </c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</row>
    <row r="128" spans="1:48" ht="14.1" customHeight="1" x14ac:dyDescent="0.2">
      <c r="A128" s="84">
        <v>5</v>
      </c>
      <c r="B128" s="596"/>
      <c r="C128" s="237">
        <v>31554</v>
      </c>
      <c r="D128" s="84" t="s">
        <v>164</v>
      </c>
      <c r="F128" s="87">
        <v>3.9</v>
      </c>
      <c r="G128" s="88"/>
      <c r="H128" s="68">
        <v>10642026.83</v>
      </c>
      <c r="I128" s="89"/>
      <c r="J128" s="68">
        <v>0</v>
      </c>
      <c r="K128" s="78"/>
      <c r="L128" s="68">
        <v>0</v>
      </c>
      <c r="M128" s="78"/>
      <c r="N128" s="68">
        <v>0</v>
      </c>
      <c r="O128" s="78"/>
      <c r="P128" s="68">
        <v>10642026.83</v>
      </c>
      <c r="Q128" s="78"/>
      <c r="R128" s="68">
        <v>10642026.83</v>
      </c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</row>
    <row r="129" spans="1:48" ht="14.1" customHeight="1" x14ac:dyDescent="0.2">
      <c r="A129" s="84">
        <v>6</v>
      </c>
      <c r="B129" s="596"/>
      <c r="C129" s="237">
        <v>31654</v>
      </c>
      <c r="D129" s="84" t="s">
        <v>165</v>
      </c>
      <c r="F129" s="87">
        <v>3.3000000000000003</v>
      </c>
      <c r="G129" s="88"/>
      <c r="H129" s="68">
        <v>687934.36</v>
      </c>
      <c r="I129" s="89"/>
      <c r="J129" s="68">
        <v>0</v>
      </c>
      <c r="K129" s="78"/>
      <c r="L129" s="68">
        <v>0</v>
      </c>
      <c r="M129" s="78"/>
      <c r="N129" s="68">
        <v>0</v>
      </c>
      <c r="O129" s="78"/>
      <c r="P129" s="68">
        <v>687934.36</v>
      </c>
      <c r="Q129" s="78"/>
      <c r="R129" s="68">
        <v>687934.3600000001</v>
      </c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</row>
    <row r="130" spans="1:48" ht="14.1" customHeight="1" x14ac:dyDescent="0.2">
      <c r="A130" s="84">
        <v>7</v>
      </c>
      <c r="B130" s="237"/>
      <c r="C130" s="237"/>
      <c r="D130" s="615" t="s">
        <v>202</v>
      </c>
      <c r="E130" s="619"/>
      <c r="F130" s="87"/>
      <c r="H130" s="90">
        <v>58312130.759999998</v>
      </c>
      <c r="I130" s="93"/>
      <c r="J130" s="90">
        <v>294250.96999999997</v>
      </c>
      <c r="K130" s="93"/>
      <c r="L130" s="90">
        <v>-45979.48</v>
      </c>
      <c r="M130" s="93"/>
      <c r="N130" s="90">
        <v>0</v>
      </c>
      <c r="O130" s="93"/>
      <c r="P130" s="90">
        <v>58560402.25</v>
      </c>
      <c r="Q130" s="93"/>
      <c r="R130" s="90">
        <v>58409941.066923067</v>
      </c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</row>
    <row r="131" spans="1:48" ht="14.1" customHeight="1" x14ac:dyDescent="0.2">
      <c r="A131" s="84">
        <v>8</v>
      </c>
      <c r="B131" s="237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</row>
    <row r="132" spans="1:48" ht="14.1" customHeight="1" x14ac:dyDescent="0.2">
      <c r="A132" s="84">
        <v>9</v>
      </c>
      <c r="B132" s="596"/>
      <c r="C132" s="607">
        <v>31247</v>
      </c>
      <c r="D132" s="84" t="s">
        <v>203</v>
      </c>
      <c r="F132" s="87">
        <v>20</v>
      </c>
      <c r="H132" s="68">
        <v>21353105.129999999</v>
      </c>
      <c r="I132" s="89"/>
      <c r="J132" s="68">
        <v>371409.57000000007</v>
      </c>
      <c r="K132" s="78"/>
      <c r="L132" s="68">
        <v>-284445.97000000003</v>
      </c>
      <c r="M132" s="78"/>
      <c r="N132" s="68">
        <v>0</v>
      </c>
      <c r="O132" s="78"/>
      <c r="P132" s="68">
        <v>21440068.73</v>
      </c>
      <c r="Q132" s="78"/>
      <c r="R132" s="68">
        <v>21379164.329230767</v>
      </c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</row>
    <row r="133" spans="1:48" ht="14.1" customHeight="1" x14ac:dyDescent="0.2">
      <c r="A133" s="84">
        <v>10</v>
      </c>
      <c r="B133" s="59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</row>
    <row r="134" spans="1:48" ht="14.1" customHeight="1" x14ac:dyDescent="0.2">
      <c r="A134" s="84">
        <v>11</v>
      </c>
      <c r="B134" s="596"/>
      <c r="C134" s="607">
        <v>31647</v>
      </c>
      <c r="D134" s="84" t="s">
        <v>204</v>
      </c>
      <c r="F134" s="87">
        <v>14.3</v>
      </c>
      <c r="G134" s="88"/>
      <c r="H134" s="68">
        <v>1382123.9299999997</v>
      </c>
      <c r="I134" s="89"/>
      <c r="J134" s="68">
        <v>359882.9</v>
      </c>
      <c r="K134" s="78"/>
      <c r="L134" s="68">
        <v>-437693.63</v>
      </c>
      <c r="M134" s="78"/>
      <c r="N134" s="68">
        <v>0</v>
      </c>
      <c r="O134" s="78"/>
      <c r="P134" s="68">
        <v>1304313.1999999997</v>
      </c>
      <c r="Q134" s="78"/>
      <c r="R134" s="68">
        <v>1123213.21</v>
      </c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</row>
    <row r="135" spans="1:48" ht="14.1" customHeight="1" x14ac:dyDescent="0.2">
      <c r="A135" s="84">
        <v>12</v>
      </c>
      <c r="B135" s="596"/>
      <c r="C135" s="237"/>
      <c r="F135" s="87"/>
      <c r="H135" s="97"/>
      <c r="I135" s="93"/>
      <c r="J135" s="97"/>
      <c r="K135" s="93"/>
      <c r="L135" s="97"/>
      <c r="M135" s="93"/>
      <c r="N135" s="97"/>
      <c r="O135" s="93"/>
      <c r="P135" s="97"/>
      <c r="Q135" s="93"/>
      <c r="R135" s="97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</row>
    <row r="136" spans="1:48" ht="14.1" customHeight="1" thickBot="1" x14ac:dyDescent="0.25">
      <c r="A136" s="84">
        <v>13</v>
      </c>
      <c r="B136" s="596"/>
      <c r="C136" s="237"/>
      <c r="D136" s="616" t="s">
        <v>205</v>
      </c>
      <c r="F136" s="87"/>
      <c r="G136" s="88"/>
      <c r="H136" s="55">
        <v>2149950869.0699992</v>
      </c>
      <c r="I136" s="93"/>
      <c r="J136" s="55">
        <v>38903853.950000003</v>
      </c>
      <c r="K136" s="93"/>
      <c r="L136" s="55">
        <v>-8508904.4500000011</v>
      </c>
      <c r="M136" s="93"/>
      <c r="N136" s="55">
        <v>-12489.95</v>
      </c>
      <c r="O136" s="93"/>
      <c r="P136" s="55">
        <v>2180333328.6199994</v>
      </c>
      <c r="Q136" s="93"/>
      <c r="R136" s="55">
        <v>2159252370.8792305</v>
      </c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</row>
    <row r="137" spans="1:48" ht="14.1" customHeight="1" thickTop="1" x14ac:dyDescent="0.2">
      <c r="A137" s="84">
        <v>14</v>
      </c>
      <c r="B137" s="596"/>
      <c r="C137" s="237"/>
      <c r="D137" s="616"/>
      <c r="H137" s="90"/>
      <c r="I137" s="93"/>
      <c r="J137" s="90"/>
      <c r="K137" s="93"/>
      <c r="L137" s="90"/>
      <c r="M137" s="93"/>
      <c r="N137" s="90"/>
      <c r="O137" s="93"/>
      <c r="P137" s="90"/>
      <c r="Q137" s="93"/>
      <c r="R137" s="90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</row>
    <row r="138" spans="1:48" ht="14.1" customHeight="1" thickBot="1" x14ac:dyDescent="0.25">
      <c r="A138" s="84">
        <v>15</v>
      </c>
      <c r="B138" s="596"/>
      <c r="C138" s="237"/>
      <c r="D138" s="84" t="s">
        <v>68</v>
      </c>
      <c r="F138" s="88"/>
      <c r="G138" s="88"/>
      <c r="H138" s="55">
        <v>2149950869.0699992</v>
      </c>
      <c r="I138" s="93"/>
      <c r="J138" s="55">
        <v>38903853.950000003</v>
      </c>
      <c r="K138" s="93"/>
      <c r="L138" s="55">
        <v>-8508904.4500000011</v>
      </c>
      <c r="M138" s="93"/>
      <c r="N138" s="55">
        <v>-12489.95</v>
      </c>
      <c r="O138" s="93"/>
      <c r="P138" s="55">
        <v>2180333328.6199994</v>
      </c>
      <c r="Q138" s="93"/>
      <c r="R138" s="55">
        <v>2159252370.8792305</v>
      </c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</row>
    <row r="139" spans="1:48" ht="14.1" customHeight="1" thickTop="1" x14ac:dyDescent="0.2">
      <c r="A139" s="84">
        <v>16</v>
      </c>
      <c r="B139" s="596"/>
      <c r="C139" s="237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</row>
    <row r="140" spans="1:48" ht="14.1" customHeight="1" x14ac:dyDescent="0.2">
      <c r="A140" s="84">
        <v>17</v>
      </c>
      <c r="B140" s="596"/>
      <c r="D140" s="619"/>
      <c r="E140" s="619"/>
      <c r="F140" s="642"/>
      <c r="G140" s="642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</row>
    <row r="141" spans="1:48" ht="14.1" customHeight="1" x14ac:dyDescent="0.2">
      <c r="A141" s="84">
        <v>18</v>
      </c>
      <c r="B141" s="596"/>
      <c r="D141" s="84" t="s">
        <v>63</v>
      </c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</row>
    <row r="142" spans="1:48" ht="14.1" customHeight="1" x14ac:dyDescent="0.2">
      <c r="A142" s="84">
        <v>19</v>
      </c>
      <c r="B142" s="596"/>
      <c r="D142" s="84" t="s">
        <v>159</v>
      </c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</row>
    <row r="143" spans="1:48" ht="14.1" customHeight="1" x14ac:dyDescent="0.2">
      <c r="A143" s="84">
        <v>20</v>
      </c>
      <c r="B143" s="596"/>
      <c r="D143" s="84" t="s">
        <v>208</v>
      </c>
      <c r="E143" s="237"/>
      <c r="F143" s="643"/>
      <c r="G143" s="643"/>
      <c r="H143" s="110"/>
      <c r="I143" s="241"/>
      <c r="J143" s="110"/>
      <c r="K143" s="241"/>
      <c r="L143" s="241"/>
      <c r="M143" s="241"/>
      <c r="N143" s="241"/>
      <c r="O143" s="241"/>
      <c r="P143" s="241"/>
      <c r="Q143" s="241"/>
      <c r="R143" s="241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</row>
    <row r="144" spans="1:48" ht="14.1" customHeight="1" x14ac:dyDescent="0.2">
      <c r="A144" s="84">
        <v>21</v>
      </c>
      <c r="B144" s="596"/>
      <c r="C144" s="607">
        <v>34144</v>
      </c>
      <c r="D144" s="84" t="s">
        <v>161</v>
      </c>
      <c r="E144" s="237"/>
      <c r="F144" s="87">
        <v>2.6</v>
      </c>
      <c r="G144" s="88"/>
      <c r="H144" s="68">
        <v>3311083.09</v>
      </c>
      <c r="I144" s="89"/>
      <c r="J144" s="68">
        <v>0</v>
      </c>
      <c r="K144" s="78"/>
      <c r="L144" s="68">
        <v>0</v>
      </c>
      <c r="M144" s="78"/>
      <c r="N144" s="68">
        <v>0</v>
      </c>
      <c r="O144" s="78"/>
      <c r="P144" s="68">
        <v>3311083.09</v>
      </c>
      <c r="Q144" s="78"/>
      <c r="R144" s="68">
        <v>3311083.0900000003</v>
      </c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</row>
    <row r="145" spans="1:48" ht="14.1" customHeight="1" x14ac:dyDescent="0.2">
      <c r="A145" s="84">
        <v>22</v>
      </c>
      <c r="B145" s="596"/>
      <c r="C145" s="607">
        <v>34244</v>
      </c>
      <c r="D145" s="84" t="s">
        <v>162</v>
      </c>
      <c r="E145" s="237"/>
      <c r="F145" s="87">
        <v>3.6000000000000005</v>
      </c>
      <c r="G145" s="88"/>
      <c r="H145" s="68">
        <v>2353181.4699999997</v>
      </c>
      <c r="I145" s="89"/>
      <c r="J145" s="68">
        <v>0</v>
      </c>
      <c r="K145" s="78"/>
      <c r="L145" s="68">
        <v>0</v>
      </c>
      <c r="M145" s="78"/>
      <c r="N145" s="68">
        <v>0</v>
      </c>
      <c r="O145" s="78"/>
      <c r="P145" s="68">
        <v>2353181.4699999997</v>
      </c>
      <c r="Q145" s="78"/>
      <c r="R145" s="68">
        <v>2353181.4699999993</v>
      </c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</row>
    <row r="146" spans="1:48" ht="14.1" customHeight="1" x14ac:dyDescent="0.2">
      <c r="A146" s="84">
        <v>23</v>
      </c>
      <c r="B146" s="596"/>
      <c r="C146" s="607">
        <v>34344</v>
      </c>
      <c r="D146" s="84" t="s">
        <v>163</v>
      </c>
      <c r="E146" s="237"/>
      <c r="F146" s="87">
        <v>4</v>
      </c>
      <c r="G146" s="88"/>
      <c r="H146" s="68">
        <v>19348044.350000001</v>
      </c>
      <c r="I146" s="89"/>
      <c r="J146" s="68">
        <v>1631468.46</v>
      </c>
      <c r="K146" s="78"/>
      <c r="L146" s="68">
        <v>-1230706.78</v>
      </c>
      <c r="M146" s="78"/>
      <c r="N146" s="68">
        <v>0</v>
      </c>
      <c r="O146" s="78"/>
      <c r="P146" s="68">
        <v>19748806.030000001</v>
      </c>
      <c r="Q146" s="78"/>
      <c r="R146" s="68">
        <v>19502188.414615382</v>
      </c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</row>
    <row r="147" spans="1:48" ht="14.1" customHeight="1" x14ac:dyDescent="0.2">
      <c r="A147" s="84">
        <v>24</v>
      </c>
      <c r="B147" s="596"/>
      <c r="C147" s="607">
        <v>34544</v>
      </c>
      <c r="D147" s="84" t="s">
        <v>164</v>
      </c>
      <c r="E147" s="237"/>
      <c r="F147" s="87">
        <v>4</v>
      </c>
      <c r="G147" s="88"/>
      <c r="H147" s="68">
        <v>14918400.59</v>
      </c>
      <c r="I147" s="89"/>
      <c r="J147" s="68">
        <v>0</v>
      </c>
      <c r="K147" s="78"/>
      <c r="L147" s="68">
        <v>0</v>
      </c>
      <c r="M147" s="78"/>
      <c r="N147" s="68">
        <v>0</v>
      </c>
      <c r="O147" s="78"/>
      <c r="P147" s="68">
        <v>14918400.59</v>
      </c>
      <c r="Q147" s="78"/>
      <c r="R147" s="68">
        <v>14918400.590000002</v>
      </c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</row>
    <row r="148" spans="1:48" ht="14.1" customHeight="1" x14ac:dyDescent="0.2">
      <c r="A148" s="84">
        <v>25</v>
      </c>
      <c r="B148" s="596"/>
      <c r="C148" s="607">
        <v>34644</v>
      </c>
      <c r="D148" s="84" t="s">
        <v>165</v>
      </c>
      <c r="F148" s="87">
        <v>4</v>
      </c>
      <c r="G148" s="88"/>
      <c r="H148" s="68">
        <v>510664.71</v>
      </c>
      <c r="I148" s="89"/>
      <c r="J148" s="68">
        <v>0</v>
      </c>
      <c r="K148" s="78"/>
      <c r="L148" s="68">
        <v>0</v>
      </c>
      <c r="M148" s="78"/>
      <c r="N148" s="68">
        <v>0</v>
      </c>
      <c r="O148" s="78"/>
      <c r="P148" s="68">
        <v>510664.71</v>
      </c>
      <c r="Q148" s="78"/>
      <c r="R148" s="68">
        <v>510664.71</v>
      </c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</row>
    <row r="149" spans="1:48" ht="14.1" customHeight="1" x14ac:dyDescent="0.2">
      <c r="A149" s="84">
        <v>26</v>
      </c>
      <c r="B149" s="596"/>
      <c r="C149" s="607"/>
      <c r="D149" s="616" t="s">
        <v>209</v>
      </c>
      <c r="E149" s="237"/>
      <c r="F149" s="87"/>
      <c r="H149" s="90">
        <v>40441374.210000001</v>
      </c>
      <c r="I149" s="91"/>
      <c r="J149" s="90">
        <v>1631468.46</v>
      </c>
      <c r="K149" s="91"/>
      <c r="L149" s="90">
        <v>-1230706.78</v>
      </c>
      <c r="M149" s="91"/>
      <c r="N149" s="90">
        <v>0</v>
      </c>
      <c r="O149" s="91"/>
      <c r="P149" s="90">
        <v>40842135.890000001</v>
      </c>
      <c r="Q149" s="91"/>
      <c r="R149" s="90">
        <v>40595518.274615385</v>
      </c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</row>
    <row r="150" spans="1:48" ht="14.1" customHeight="1" x14ac:dyDescent="0.2">
      <c r="A150" s="84">
        <v>27</v>
      </c>
      <c r="B150" s="596"/>
      <c r="C150" s="237"/>
      <c r="D150" s="237"/>
      <c r="E150" s="237"/>
      <c r="F150" s="643"/>
      <c r="G150" s="643"/>
      <c r="H150" s="110"/>
      <c r="I150" s="91"/>
      <c r="J150" s="110"/>
      <c r="K150" s="91"/>
      <c r="L150" s="241"/>
      <c r="M150" s="91"/>
      <c r="N150" s="241"/>
      <c r="O150" s="91"/>
      <c r="P150" s="241"/>
      <c r="Q150" s="91"/>
      <c r="R150" s="241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</row>
    <row r="151" spans="1:48" ht="14.1" customHeight="1" thickBot="1" x14ac:dyDescent="0.25">
      <c r="A151" s="84">
        <v>28</v>
      </c>
      <c r="B151" s="596"/>
      <c r="D151" s="616" t="s">
        <v>205</v>
      </c>
      <c r="F151" s="87"/>
      <c r="G151" s="644"/>
      <c r="H151" s="55">
        <v>40441374.210000001</v>
      </c>
      <c r="I151" s="91"/>
      <c r="J151" s="55">
        <v>1631468.46</v>
      </c>
      <c r="K151" s="91"/>
      <c r="L151" s="55">
        <v>-1230706.78</v>
      </c>
      <c r="M151" s="91"/>
      <c r="N151" s="55">
        <v>0</v>
      </c>
      <c r="O151" s="91"/>
      <c r="P151" s="55">
        <v>40842135.890000001</v>
      </c>
      <c r="Q151" s="91"/>
      <c r="R151" s="55">
        <v>40595518.274615385</v>
      </c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</row>
    <row r="152" spans="1:48" ht="14.1" customHeight="1" thickTop="1" x14ac:dyDescent="0.2">
      <c r="A152" s="84">
        <v>29</v>
      </c>
      <c r="B152" s="59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</row>
    <row r="153" spans="1:48" ht="14.1" customHeight="1" x14ac:dyDescent="0.2">
      <c r="A153" s="84">
        <v>30</v>
      </c>
      <c r="B153" s="59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</row>
    <row r="154" spans="1:48" ht="14.1" customHeight="1" x14ac:dyDescent="0.2">
      <c r="A154" s="84">
        <v>31</v>
      </c>
      <c r="B154" s="596"/>
      <c r="D154" s="84" t="s">
        <v>64</v>
      </c>
      <c r="I154" s="89"/>
      <c r="K154" s="89"/>
      <c r="M154" s="89"/>
      <c r="O154" s="89"/>
      <c r="Q154" s="89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</row>
    <row r="155" spans="1:48" ht="14.1" customHeight="1" x14ac:dyDescent="0.2">
      <c r="A155" s="84">
        <v>32</v>
      </c>
      <c r="B155" s="596"/>
      <c r="C155" s="237"/>
      <c r="D155" s="616" t="s">
        <v>210</v>
      </c>
      <c r="F155" s="87"/>
      <c r="G155" s="644"/>
      <c r="H155" s="93"/>
      <c r="I155" s="89"/>
      <c r="J155" s="641"/>
      <c r="K155" s="89"/>
      <c r="L155" s="641"/>
      <c r="M155" s="89"/>
      <c r="N155" s="641"/>
      <c r="O155" s="89"/>
      <c r="P155" s="641"/>
      <c r="Q155" s="89"/>
      <c r="R155" s="641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</row>
    <row r="156" spans="1:48" ht="14.1" customHeight="1" x14ac:dyDescent="0.2">
      <c r="A156" s="84">
        <v>33</v>
      </c>
      <c r="B156" s="596"/>
      <c r="C156" s="607">
        <v>34180</v>
      </c>
      <c r="D156" s="84" t="s">
        <v>161</v>
      </c>
      <c r="F156" s="87">
        <v>2.2000000000000002</v>
      </c>
      <c r="G156" s="88"/>
      <c r="H156" s="68">
        <v>190315497.09000006</v>
      </c>
      <c r="I156" s="89"/>
      <c r="J156" s="68">
        <v>-126539.95000000001</v>
      </c>
      <c r="K156" s="78"/>
      <c r="L156" s="68">
        <v>-87289.549999999988</v>
      </c>
      <c r="M156" s="78"/>
      <c r="N156" s="68">
        <v>0</v>
      </c>
      <c r="O156" s="78"/>
      <c r="P156" s="68">
        <v>190101667.59000006</v>
      </c>
      <c r="Q156" s="78"/>
      <c r="R156" s="68">
        <v>190026147.54846159</v>
      </c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</row>
    <row r="157" spans="1:48" ht="14.1" customHeight="1" x14ac:dyDescent="0.2">
      <c r="A157" s="84">
        <v>34</v>
      </c>
      <c r="B157" s="596"/>
      <c r="C157" s="607">
        <v>34280</v>
      </c>
      <c r="D157" s="84" t="s">
        <v>206</v>
      </c>
      <c r="F157" s="87">
        <v>3.7000000000000006</v>
      </c>
      <c r="G157" s="88"/>
      <c r="H157" s="68">
        <v>8349179.4199999962</v>
      </c>
      <c r="I157" s="89"/>
      <c r="J157" s="68">
        <v>1353807</v>
      </c>
      <c r="K157" s="78"/>
      <c r="L157" s="68">
        <v>0</v>
      </c>
      <c r="M157" s="78"/>
      <c r="N157" s="68">
        <v>0</v>
      </c>
      <c r="O157" s="78"/>
      <c r="P157" s="68">
        <v>9702986.4199999962</v>
      </c>
      <c r="Q157" s="78"/>
      <c r="R157" s="68">
        <v>8776725.0807692278</v>
      </c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</row>
    <row r="158" spans="1:48" ht="14.1" customHeight="1" x14ac:dyDescent="0.2">
      <c r="A158" s="84">
        <v>35</v>
      </c>
      <c r="B158" s="596"/>
      <c r="C158" s="607">
        <v>34380</v>
      </c>
      <c r="D158" s="84" t="s">
        <v>207</v>
      </c>
      <c r="F158" s="87">
        <v>2.2000000000000002</v>
      </c>
      <c r="G158" s="88"/>
      <c r="H158" s="68">
        <v>9995673.8999999985</v>
      </c>
      <c r="I158" s="89"/>
      <c r="J158" s="68">
        <v>428575.25</v>
      </c>
      <c r="K158" s="78"/>
      <c r="L158" s="68">
        <v>0</v>
      </c>
      <c r="M158" s="78"/>
      <c r="N158" s="68">
        <v>0</v>
      </c>
      <c r="O158" s="78"/>
      <c r="P158" s="68">
        <v>10424249.149999999</v>
      </c>
      <c r="Q158" s="78"/>
      <c r="R158" s="68">
        <v>10028641.226923078</v>
      </c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</row>
    <row r="159" spans="1:48" ht="14.1" customHeight="1" x14ac:dyDescent="0.2">
      <c r="A159" s="84">
        <v>36</v>
      </c>
      <c r="B159" s="596"/>
      <c r="C159" s="607">
        <v>34580</v>
      </c>
      <c r="D159" s="84" t="s">
        <v>164</v>
      </c>
      <c r="F159" s="87">
        <v>2.9000000000000004</v>
      </c>
      <c r="G159" s="88"/>
      <c r="H159" s="68">
        <v>13895082.290000003</v>
      </c>
      <c r="I159" s="89"/>
      <c r="J159" s="68">
        <v>9063.4</v>
      </c>
      <c r="K159" s="78"/>
      <c r="L159" s="68">
        <v>0</v>
      </c>
      <c r="M159" s="78"/>
      <c r="N159" s="68">
        <v>0</v>
      </c>
      <c r="O159" s="78"/>
      <c r="P159" s="68">
        <v>13904145.690000003</v>
      </c>
      <c r="Q159" s="78"/>
      <c r="R159" s="68">
        <v>13895779.474615386</v>
      </c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</row>
    <row r="160" spans="1:48" ht="14.1" customHeight="1" x14ac:dyDescent="0.2">
      <c r="A160" s="84">
        <v>37</v>
      </c>
      <c r="B160" s="596"/>
      <c r="C160" s="607">
        <v>34680</v>
      </c>
      <c r="D160" s="84" t="s">
        <v>165</v>
      </c>
      <c r="F160" s="87">
        <v>2.4</v>
      </c>
      <c r="G160" s="88"/>
      <c r="H160" s="68">
        <v>850630.8600000001</v>
      </c>
      <c r="I160" s="89"/>
      <c r="J160" s="68">
        <v>0</v>
      </c>
      <c r="K160" s="78"/>
      <c r="L160" s="68">
        <v>0</v>
      </c>
      <c r="M160" s="78"/>
      <c r="N160" s="68">
        <v>0</v>
      </c>
      <c r="O160" s="78"/>
      <c r="P160" s="68">
        <v>850630.8600000001</v>
      </c>
      <c r="Q160" s="78"/>
      <c r="R160" s="68">
        <v>850630.86</v>
      </c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</row>
    <row r="161" spans="1:48" ht="14.1" customHeight="1" x14ac:dyDescent="0.2">
      <c r="A161" s="84">
        <v>38</v>
      </c>
      <c r="B161" s="596"/>
      <c r="C161" s="237"/>
      <c r="D161" s="84" t="s">
        <v>211</v>
      </c>
      <c r="F161" s="87"/>
      <c r="H161" s="90">
        <v>223406063.56000006</v>
      </c>
      <c r="I161" s="93"/>
      <c r="J161" s="90">
        <v>1664905.7</v>
      </c>
      <c r="K161" s="93"/>
      <c r="L161" s="90">
        <v>-87289.549999999988</v>
      </c>
      <c r="M161" s="93"/>
      <c r="N161" s="90">
        <v>0</v>
      </c>
      <c r="O161" s="93"/>
      <c r="P161" s="90">
        <v>224983679.71000007</v>
      </c>
      <c r="Q161" s="93"/>
      <c r="R161" s="90">
        <v>223577924.19076931</v>
      </c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</row>
    <row r="162" spans="1:48" ht="14.1" customHeight="1" x14ac:dyDescent="0.2">
      <c r="A162" s="84">
        <v>39</v>
      </c>
      <c r="B162" s="59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</row>
    <row r="163" spans="1:48" ht="14.1" customHeight="1" x14ac:dyDescent="0.2">
      <c r="A163" s="84">
        <v>40</v>
      </c>
      <c r="B163" s="59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</row>
    <row r="164" spans="1:48" ht="14.1" customHeight="1" x14ac:dyDescent="0.2">
      <c r="A164" s="84">
        <v>41</v>
      </c>
      <c r="B164" s="59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</row>
    <row r="165" spans="1:48" ht="14.1" customHeight="1" x14ac:dyDescent="0.2">
      <c r="A165" s="84">
        <v>42</v>
      </c>
      <c r="B165" s="59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</row>
    <row r="166" spans="1:48" ht="14.1" customHeight="1" x14ac:dyDescent="0.2">
      <c r="A166" s="84">
        <v>43</v>
      </c>
      <c r="B166" s="596"/>
      <c r="C166" s="237"/>
      <c r="F166" s="88"/>
      <c r="G166" s="88"/>
      <c r="H166" s="75"/>
      <c r="I166" s="93"/>
      <c r="J166" s="75"/>
      <c r="K166" s="93"/>
      <c r="L166" s="75"/>
      <c r="M166" s="93"/>
      <c r="N166" s="75"/>
      <c r="O166" s="93"/>
      <c r="P166" s="75"/>
      <c r="Q166" s="93"/>
      <c r="R166" s="75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</row>
    <row r="167" spans="1:48" ht="14.1" customHeight="1" thickBot="1" x14ac:dyDescent="0.25">
      <c r="A167" s="114">
        <v>44</v>
      </c>
      <c r="B167" s="343" t="s">
        <v>186</v>
      </c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</row>
    <row r="168" spans="1:48" ht="14.1" customHeight="1" x14ac:dyDescent="0.2">
      <c r="A168" s="84" t="s">
        <v>60</v>
      </c>
      <c r="P168" s="84" t="s">
        <v>60</v>
      </c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</row>
    <row r="169" spans="1:48" ht="14.1" customHeight="1" thickBot="1" x14ac:dyDescent="0.25">
      <c r="A169" s="114" t="s">
        <v>127</v>
      </c>
      <c r="B169" s="114"/>
      <c r="C169" s="114"/>
      <c r="D169" s="114"/>
      <c r="E169" s="114"/>
      <c r="F169" s="114"/>
      <c r="G169" s="114" t="s">
        <v>128</v>
      </c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 t="s">
        <v>326</v>
      </c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</row>
    <row r="170" spans="1:48" ht="14.1" customHeight="1" x14ac:dyDescent="0.2">
      <c r="A170" s="84" t="s">
        <v>129</v>
      </c>
      <c r="B170" s="622"/>
      <c r="E170" s="88" t="s">
        <v>130</v>
      </c>
      <c r="F170" s="84" t="s">
        <v>131</v>
      </c>
      <c r="J170" s="623"/>
      <c r="K170" s="623"/>
      <c r="M170" s="623"/>
      <c r="N170" s="623"/>
      <c r="O170" s="623" t="s">
        <v>187</v>
      </c>
      <c r="R170" s="604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</row>
    <row r="171" spans="1:48" ht="14.1" customHeight="1" x14ac:dyDescent="0.2">
      <c r="B171" s="622"/>
      <c r="F171" s="84" t="s">
        <v>133</v>
      </c>
      <c r="J171" s="88"/>
      <c r="K171" s="604"/>
      <c r="N171" s="88"/>
      <c r="O171" s="88" t="s">
        <v>123</v>
      </c>
      <c r="P171" s="604" t="s">
        <v>844</v>
      </c>
      <c r="R171" s="88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</row>
    <row r="172" spans="1:48" ht="14.1" customHeight="1" x14ac:dyDescent="0.2">
      <c r="A172" s="84" t="s">
        <v>134</v>
      </c>
      <c r="B172" s="622"/>
      <c r="F172" s="84" t="s">
        <v>123</v>
      </c>
      <c r="J172" s="88"/>
      <c r="K172" s="604"/>
      <c r="L172" s="88"/>
      <c r="O172" s="88" t="s">
        <v>123</v>
      </c>
      <c r="P172" s="604"/>
      <c r="R172" s="88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</row>
    <row r="173" spans="1:48" ht="14.1" customHeight="1" x14ac:dyDescent="0.2">
      <c r="B173" s="622"/>
      <c r="F173" s="84" t="s">
        <v>123</v>
      </c>
      <c r="J173" s="88"/>
      <c r="K173" s="604"/>
      <c r="L173" s="88"/>
      <c r="O173" s="88" t="s">
        <v>123</v>
      </c>
      <c r="P173" s="604"/>
      <c r="R173" s="88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</row>
    <row r="174" spans="1:48" ht="14.1" customHeight="1" thickBot="1" x14ac:dyDescent="0.25">
      <c r="A174" s="114" t="s">
        <v>135</v>
      </c>
      <c r="B174" s="624"/>
      <c r="C174" s="114"/>
      <c r="D174" s="114"/>
      <c r="E174" s="114"/>
      <c r="F174" s="114" t="s">
        <v>123</v>
      </c>
      <c r="G174" s="114"/>
      <c r="H174" s="606"/>
      <c r="I174" s="114"/>
      <c r="J174" s="114"/>
      <c r="K174" s="114"/>
      <c r="L174" s="114"/>
      <c r="M174" s="114"/>
      <c r="N174" s="114"/>
      <c r="O174" s="114"/>
      <c r="P174" s="625"/>
      <c r="Q174" s="114"/>
      <c r="R174" s="114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</row>
    <row r="175" spans="1:48" ht="14.1" customHeight="1" x14ac:dyDescent="0.2">
      <c r="C175" s="607"/>
      <c r="D175" s="607"/>
      <c r="E175" s="607"/>
      <c r="F175" s="607"/>
      <c r="G175" s="607"/>
      <c r="H175" s="607"/>
      <c r="I175" s="607"/>
      <c r="J175" s="607"/>
      <c r="K175" s="607"/>
      <c r="L175" s="607"/>
      <c r="M175" s="607"/>
      <c r="N175" s="607"/>
      <c r="O175" s="607"/>
      <c r="P175" s="607"/>
      <c r="Q175" s="607"/>
      <c r="R175" s="607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</row>
    <row r="176" spans="1:48" ht="14.1" customHeight="1" x14ac:dyDescent="0.2">
      <c r="C176" s="607" t="s">
        <v>136</v>
      </c>
      <c r="D176" s="607" t="s">
        <v>137</v>
      </c>
      <c r="E176" s="607"/>
      <c r="F176" s="607" t="s">
        <v>138</v>
      </c>
      <c r="G176" s="607"/>
      <c r="H176" s="607" t="s">
        <v>139</v>
      </c>
      <c r="I176" s="607"/>
      <c r="J176" s="237" t="s">
        <v>140</v>
      </c>
      <c r="K176" s="237"/>
      <c r="L176" s="607" t="s">
        <v>141</v>
      </c>
      <c r="M176" s="607"/>
      <c r="N176" s="607" t="s">
        <v>142</v>
      </c>
      <c r="O176" s="607"/>
      <c r="P176" s="607" t="s">
        <v>143</v>
      </c>
      <c r="Q176" s="607"/>
      <c r="R176" s="607" t="s">
        <v>144</v>
      </c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</row>
    <row r="177" spans="1:48" ht="14.1" customHeight="1" x14ac:dyDescent="0.2">
      <c r="C177" s="237" t="s">
        <v>145</v>
      </c>
      <c r="D177" s="237" t="s">
        <v>145</v>
      </c>
      <c r="F177" s="237" t="s">
        <v>6</v>
      </c>
      <c r="G177" s="237"/>
      <c r="H177" s="607" t="s">
        <v>48</v>
      </c>
      <c r="I177" s="237"/>
      <c r="J177" s="607" t="s">
        <v>40</v>
      </c>
      <c r="K177" s="237"/>
      <c r="L177" s="237" t="s">
        <v>40</v>
      </c>
      <c r="M177" s="237"/>
      <c r="P177" s="237" t="s">
        <v>48</v>
      </c>
      <c r="R177" s="237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</row>
    <row r="178" spans="1:48" ht="14.1" customHeight="1" x14ac:dyDescent="0.2">
      <c r="A178" s="84" t="s">
        <v>146</v>
      </c>
      <c r="B178" s="237"/>
      <c r="C178" s="237" t="s">
        <v>147</v>
      </c>
      <c r="D178" s="237" t="s">
        <v>147</v>
      </c>
      <c r="E178" s="607"/>
      <c r="F178" s="237" t="s">
        <v>148</v>
      </c>
      <c r="G178" s="237"/>
      <c r="H178" s="237" t="s">
        <v>149</v>
      </c>
      <c r="I178" s="237"/>
      <c r="J178" s="237" t="s">
        <v>48</v>
      </c>
      <c r="K178" s="607"/>
      <c r="L178" s="237" t="s">
        <v>48</v>
      </c>
      <c r="M178" s="604"/>
      <c r="N178" s="237" t="s">
        <v>150</v>
      </c>
      <c r="O178" s="607"/>
      <c r="P178" s="607" t="s">
        <v>149</v>
      </c>
      <c r="Q178" s="607"/>
      <c r="R178" s="237" t="s">
        <v>151</v>
      </c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</row>
    <row r="179" spans="1:48" ht="14.1" customHeight="1" thickBot="1" x14ac:dyDescent="0.25">
      <c r="A179" s="114" t="s">
        <v>152</v>
      </c>
      <c r="B179" s="606"/>
      <c r="C179" s="606" t="s">
        <v>52</v>
      </c>
      <c r="D179" s="606" t="s">
        <v>153</v>
      </c>
      <c r="E179" s="606"/>
      <c r="F179" s="608" t="s">
        <v>57</v>
      </c>
      <c r="G179" s="608"/>
      <c r="H179" s="608" t="s">
        <v>154</v>
      </c>
      <c r="I179" s="609"/>
      <c r="J179" s="608" t="s">
        <v>155</v>
      </c>
      <c r="K179" s="609"/>
      <c r="L179" s="609" t="s">
        <v>156</v>
      </c>
      <c r="M179" s="610"/>
      <c r="N179" s="610" t="s">
        <v>157</v>
      </c>
      <c r="O179" s="610"/>
      <c r="P179" s="610" t="s">
        <v>158</v>
      </c>
      <c r="Q179" s="610"/>
      <c r="R179" s="610" t="s">
        <v>3</v>
      </c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</row>
    <row r="180" spans="1:48" ht="21" customHeight="1" x14ac:dyDescent="0.2">
      <c r="A180" s="84">
        <v>1</v>
      </c>
      <c r="B180" s="237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</row>
    <row r="181" spans="1:48" ht="14.1" customHeight="1" x14ac:dyDescent="0.2">
      <c r="A181" s="84">
        <v>2</v>
      </c>
      <c r="B181" s="237"/>
      <c r="D181" s="84" t="s">
        <v>212</v>
      </c>
      <c r="F181" s="87"/>
      <c r="G181" s="644"/>
      <c r="H181" s="92"/>
      <c r="I181" s="89"/>
      <c r="J181" s="92"/>
      <c r="K181" s="89"/>
      <c r="L181" s="93"/>
      <c r="M181" s="89"/>
      <c r="N181" s="93"/>
      <c r="O181" s="89"/>
      <c r="P181" s="93"/>
      <c r="Q181" s="89"/>
      <c r="R181" s="93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</row>
    <row r="182" spans="1:48" ht="14.1" customHeight="1" x14ac:dyDescent="0.2">
      <c r="A182" s="84">
        <v>3</v>
      </c>
      <c r="B182" s="237"/>
      <c r="C182" s="607">
        <v>34181</v>
      </c>
      <c r="D182" s="84" t="s">
        <v>161</v>
      </c>
      <c r="F182" s="87">
        <v>2.5</v>
      </c>
      <c r="G182" s="88"/>
      <c r="H182" s="68">
        <v>49589848.510000013</v>
      </c>
      <c r="I182" s="89"/>
      <c r="J182" s="68">
        <v>115498.47999999997</v>
      </c>
      <c r="K182" s="78"/>
      <c r="L182" s="68">
        <v>-85403.040000000008</v>
      </c>
      <c r="M182" s="78"/>
      <c r="N182" s="68">
        <v>0</v>
      </c>
      <c r="O182" s="78"/>
      <c r="P182" s="68">
        <v>49619943.95000001</v>
      </c>
      <c r="Q182" s="78"/>
      <c r="R182" s="68">
        <v>49631462.223846167</v>
      </c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</row>
    <row r="183" spans="1:48" ht="14.1" customHeight="1" x14ac:dyDescent="0.2">
      <c r="A183" s="84">
        <v>4</v>
      </c>
      <c r="B183" s="237"/>
      <c r="C183" s="607">
        <v>34281</v>
      </c>
      <c r="D183" s="84" t="s">
        <v>206</v>
      </c>
      <c r="F183" s="87">
        <v>3.4000000000000004</v>
      </c>
      <c r="G183" s="88"/>
      <c r="H183" s="68">
        <v>240191901.24000001</v>
      </c>
      <c r="I183" s="89"/>
      <c r="J183" s="68">
        <v>7052429.6299999999</v>
      </c>
      <c r="K183" s="78"/>
      <c r="L183" s="68">
        <v>-3406509.11</v>
      </c>
      <c r="M183" s="78"/>
      <c r="N183" s="68">
        <v>0</v>
      </c>
      <c r="O183" s="78"/>
      <c r="P183" s="68">
        <v>243837821.75999999</v>
      </c>
      <c r="Q183" s="78"/>
      <c r="R183" s="68">
        <v>242251021.16923082</v>
      </c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</row>
    <row r="184" spans="1:48" ht="14.1" customHeight="1" x14ac:dyDescent="0.2">
      <c r="A184" s="84">
        <v>5</v>
      </c>
      <c r="B184" s="237"/>
      <c r="C184" s="607">
        <v>34381</v>
      </c>
      <c r="D184" s="84" t="s">
        <v>207</v>
      </c>
      <c r="F184" s="87">
        <v>4.5</v>
      </c>
      <c r="G184" s="88"/>
      <c r="H184" s="68">
        <v>144393256.23000002</v>
      </c>
      <c r="I184" s="89"/>
      <c r="J184" s="68">
        <v>2372219.31</v>
      </c>
      <c r="K184" s="78"/>
      <c r="L184" s="68">
        <v>-624244.57999999996</v>
      </c>
      <c r="M184" s="78"/>
      <c r="N184" s="68">
        <v>0</v>
      </c>
      <c r="O184" s="78"/>
      <c r="P184" s="68">
        <v>146141230.96000001</v>
      </c>
      <c r="Q184" s="78"/>
      <c r="R184" s="68">
        <v>145737272.43692309</v>
      </c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</row>
    <row r="185" spans="1:48" ht="14.1" customHeight="1" x14ac:dyDescent="0.2">
      <c r="A185" s="84">
        <v>6</v>
      </c>
      <c r="B185" s="237"/>
      <c r="C185" s="607">
        <v>34581</v>
      </c>
      <c r="D185" s="84" t="s">
        <v>164</v>
      </c>
      <c r="F185" s="87">
        <v>3.3000000000000003</v>
      </c>
      <c r="G185" s="88"/>
      <c r="H185" s="68">
        <v>56874783.359999977</v>
      </c>
      <c r="I185" s="89"/>
      <c r="J185" s="68">
        <v>1291618.4000000001</v>
      </c>
      <c r="K185" s="78"/>
      <c r="L185" s="68">
        <v>-270162.99</v>
      </c>
      <c r="M185" s="78"/>
      <c r="N185" s="68">
        <v>0</v>
      </c>
      <c r="O185" s="78"/>
      <c r="P185" s="68">
        <v>57896238.769999973</v>
      </c>
      <c r="Q185" s="78"/>
      <c r="R185" s="68">
        <v>57619786.825384587</v>
      </c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</row>
    <row r="186" spans="1:48" ht="14.1" customHeight="1" x14ac:dyDescent="0.2">
      <c r="A186" s="84">
        <v>7</v>
      </c>
      <c r="B186" s="237"/>
      <c r="C186" s="607">
        <v>34681</v>
      </c>
      <c r="D186" s="84" t="s">
        <v>165</v>
      </c>
      <c r="F186" s="87">
        <v>3.1</v>
      </c>
      <c r="G186" s="88"/>
      <c r="H186" s="68">
        <v>5910623.6499999985</v>
      </c>
      <c r="I186" s="89"/>
      <c r="J186" s="68">
        <v>162365.32999999999</v>
      </c>
      <c r="K186" s="78"/>
      <c r="L186" s="68">
        <v>-12212.13</v>
      </c>
      <c r="M186" s="78"/>
      <c r="N186" s="68">
        <v>0</v>
      </c>
      <c r="O186" s="78"/>
      <c r="P186" s="68">
        <v>6060776.8499999987</v>
      </c>
      <c r="Q186" s="78"/>
      <c r="R186" s="68">
        <v>6005526.4699999988</v>
      </c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</row>
    <row r="187" spans="1:48" ht="14.1" customHeight="1" x14ac:dyDescent="0.2">
      <c r="A187" s="84">
        <v>8</v>
      </c>
      <c r="B187" s="237"/>
      <c r="C187" s="607"/>
      <c r="D187" s="616" t="s">
        <v>213</v>
      </c>
      <c r="F187" s="87"/>
      <c r="H187" s="90">
        <v>496960412.98999995</v>
      </c>
      <c r="I187" s="93"/>
      <c r="J187" s="90">
        <v>10994131.15</v>
      </c>
      <c r="K187" s="93"/>
      <c r="L187" s="90">
        <v>-4398531.8499999996</v>
      </c>
      <c r="M187" s="93"/>
      <c r="N187" s="90">
        <v>0</v>
      </c>
      <c r="O187" s="93"/>
      <c r="P187" s="90">
        <v>503556012.28999996</v>
      </c>
      <c r="Q187" s="93"/>
      <c r="R187" s="90">
        <v>501245069.12538469</v>
      </c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</row>
    <row r="188" spans="1:48" ht="14.1" customHeight="1" x14ac:dyDescent="0.2">
      <c r="A188" s="84">
        <v>9</v>
      </c>
      <c r="B188" s="596"/>
      <c r="I188" s="89"/>
      <c r="K188" s="89"/>
      <c r="M188" s="89"/>
      <c r="O188" s="89"/>
      <c r="Q188" s="89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</row>
    <row r="189" spans="1:48" ht="14.1" customHeight="1" x14ac:dyDescent="0.2">
      <c r="A189" s="84">
        <v>10</v>
      </c>
      <c r="B189" s="596"/>
      <c r="C189" s="237"/>
      <c r="D189" s="616" t="s">
        <v>214</v>
      </c>
      <c r="H189" s="98"/>
      <c r="I189" s="89"/>
      <c r="J189" s="630"/>
      <c r="K189" s="89"/>
      <c r="L189" s="630"/>
      <c r="M189" s="89"/>
      <c r="N189" s="630"/>
      <c r="O189" s="89"/>
      <c r="P189" s="630"/>
      <c r="Q189" s="89"/>
      <c r="R189" s="630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</row>
    <row r="190" spans="1:48" ht="14.1" customHeight="1" x14ac:dyDescent="0.2">
      <c r="A190" s="84">
        <v>11</v>
      </c>
      <c r="B190" s="596"/>
      <c r="C190" s="607">
        <v>34182</v>
      </c>
      <c r="D190" s="84" t="s">
        <v>161</v>
      </c>
      <c r="F190" s="87">
        <v>2.7</v>
      </c>
      <c r="G190" s="88"/>
      <c r="H190" s="68">
        <v>2152789.9700000002</v>
      </c>
      <c r="I190" s="89"/>
      <c r="J190" s="68">
        <v>1223.22</v>
      </c>
      <c r="K190" s="78"/>
      <c r="L190" s="68">
        <v>0</v>
      </c>
      <c r="M190" s="78"/>
      <c r="N190" s="68">
        <v>0</v>
      </c>
      <c r="O190" s="78"/>
      <c r="P190" s="68">
        <v>2154013.1900000004</v>
      </c>
      <c r="Q190" s="78"/>
      <c r="R190" s="68">
        <v>2153825.0023076935</v>
      </c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</row>
    <row r="191" spans="1:48" ht="14.1" customHeight="1" x14ac:dyDescent="0.2">
      <c r="A191" s="84">
        <v>12</v>
      </c>
      <c r="B191" s="596"/>
      <c r="C191" s="607">
        <v>34282</v>
      </c>
      <c r="D191" s="84" t="s">
        <v>206</v>
      </c>
      <c r="F191" s="87">
        <v>3.3000000000000003</v>
      </c>
      <c r="G191" s="88"/>
      <c r="H191" s="68">
        <v>1475057.98</v>
      </c>
      <c r="I191" s="89"/>
      <c r="J191" s="68">
        <v>809463.07000000007</v>
      </c>
      <c r="K191" s="78"/>
      <c r="L191" s="68">
        <v>-230286.27000000002</v>
      </c>
      <c r="M191" s="78"/>
      <c r="N191" s="68">
        <v>0</v>
      </c>
      <c r="O191" s="78"/>
      <c r="P191" s="68">
        <v>2054234.7799999998</v>
      </c>
      <c r="Q191" s="78"/>
      <c r="R191" s="68">
        <v>1606558.9523076923</v>
      </c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</row>
    <row r="192" spans="1:48" ht="14.1" customHeight="1" x14ac:dyDescent="0.2">
      <c r="A192" s="84">
        <v>13</v>
      </c>
      <c r="B192" s="596"/>
      <c r="C192" s="607">
        <v>34382</v>
      </c>
      <c r="D192" s="84" t="s">
        <v>207</v>
      </c>
      <c r="F192" s="87">
        <v>4.4000000000000004</v>
      </c>
      <c r="G192" s="88"/>
      <c r="H192" s="68">
        <v>24893386.989999998</v>
      </c>
      <c r="I192" s="89"/>
      <c r="J192" s="68">
        <v>94891.14</v>
      </c>
      <c r="K192" s="78"/>
      <c r="L192" s="68">
        <v>-44832.009999999995</v>
      </c>
      <c r="M192" s="78"/>
      <c r="N192" s="68">
        <v>0</v>
      </c>
      <c r="O192" s="78"/>
      <c r="P192" s="68">
        <v>24943446.119999997</v>
      </c>
      <c r="Q192" s="78"/>
      <c r="R192" s="68">
        <v>24896639.449230764</v>
      </c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</row>
    <row r="193" spans="1:48" ht="14.1" customHeight="1" x14ac:dyDescent="0.2">
      <c r="A193" s="84">
        <v>14</v>
      </c>
      <c r="B193" s="596"/>
      <c r="C193" s="607">
        <v>34582</v>
      </c>
      <c r="D193" s="84" t="s">
        <v>164</v>
      </c>
      <c r="F193" s="87">
        <v>2.8000000000000003</v>
      </c>
      <c r="G193" s="88"/>
      <c r="H193" s="68">
        <v>16935152.280000001</v>
      </c>
      <c r="I193" s="89"/>
      <c r="J193" s="68">
        <v>430062.92</v>
      </c>
      <c r="K193" s="78"/>
      <c r="L193" s="68">
        <v>-105480.68000000001</v>
      </c>
      <c r="M193" s="78"/>
      <c r="N193" s="68">
        <v>0</v>
      </c>
      <c r="O193" s="78"/>
      <c r="P193" s="68">
        <v>17259734.520000003</v>
      </c>
      <c r="Q193" s="78"/>
      <c r="R193" s="68">
        <v>16995932.983076926</v>
      </c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</row>
    <row r="194" spans="1:48" ht="14.1" customHeight="1" x14ac:dyDescent="0.2">
      <c r="A194" s="84">
        <v>15</v>
      </c>
      <c r="B194" s="596"/>
      <c r="C194" s="607">
        <v>34682</v>
      </c>
      <c r="D194" s="84" t="s">
        <v>165</v>
      </c>
      <c r="F194" s="87">
        <v>3.5000000000000004</v>
      </c>
      <c r="G194" s="88"/>
      <c r="H194" s="68">
        <v>173209.91</v>
      </c>
      <c r="I194" s="89"/>
      <c r="J194" s="68">
        <v>0</v>
      </c>
      <c r="K194" s="78"/>
      <c r="L194" s="68">
        <v>0</v>
      </c>
      <c r="M194" s="78"/>
      <c r="N194" s="68">
        <v>0</v>
      </c>
      <c r="O194" s="78"/>
      <c r="P194" s="68">
        <v>173209.91</v>
      </c>
      <c r="Q194" s="78"/>
      <c r="R194" s="68">
        <v>173209.90999999997</v>
      </c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</row>
    <row r="195" spans="1:48" ht="14.1" customHeight="1" x14ac:dyDescent="0.2">
      <c r="A195" s="84">
        <v>16</v>
      </c>
      <c r="B195" s="596"/>
      <c r="C195" s="237"/>
      <c r="D195" s="616" t="s">
        <v>215</v>
      </c>
      <c r="F195" s="87"/>
      <c r="H195" s="90">
        <v>45629597.129999995</v>
      </c>
      <c r="I195" s="93"/>
      <c r="J195" s="90">
        <v>1335640.3500000001</v>
      </c>
      <c r="K195" s="93"/>
      <c r="L195" s="90">
        <v>-380598.96</v>
      </c>
      <c r="M195" s="93"/>
      <c r="N195" s="90">
        <v>0</v>
      </c>
      <c r="O195" s="93"/>
      <c r="P195" s="90">
        <v>46584638.519999996</v>
      </c>
      <c r="Q195" s="93"/>
      <c r="R195" s="90">
        <v>45826166.296923071</v>
      </c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</row>
    <row r="196" spans="1:48" ht="14.1" customHeight="1" x14ac:dyDescent="0.2">
      <c r="A196" s="84">
        <v>17</v>
      </c>
      <c r="B196" s="59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</row>
    <row r="197" spans="1:48" ht="14.1" customHeight="1" x14ac:dyDescent="0.2">
      <c r="A197" s="84">
        <v>18</v>
      </c>
      <c r="B197" s="596"/>
      <c r="C197" s="620"/>
      <c r="D197" s="616" t="s">
        <v>216</v>
      </c>
      <c r="F197" s="87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</row>
    <row r="198" spans="1:48" ht="14.1" customHeight="1" x14ac:dyDescent="0.2">
      <c r="A198" s="84">
        <v>19</v>
      </c>
      <c r="B198" s="596"/>
      <c r="C198" s="607">
        <v>34183</v>
      </c>
      <c r="D198" s="84" t="s">
        <v>161</v>
      </c>
      <c r="F198" s="87">
        <v>2.6</v>
      </c>
      <c r="G198" s="88"/>
      <c r="H198" s="68">
        <v>10533315.640000001</v>
      </c>
      <c r="I198" s="89"/>
      <c r="J198" s="68">
        <v>0</v>
      </c>
      <c r="K198" s="78"/>
      <c r="L198" s="68">
        <v>0</v>
      </c>
      <c r="M198" s="78"/>
      <c r="N198" s="68">
        <v>0</v>
      </c>
      <c r="O198" s="78"/>
      <c r="P198" s="68">
        <v>10533315.640000001</v>
      </c>
      <c r="Q198" s="78"/>
      <c r="R198" s="68">
        <v>10533315.639999999</v>
      </c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</row>
    <row r="199" spans="1:48" ht="14.1" customHeight="1" x14ac:dyDescent="0.2">
      <c r="A199" s="84">
        <v>20</v>
      </c>
      <c r="B199" s="596"/>
      <c r="C199" s="607">
        <v>34283</v>
      </c>
      <c r="D199" s="84" t="s">
        <v>206</v>
      </c>
      <c r="F199" s="87">
        <v>2.9</v>
      </c>
      <c r="G199" s="88"/>
      <c r="H199" s="68">
        <v>1162799.73</v>
      </c>
      <c r="I199" s="89"/>
      <c r="J199" s="68">
        <v>253447.55000000002</v>
      </c>
      <c r="K199" s="78"/>
      <c r="L199" s="68">
        <v>-62032.090000000004</v>
      </c>
      <c r="M199" s="78"/>
      <c r="N199" s="68">
        <v>0</v>
      </c>
      <c r="O199" s="78"/>
      <c r="P199" s="68">
        <v>1354215.19</v>
      </c>
      <c r="Q199" s="78"/>
      <c r="R199" s="68">
        <v>1226065.4384615386</v>
      </c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</row>
    <row r="200" spans="1:48" ht="14.1" customHeight="1" x14ac:dyDescent="0.2">
      <c r="A200" s="84">
        <v>21</v>
      </c>
      <c r="B200" s="596"/>
      <c r="C200" s="607">
        <v>34383</v>
      </c>
      <c r="D200" s="84" t="s">
        <v>207</v>
      </c>
      <c r="F200" s="87">
        <v>4.5999999999999996</v>
      </c>
      <c r="G200" s="88"/>
      <c r="H200" s="68">
        <v>32539044.350000001</v>
      </c>
      <c r="I200" s="89"/>
      <c r="J200" s="68">
        <v>45014.37</v>
      </c>
      <c r="K200" s="78"/>
      <c r="L200" s="68">
        <v>0</v>
      </c>
      <c r="M200" s="78"/>
      <c r="N200" s="68">
        <v>0</v>
      </c>
      <c r="O200" s="78"/>
      <c r="P200" s="68">
        <v>32584058.720000003</v>
      </c>
      <c r="Q200" s="78"/>
      <c r="R200" s="68">
        <v>32555780.676153846</v>
      </c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</row>
    <row r="201" spans="1:48" ht="14.1" customHeight="1" x14ac:dyDescent="0.2">
      <c r="A201" s="84">
        <v>22</v>
      </c>
      <c r="B201" s="596"/>
      <c r="C201" s="607">
        <v>34583</v>
      </c>
      <c r="D201" s="84" t="s">
        <v>164</v>
      </c>
      <c r="F201" s="87">
        <v>3</v>
      </c>
      <c r="G201" s="88"/>
      <c r="H201" s="68">
        <v>9031342.0200000033</v>
      </c>
      <c r="I201" s="89"/>
      <c r="J201" s="68">
        <v>24728</v>
      </c>
      <c r="K201" s="78"/>
      <c r="L201" s="68">
        <v>0</v>
      </c>
      <c r="M201" s="78"/>
      <c r="N201" s="68">
        <v>0</v>
      </c>
      <c r="O201" s="78"/>
      <c r="P201" s="68">
        <v>9056070.0200000033</v>
      </c>
      <c r="Q201" s="78"/>
      <c r="R201" s="68">
        <v>9037048.4815384671</v>
      </c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</row>
    <row r="202" spans="1:48" ht="14.1" customHeight="1" x14ac:dyDescent="0.2">
      <c r="A202" s="84">
        <v>23</v>
      </c>
      <c r="B202" s="596"/>
      <c r="C202" s="607">
        <v>34683</v>
      </c>
      <c r="D202" s="84" t="s">
        <v>165</v>
      </c>
      <c r="F202" s="87">
        <v>3.1</v>
      </c>
      <c r="G202" s="88"/>
      <c r="H202" s="68">
        <v>432910.42</v>
      </c>
      <c r="I202" s="89"/>
      <c r="J202" s="68">
        <v>0</v>
      </c>
      <c r="K202" s="78"/>
      <c r="L202" s="68">
        <v>0</v>
      </c>
      <c r="M202" s="78"/>
      <c r="N202" s="68">
        <v>0</v>
      </c>
      <c r="O202" s="78"/>
      <c r="P202" s="68">
        <v>432910.42</v>
      </c>
      <c r="Q202" s="78"/>
      <c r="R202" s="68">
        <v>432910.42</v>
      </c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</row>
    <row r="203" spans="1:48" ht="14.1" customHeight="1" x14ac:dyDescent="0.2">
      <c r="A203" s="84">
        <v>24</v>
      </c>
      <c r="B203" s="596"/>
      <c r="D203" s="616" t="s">
        <v>217</v>
      </c>
      <c r="F203" s="87"/>
      <c r="H203" s="90">
        <v>53699412.160000004</v>
      </c>
      <c r="I203" s="93"/>
      <c r="J203" s="90">
        <v>323189.92000000004</v>
      </c>
      <c r="K203" s="93"/>
      <c r="L203" s="90">
        <v>-62032.090000000004</v>
      </c>
      <c r="M203" s="93"/>
      <c r="N203" s="90">
        <v>0</v>
      </c>
      <c r="O203" s="93"/>
      <c r="P203" s="90">
        <v>53960569.99000001</v>
      </c>
      <c r="Q203" s="93"/>
      <c r="R203" s="90">
        <v>53785120.65615385</v>
      </c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</row>
    <row r="204" spans="1:48" ht="14.1" customHeight="1" x14ac:dyDescent="0.2">
      <c r="A204" s="84">
        <v>25</v>
      </c>
      <c r="B204" s="596"/>
      <c r="I204" s="93"/>
      <c r="K204" s="93"/>
      <c r="M204" s="93"/>
      <c r="O204" s="93"/>
      <c r="Q204" s="93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</row>
    <row r="205" spans="1:48" ht="14.1" customHeight="1" x14ac:dyDescent="0.2">
      <c r="A205" s="84">
        <v>26</v>
      </c>
      <c r="B205" s="596"/>
      <c r="C205" s="237"/>
      <c r="D205" s="616" t="s">
        <v>218</v>
      </c>
      <c r="F205" s="87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</row>
    <row r="206" spans="1:48" ht="14.1" customHeight="1" x14ac:dyDescent="0.2">
      <c r="A206" s="84">
        <v>27</v>
      </c>
      <c r="B206" s="596"/>
      <c r="C206" s="607">
        <v>34184</v>
      </c>
      <c r="D206" s="84" t="s">
        <v>161</v>
      </c>
      <c r="F206" s="87">
        <v>2.4</v>
      </c>
      <c r="G206" s="88"/>
      <c r="H206" s="68">
        <v>5609288.6699999999</v>
      </c>
      <c r="I206" s="89"/>
      <c r="J206" s="68">
        <v>202230.99</v>
      </c>
      <c r="K206" s="78"/>
      <c r="L206" s="68">
        <v>0</v>
      </c>
      <c r="M206" s="78"/>
      <c r="N206" s="68">
        <v>0</v>
      </c>
      <c r="O206" s="78"/>
      <c r="P206" s="68">
        <v>5811519.6600000001</v>
      </c>
      <c r="Q206" s="78"/>
      <c r="R206" s="68">
        <v>5712257.8015384609</v>
      </c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</row>
    <row r="207" spans="1:48" ht="14.1" customHeight="1" x14ac:dyDescent="0.2">
      <c r="A207" s="84">
        <v>28</v>
      </c>
      <c r="B207" s="596"/>
      <c r="C207" s="607">
        <v>34284</v>
      </c>
      <c r="D207" s="84" t="s">
        <v>206</v>
      </c>
      <c r="F207" s="87">
        <v>3.2</v>
      </c>
      <c r="G207" s="88"/>
      <c r="H207" s="68">
        <v>2331135.69</v>
      </c>
      <c r="I207" s="89"/>
      <c r="J207" s="68">
        <v>31751.309999999998</v>
      </c>
      <c r="K207" s="78"/>
      <c r="L207" s="68">
        <v>-195459.18000000002</v>
      </c>
      <c r="M207" s="78"/>
      <c r="N207" s="68">
        <v>0</v>
      </c>
      <c r="O207" s="78"/>
      <c r="P207" s="68">
        <v>2167427.8199999998</v>
      </c>
      <c r="Q207" s="78"/>
      <c r="R207" s="68">
        <v>2332095.7530769226</v>
      </c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</row>
    <row r="208" spans="1:48" ht="14.1" customHeight="1" x14ac:dyDescent="0.2">
      <c r="A208" s="84">
        <v>29</v>
      </c>
      <c r="B208" s="596"/>
      <c r="C208" s="607">
        <v>34384</v>
      </c>
      <c r="D208" s="84" t="s">
        <v>207</v>
      </c>
      <c r="F208" s="87">
        <v>4.0999999999999996</v>
      </c>
      <c r="G208" s="88"/>
      <c r="H208" s="68">
        <v>21969980.780000001</v>
      </c>
      <c r="I208" s="89"/>
      <c r="J208" s="68">
        <v>81590.06</v>
      </c>
      <c r="K208" s="78"/>
      <c r="L208" s="68">
        <v>-18295.419999999998</v>
      </c>
      <c r="M208" s="78"/>
      <c r="N208" s="68">
        <v>0</v>
      </c>
      <c r="O208" s="78"/>
      <c r="P208" s="68">
        <v>22033275.419999998</v>
      </c>
      <c r="Q208" s="78"/>
      <c r="R208" s="68">
        <v>21987794.525384609</v>
      </c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</row>
    <row r="209" spans="1:48" ht="14.1" customHeight="1" x14ac:dyDescent="0.2">
      <c r="A209" s="84">
        <v>30</v>
      </c>
      <c r="B209" s="596"/>
      <c r="C209" s="607">
        <v>34584</v>
      </c>
      <c r="D209" s="84" t="s">
        <v>164</v>
      </c>
      <c r="F209" s="87">
        <v>3.9</v>
      </c>
      <c r="G209" s="88"/>
      <c r="H209" s="68">
        <v>5484343.9899999993</v>
      </c>
      <c r="I209" s="89"/>
      <c r="J209" s="68">
        <v>97540.02</v>
      </c>
      <c r="K209" s="78"/>
      <c r="L209" s="68">
        <v>-18873.66</v>
      </c>
      <c r="M209" s="78"/>
      <c r="N209" s="68">
        <v>0</v>
      </c>
      <c r="O209" s="78"/>
      <c r="P209" s="68">
        <v>5563010.3499999987</v>
      </c>
      <c r="Q209" s="78"/>
      <c r="R209" s="68">
        <v>5540448.2184615387</v>
      </c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</row>
    <row r="210" spans="1:48" ht="14.1" customHeight="1" x14ac:dyDescent="0.2">
      <c r="A210" s="84">
        <v>31</v>
      </c>
      <c r="B210" s="596"/>
      <c r="C210" s="607">
        <v>34684</v>
      </c>
      <c r="D210" s="84" t="s">
        <v>165</v>
      </c>
      <c r="F210" s="87">
        <v>3.9</v>
      </c>
      <c r="G210" s="88"/>
      <c r="H210" s="68">
        <v>0</v>
      </c>
      <c r="I210" s="89"/>
      <c r="J210" s="68">
        <v>0</v>
      </c>
      <c r="K210" s="78"/>
      <c r="L210" s="68">
        <v>0</v>
      </c>
      <c r="M210" s="78"/>
      <c r="N210" s="68">
        <v>0</v>
      </c>
      <c r="O210" s="78"/>
      <c r="P210" s="68">
        <v>0</v>
      </c>
      <c r="Q210" s="78"/>
      <c r="R210" s="68">
        <v>0</v>
      </c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</row>
    <row r="211" spans="1:48" ht="14.1" customHeight="1" x14ac:dyDescent="0.2">
      <c r="A211" s="84">
        <v>32</v>
      </c>
      <c r="B211" s="596"/>
      <c r="C211" s="237"/>
      <c r="D211" s="616" t="s">
        <v>219</v>
      </c>
      <c r="F211" s="87"/>
      <c r="H211" s="90">
        <v>35394749.130000003</v>
      </c>
      <c r="I211" s="93"/>
      <c r="J211" s="90">
        <v>413112.38</v>
      </c>
      <c r="K211" s="93"/>
      <c r="L211" s="90">
        <v>-232628.26000000004</v>
      </c>
      <c r="M211" s="93"/>
      <c r="N211" s="90">
        <v>0</v>
      </c>
      <c r="O211" s="93"/>
      <c r="P211" s="90">
        <v>35575233.25</v>
      </c>
      <c r="Q211" s="93"/>
      <c r="R211" s="90">
        <v>35572596.298461527</v>
      </c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</row>
    <row r="212" spans="1:48" ht="14.1" customHeight="1" x14ac:dyDescent="0.2">
      <c r="A212" s="84">
        <v>33</v>
      </c>
      <c r="B212" s="596"/>
      <c r="F212" s="87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</row>
    <row r="213" spans="1:48" ht="14.1" customHeight="1" x14ac:dyDescent="0.2">
      <c r="A213" s="84">
        <v>34</v>
      </c>
      <c r="B213" s="596"/>
      <c r="C213" s="237"/>
      <c r="D213" s="616" t="s">
        <v>220</v>
      </c>
      <c r="F213" s="87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</row>
    <row r="214" spans="1:48" ht="14.1" customHeight="1" x14ac:dyDescent="0.2">
      <c r="A214" s="84">
        <v>35</v>
      </c>
      <c r="B214" s="596"/>
      <c r="C214" s="607">
        <v>34185</v>
      </c>
      <c r="D214" s="84" t="s">
        <v>161</v>
      </c>
      <c r="F214" s="87">
        <v>2.4</v>
      </c>
      <c r="G214" s="88"/>
      <c r="H214" s="68">
        <v>5618693.6899999995</v>
      </c>
      <c r="I214" s="89"/>
      <c r="J214" s="68">
        <v>127886.42</v>
      </c>
      <c r="K214" s="78"/>
      <c r="L214" s="68">
        <v>0</v>
      </c>
      <c r="M214" s="78"/>
      <c r="N214" s="68">
        <v>0</v>
      </c>
      <c r="O214" s="78"/>
      <c r="P214" s="68">
        <v>5746580.1099999994</v>
      </c>
      <c r="Q214" s="78"/>
      <c r="R214" s="68">
        <v>5711549.4784615375</v>
      </c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</row>
    <row r="215" spans="1:48" ht="14.1" customHeight="1" x14ac:dyDescent="0.2">
      <c r="A215" s="84">
        <v>36</v>
      </c>
      <c r="C215" s="607">
        <v>34285</v>
      </c>
      <c r="D215" s="84" t="s">
        <v>206</v>
      </c>
      <c r="F215" s="87">
        <v>3.4000000000000004</v>
      </c>
      <c r="G215" s="88"/>
      <c r="H215" s="68">
        <v>2182610.79</v>
      </c>
      <c r="I215" s="89"/>
      <c r="J215" s="68">
        <v>17438.830000000002</v>
      </c>
      <c r="K215" s="78"/>
      <c r="L215" s="68">
        <v>0</v>
      </c>
      <c r="M215" s="78"/>
      <c r="N215" s="68">
        <v>0</v>
      </c>
      <c r="O215" s="78"/>
      <c r="P215" s="68">
        <v>2200049.62</v>
      </c>
      <c r="Q215" s="78"/>
      <c r="R215" s="68">
        <v>2196025.2746153851</v>
      </c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</row>
    <row r="216" spans="1:48" ht="14.1" customHeight="1" x14ac:dyDescent="0.2">
      <c r="A216" s="84">
        <v>37</v>
      </c>
      <c r="C216" s="607">
        <v>34385</v>
      </c>
      <c r="D216" s="84" t="s">
        <v>207</v>
      </c>
      <c r="F216" s="87">
        <v>3.9</v>
      </c>
      <c r="G216" s="88"/>
      <c r="H216" s="68">
        <v>20099641.689999998</v>
      </c>
      <c r="I216" s="89"/>
      <c r="J216" s="68">
        <v>0</v>
      </c>
      <c r="K216" s="78"/>
      <c r="L216" s="68">
        <v>0</v>
      </c>
      <c r="M216" s="78"/>
      <c r="N216" s="68">
        <v>0</v>
      </c>
      <c r="O216" s="78"/>
      <c r="P216" s="68">
        <v>20099641.689999998</v>
      </c>
      <c r="Q216" s="78"/>
      <c r="R216" s="68">
        <v>20099641.689999998</v>
      </c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</row>
    <row r="217" spans="1:48" ht="14.1" customHeight="1" x14ac:dyDescent="0.2">
      <c r="A217" s="84">
        <v>38</v>
      </c>
      <c r="C217" s="607">
        <v>34585</v>
      </c>
      <c r="D217" s="84" t="s">
        <v>164</v>
      </c>
      <c r="F217" s="87">
        <v>3.9</v>
      </c>
      <c r="G217" s="88"/>
      <c r="H217" s="68">
        <v>5465054.8999999994</v>
      </c>
      <c r="I217" s="89"/>
      <c r="J217" s="68">
        <v>0</v>
      </c>
      <c r="K217" s="78"/>
      <c r="L217" s="68">
        <v>0</v>
      </c>
      <c r="M217" s="78"/>
      <c r="N217" s="68">
        <v>0</v>
      </c>
      <c r="O217" s="78"/>
      <c r="P217" s="68">
        <v>5465054.8999999994</v>
      </c>
      <c r="Q217" s="78"/>
      <c r="R217" s="68">
        <v>5465054.8999999994</v>
      </c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</row>
    <row r="218" spans="1:48" ht="14.1" customHeight="1" x14ac:dyDescent="0.2">
      <c r="A218" s="84">
        <v>39</v>
      </c>
      <c r="C218" s="607">
        <v>34685</v>
      </c>
      <c r="D218" s="84" t="s">
        <v>165</v>
      </c>
      <c r="F218" s="87">
        <v>3.9</v>
      </c>
      <c r="G218" s="88"/>
      <c r="H218" s="68">
        <v>0</v>
      </c>
      <c r="I218" s="89"/>
      <c r="J218" s="68">
        <v>0</v>
      </c>
      <c r="K218" s="78"/>
      <c r="L218" s="68">
        <v>0</v>
      </c>
      <c r="M218" s="78"/>
      <c r="N218" s="68">
        <v>0</v>
      </c>
      <c r="O218" s="78"/>
      <c r="P218" s="68">
        <v>0</v>
      </c>
      <c r="Q218" s="78"/>
      <c r="R218" s="68">
        <v>0</v>
      </c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</row>
    <row r="219" spans="1:48" ht="14.1" customHeight="1" x14ac:dyDescent="0.2">
      <c r="A219" s="84">
        <v>40</v>
      </c>
      <c r="C219" s="237"/>
      <c r="D219" s="616" t="s">
        <v>221</v>
      </c>
      <c r="F219" s="87"/>
      <c r="H219" s="90">
        <v>33366001.069999997</v>
      </c>
      <c r="I219" s="93"/>
      <c r="J219" s="90">
        <v>145325.25</v>
      </c>
      <c r="K219" s="93"/>
      <c r="L219" s="90">
        <v>0</v>
      </c>
      <c r="M219" s="93"/>
      <c r="N219" s="90">
        <v>0</v>
      </c>
      <c r="O219" s="93"/>
      <c r="P219" s="90">
        <v>33511326.319999997</v>
      </c>
      <c r="Q219" s="93"/>
      <c r="R219" s="90">
        <v>33472271.343076918</v>
      </c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</row>
    <row r="220" spans="1:48" ht="14.1" customHeight="1" x14ac:dyDescent="0.2">
      <c r="A220" s="84">
        <v>41</v>
      </c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</row>
    <row r="221" spans="1:48" ht="14.1" customHeight="1" x14ac:dyDescent="0.2">
      <c r="A221" s="84">
        <v>42</v>
      </c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</row>
    <row r="222" spans="1:48" s="599" customFormat="1" ht="14.1" customHeight="1" x14ac:dyDescent="0.2">
      <c r="A222" s="84">
        <v>43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</row>
    <row r="223" spans="1:48" s="599" customFormat="1" ht="14.1" customHeight="1" thickBot="1" x14ac:dyDescent="0.25">
      <c r="A223" s="114">
        <v>44</v>
      </c>
      <c r="B223" s="343" t="s">
        <v>186</v>
      </c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84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</row>
    <row r="224" spans="1:48" s="599" customFormat="1" ht="14.1" customHeight="1" x14ac:dyDescent="0.2">
      <c r="A224" s="84" t="s">
        <v>60</v>
      </c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 t="s">
        <v>60</v>
      </c>
      <c r="Q224" s="84"/>
      <c r="R224" s="84"/>
      <c r="S224" s="84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</row>
    <row r="225" spans="1:48" s="599" customFormat="1" ht="14.1" customHeight="1" thickBot="1" x14ac:dyDescent="0.25">
      <c r="A225" s="114" t="s">
        <v>127</v>
      </c>
      <c r="B225" s="114"/>
      <c r="C225" s="114"/>
      <c r="D225" s="114"/>
      <c r="E225" s="114"/>
      <c r="F225" s="114"/>
      <c r="G225" s="114" t="s">
        <v>128</v>
      </c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 t="s">
        <v>327</v>
      </c>
      <c r="S225" s="84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</row>
    <row r="226" spans="1:48" s="599" customFormat="1" ht="14.1" customHeight="1" x14ac:dyDescent="0.2">
      <c r="A226" s="84" t="s">
        <v>129</v>
      </c>
      <c r="B226" s="622"/>
      <c r="C226" s="84"/>
      <c r="D226" s="84"/>
      <c r="E226" s="88" t="s">
        <v>130</v>
      </c>
      <c r="F226" s="84" t="s">
        <v>131</v>
      </c>
      <c r="G226" s="84"/>
      <c r="H226" s="84"/>
      <c r="I226" s="84"/>
      <c r="J226" s="623"/>
      <c r="K226" s="623"/>
      <c r="L226" s="84"/>
      <c r="M226" s="623"/>
      <c r="N226" s="623"/>
      <c r="O226" s="623" t="s">
        <v>187</v>
      </c>
      <c r="P226" s="84"/>
      <c r="Q226" s="84"/>
      <c r="R226" s="604"/>
      <c r="S226" s="84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</row>
    <row r="227" spans="1:48" s="599" customFormat="1" ht="14.1" customHeight="1" x14ac:dyDescent="0.2">
      <c r="A227" s="84"/>
      <c r="B227" s="622"/>
      <c r="C227" s="84"/>
      <c r="D227" s="84"/>
      <c r="E227" s="84"/>
      <c r="F227" s="84" t="s">
        <v>133</v>
      </c>
      <c r="G227" s="84"/>
      <c r="H227" s="84"/>
      <c r="I227" s="84"/>
      <c r="J227" s="88"/>
      <c r="K227" s="604"/>
      <c r="L227" s="84"/>
      <c r="M227" s="84"/>
      <c r="N227" s="88"/>
      <c r="O227" s="88" t="s">
        <v>123</v>
      </c>
      <c r="P227" s="604" t="s">
        <v>844</v>
      </c>
      <c r="Q227" s="84"/>
      <c r="R227" s="88"/>
      <c r="S227" s="84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</row>
    <row r="228" spans="1:48" s="599" customFormat="1" ht="14.1" customHeight="1" x14ac:dyDescent="0.2">
      <c r="A228" s="84" t="s">
        <v>134</v>
      </c>
      <c r="B228" s="622"/>
      <c r="C228" s="84"/>
      <c r="D228" s="84"/>
      <c r="E228" s="84"/>
      <c r="F228" s="84" t="s">
        <v>123</v>
      </c>
      <c r="G228" s="84"/>
      <c r="H228" s="84"/>
      <c r="I228" s="84"/>
      <c r="J228" s="88"/>
      <c r="K228" s="604"/>
      <c r="L228" s="88"/>
      <c r="M228" s="84"/>
      <c r="N228" s="84"/>
      <c r="O228" s="88" t="s">
        <v>123</v>
      </c>
      <c r="P228" s="604"/>
      <c r="Q228" s="84"/>
      <c r="R228" s="88"/>
      <c r="S228" s="84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</row>
    <row r="229" spans="1:48" s="599" customFormat="1" ht="14.1" customHeight="1" x14ac:dyDescent="0.2">
      <c r="A229" s="84"/>
      <c r="B229" s="622"/>
      <c r="C229" s="84"/>
      <c r="D229" s="84"/>
      <c r="E229" s="84"/>
      <c r="F229" s="84" t="s">
        <v>123</v>
      </c>
      <c r="G229" s="84"/>
      <c r="H229" s="84"/>
      <c r="I229" s="84"/>
      <c r="J229" s="88"/>
      <c r="K229" s="604"/>
      <c r="L229" s="88"/>
      <c r="M229" s="84"/>
      <c r="N229" s="84"/>
      <c r="O229" s="88" t="s">
        <v>123</v>
      </c>
      <c r="P229" s="604"/>
      <c r="Q229" s="84"/>
      <c r="R229" s="88"/>
      <c r="S229" s="84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</row>
    <row r="230" spans="1:48" s="599" customFormat="1" ht="14.1" customHeight="1" thickBot="1" x14ac:dyDescent="0.25">
      <c r="A230" s="114" t="s">
        <v>135</v>
      </c>
      <c r="B230" s="624"/>
      <c r="C230" s="114"/>
      <c r="D230" s="114"/>
      <c r="E230" s="114"/>
      <c r="F230" s="114" t="s">
        <v>123</v>
      </c>
      <c r="G230" s="114"/>
      <c r="H230" s="606"/>
      <c r="I230" s="114"/>
      <c r="J230" s="114"/>
      <c r="K230" s="114"/>
      <c r="L230" s="114"/>
      <c r="M230" s="114"/>
      <c r="N230" s="114"/>
      <c r="O230" s="114"/>
      <c r="P230" s="625"/>
      <c r="Q230" s="114"/>
      <c r="R230" s="114"/>
      <c r="S230" s="84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</row>
    <row r="231" spans="1:48" s="599" customFormat="1" ht="14.1" customHeight="1" x14ac:dyDescent="0.2">
      <c r="A231" s="84"/>
      <c r="B231" s="84"/>
      <c r="C231" s="607"/>
      <c r="D231" s="607"/>
      <c r="E231" s="607"/>
      <c r="F231" s="607"/>
      <c r="G231" s="607"/>
      <c r="H231" s="607"/>
      <c r="I231" s="607"/>
      <c r="J231" s="607"/>
      <c r="K231" s="607"/>
      <c r="L231" s="607"/>
      <c r="M231" s="607"/>
      <c r="N231" s="607"/>
      <c r="O231" s="607"/>
      <c r="P231" s="607"/>
      <c r="Q231" s="607"/>
      <c r="R231" s="607"/>
      <c r="S231" s="84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</row>
    <row r="232" spans="1:48" s="599" customFormat="1" ht="14.1" customHeight="1" x14ac:dyDescent="0.2">
      <c r="A232" s="84"/>
      <c r="B232" s="84"/>
      <c r="C232" s="607" t="s">
        <v>136</v>
      </c>
      <c r="D232" s="607" t="s">
        <v>137</v>
      </c>
      <c r="E232" s="607"/>
      <c r="F232" s="607" t="s">
        <v>138</v>
      </c>
      <c r="G232" s="607"/>
      <c r="H232" s="607" t="s">
        <v>139</v>
      </c>
      <c r="I232" s="607"/>
      <c r="J232" s="237" t="s">
        <v>140</v>
      </c>
      <c r="K232" s="237"/>
      <c r="L232" s="607" t="s">
        <v>141</v>
      </c>
      <c r="M232" s="607"/>
      <c r="N232" s="607" t="s">
        <v>142</v>
      </c>
      <c r="O232" s="607"/>
      <c r="P232" s="607" t="s">
        <v>143</v>
      </c>
      <c r="Q232" s="607"/>
      <c r="R232" s="607" t="s">
        <v>144</v>
      </c>
      <c r="S232" s="84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</row>
    <row r="233" spans="1:48" ht="14.1" customHeight="1" x14ac:dyDescent="0.2">
      <c r="C233" s="237" t="s">
        <v>145</v>
      </c>
      <c r="D233" s="237" t="s">
        <v>145</v>
      </c>
      <c r="F233" s="237" t="s">
        <v>6</v>
      </c>
      <c r="G233" s="237"/>
      <c r="H233" s="607" t="s">
        <v>48</v>
      </c>
      <c r="I233" s="237"/>
      <c r="J233" s="607" t="s">
        <v>40</v>
      </c>
      <c r="K233" s="237"/>
      <c r="L233" s="237" t="s">
        <v>40</v>
      </c>
      <c r="M233" s="237"/>
      <c r="P233" s="237" t="s">
        <v>48</v>
      </c>
      <c r="R233" s="237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</row>
    <row r="234" spans="1:48" ht="14.1" customHeight="1" x14ac:dyDescent="0.2">
      <c r="A234" s="84" t="s">
        <v>146</v>
      </c>
      <c r="B234" s="237"/>
      <c r="C234" s="237" t="s">
        <v>147</v>
      </c>
      <c r="D234" s="237" t="s">
        <v>147</v>
      </c>
      <c r="E234" s="607"/>
      <c r="F234" s="237" t="s">
        <v>148</v>
      </c>
      <c r="G234" s="237"/>
      <c r="H234" s="237" t="s">
        <v>149</v>
      </c>
      <c r="I234" s="237"/>
      <c r="J234" s="237" t="s">
        <v>48</v>
      </c>
      <c r="K234" s="607"/>
      <c r="L234" s="237" t="s">
        <v>48</v>
      </c>
      <c r="M234" s="604"/>
      <c r="N234" s="237" t="s">
        <v>150</v>
      </c>
      <c r="O234" s="607"/>
      <c r="P234" s="607" t="s">
        <v>149</v>
      </c>
      <c r="Q234" s="607"/>
      <c r="R234" s="237" t="s">
        <v>151</v>
      </c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</row>
    <row r="235" spans="1:48" ht="14.1" customHeight="1" thickBot="1" x14ac:dyDescent="0.25">
      <c r="A235" s="114" t="s">
        <v>152</v>
      </c>
      <c r="B235" s="606"/>
      <c r="C235" s="606" t="s">
        <v>52</v>
      </c>
      <c r="D235" s="606" t="s">
        <v>153</v>
      </c>
      <c r="E235" s="606"/>
      <c r="F235" s="608" t="s">
        <v>57</v>
      </c>
      <c r="G235" s="608"/>
      <c r="H235" s="608" t="s">
        <v>154</v>
      </c>
      <c r="I235" s="609"/>
      <c r="J235" s="608" t="s">
        <v>155</v>
      </c>
      <c r="K235" s="609"/>
      <c r="L235" s="609" t="s">
        <v>156</v>
      </c>
      <c r="M235" s="610"/>
      <c r="N235" s="610" t="s">
        <v>157</v>
      </c>
      <c r="O235" s="610"/>
      <c r="P235" s="610" t="s">
        <v>158</v>
      </c>
      <c r="Q235" s="610"/>
      <c r="R235" s="610" t="s">
        <v>3</v>
      </c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</row>
    <row r="236" spans="1:48" ht="14.1" customHeight="1" x14ac:dyDescent="0.2">
      <c r="A236" s="84">
        <v>1</v>
      </c>
      <c r="B236" s="237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</row>
    <row r="237" spans="1:48" ht="14.1" customHeight="1" x14ac:dyDescent="0.2">
      <c r="A237" s="84">
        <v>2</v>
      </c>
      <c r="B237" s="596"/>
      <c r="C237" s="237"/>
      <c r="D237" s="616" t="s">
        <v>396</v>
      </c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</row>
    <row r="238" spans="1:48" ht="14.1" customHeight="1" x14ac:dyDescent="0.2">
      <c r="A238" s="84">
        <v>3</v>
      </c>
      <c r="B238" s="596"/>
      <c r="C238" s="607">
        <v>34186</v>
      </c>
      <c r="D238" s="84" t="s">
        <v>161</v>
      </c>
      <c r="F238" s="87">
        <v>2.9000000000000004</v>
      </c>
      <c r="H238" s="68">
        <v>13340108.739999998</v>
      </c>
      <c r="I238" s="89"/>
      <c r="J238" s="68">
        <v>34445.31</v>
      </c>
      <c r="K238" s="78"/>
      <c r="L238" s="68">
        <v>0</v>
      </c>
      <c r="M238" s="78"/>
      <c r="N238" s="68">
        <v>0</v>
      </c>
      <c r="O238" s="78"/>
      <c r="P238" s="68">
        <v>13374554.049999999</v>
      </c>
      <c r="Q238" s="78"/>
      <c r="R238" s="68">
        <v>13349687.229230769</v>
      </c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</row>
    <row r="239" spans="1:48" ht="14.1" customHeight="1" x14ac:dyDescent="0.2">
      <c r="A239" s="84">
        <v>4</v>
      </c>
      <c r="B239" s="596"/>
      <c r="C239" s="607">
        <v>34286</v>
      </c>
      <c r="D239" s="84" t="s">
        <v>206</v>
      </c>
      <c r="F239" s="87">
        <v>2.9000000000000004</v>
      </c>
      <c r="H239" s="68">
        <v>213616560.75999993</v>
      </c>
      <c r="I239" s="89"/>
      <c r="J239" s="68">
        <v>42544.149999999994</v>
      </c>
      <c r="K239" s="78"/>
      <c r="L239" s="68">
        <v>-80057.63</v>
      </c>
      <c r="M239" s="78"/>
      <c r="N239" s="68">
        <v>0</v>
      </c>
      <c r="O239" s="78"/>
      <c r="P239" s="68">
        <v>213579047.27999994</v>
      </c>
      <c r="Q239" s="78"/>
      <c r="R239" s="68">
        <v>213614625.05999994</v>
      </c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</row>
    <row r="240" spans="1:48" ht="14.1" customHeight="1" x14ac:dyDescent="0.2">
      <c r="A240" s="84">
        <v>5</v>
      </c>
      <c r="B240" s="596"/>
      <c r="C240" s="607">
        <v>34386</v>
      </c>
      <c r="D240" s="84" t="s">
        <v>207</v>
      </c>
      <c r="F240" s="87">
        <v>2.9000000000000004</v>
      </c>
      <c r="H240" s="68">
        <v>223517495.45999995</v>
      </c>
      <c r="I240" s="89"/>
      <c r="J240" s="68">
        <v>63223.33</v>
      </c>
      <c r="K240" s="78"/>
      <c r="L240" s="68">
        <v>-39542.86</v>
      </c>
      <c r="M240" s="78"/>
      <c r="N240" s="68">
        <v>0</v>
      </c>
      <c r="O240" s="78"/>
      <c r="P240" s="68">
        <v>223541175.92999995</v>
      </c>
      <c r="Q240" s="78"/>
      <c r="R240" s="68">
        <v>223504509.28615376</v>
      </c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</row>
    <row r="241" spans="1:48" ht="14.1" customHeight="1" x14ac:dyDescent="0.2">
      <c r="A241" s="84">
        <v>6</v>
      </c>
      <c r="B241" s="596"/>
      <c r="C241" s="607">
        <v>34586</v>
      </c>
      <c r="D241" s="84" t="s">
        <v>164</v>
      </c>
      <c r="F241" s="87">
        <v>2.9000000000000004</v>
      </c>
      <c r="H241" s="68">
        <v>18315592.580000002</v>
      </c>
      <c r="I241" s="89"/>
      <c r="J241" s="68">
        <v>20401.009999999998</v>
      </c>
      <c r="K241" s="78"/>
      <c r="L241" s="68">
        <v>0</v>
      </c>
      <c r="M241" s="78"/>
      <c r="N241" s="68">
        <v>0</v>
      </c>
      <c r="O241" s="78"/>
      <c r="P241" s="68">
        <v>18335993.590000004</v>
      </c>
      <c r="Q241" s="78"/>
      <c r="R241" s="68">
        <v>18325008.430769231</v>
      </c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</row>
    <row r="242" spans="1:48" ht="14.1" customHeight="1" x14ac:dyDescent="0.2">
      <c r="A242" s="84">
        <v>7</v>
      </c>
      <c r="B242" s="237"/>
      <c r="C242" s="607">
        <v>34686</v>
      </c>
      <c r="D242" s="84" t="s">
        <v>165</v>
      </c>
      <c r="F242" s="87">
        <v>2.9000000000000004</v>
      </c>
      <c r="H242" s="68">
        <v>141626.41</v>
      </c>
      <c r="I242" s="89"/>
      <c r="J242" s="68">
        <v>0</v>
      </c>
      <c r="K242" s="78"/>
      <c r="L242" s="68">
        <v>0</v>
      </c>
      <c r="M242" s="78"/>
      <c r="N242" s="68">
        <v>0</v>
      </c>
      <c r="O242" s="78"/>
      <c r="P242" s="68">
        <v>141626.41</v>
      </c>
      <c r="Q242" s="78"/>
      <c r="R242" s="68">
        <v>141626.40999999997</v>
      </c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</row>
    <row r="243" spans="1:48" ht="14.1" customHeight="1" x14ac:dyDescent="0.2">
      <c r="A243" s="84">
        <v>8</v>
      </c>
      <c r="B243" s="237"/>
      <c r="C243" s="237"/>
      <c r="D243" s="616" t="s">
        <v>397</v>
      </c>
      <c r="H243" s="90">
        <v>468931383.94999993</v>
      </c>
      <c r="I243" s="93"/>
      <c r="J243" s="90">
        <v>160613.79999999999</v>
      </c>
      <c r="K243" s="93"/>
      <c r="L243" s="90">
        <v>-119600.49</v>
      </c>
      <c r="M243" s="93"/>
      <c r="N243" s="90">
        <v>0</v>
      </c>
      <c r="O243" s="93"/>
      <c r="P243" s="90">
        <v>468972397.25999993</v>
      </c>
      <c r="Q243" s="93"/>
      <c r="R243" s="90">
        <v>468935456.41615373</v>
      </c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</row>
    <row r="244" spans="1:48" ht="14.1" customHeight="1" x14ac:dyDescent="0.2">
      <c r="A244" s="84">
        <v>9</v>
      </c>
      <c r="B244" s="237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</row>
    <row r="245" spans="1:48" ht="14.1" customHeight="1" x14ac:dyDescent="0.2">
      <c r="A245" s="84">
        <v>10</v>
      </c>
      <c r="B245" s="237"/>
      <c r="C245" s="607">
        <v>34287</v>
      </c>
      <c r="D245" s="84" t="s">
        <v>222</v>
      </c>
      <c r="F245" s="87">
        <v>0</v>
      </c>
      <c r="H245" s="68">
        <v>0</v>
      </c>
      <c r="I245" s="89"/>
      <c r="J245" s="68">
        <v>0</v>
      </c>
      <c r="K245" s="78"/>
      <c r="L245" s="68">
        <v>0</v>
      </c>
      <c r="M245" s="78"/>
      <c r="N245" s="68">
        <v>0</v>
      </c>
      <c r="O245" s="78"/>
      <c r="P245" s="68">
        <v>0</v>
      </c>
      <c r="Q245" s="78"/>
      <c r="R245" s="68">
        <v>0</v>
      </c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</row>
    <row r="246" spans="1:48" ht="14.1" customHeight="1" x14ac:dyDescent="0.2">
      <c r="A246" s="84">
        <v>11</v>
      </c>
      <c r="B246" s="237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</row>
    <row r="247" spans="1:48" ht="14.1" customHeight="1" x14ac:dyDescent="0.2">
      <c r="A247" s="84">
        <v>12</v>
      </c>
      <c r="B247" s="596"/>
      <c r="C247" s="607">
        <v>34687</v>
      </c>
      <c r="D247" s="84" t="s">
        <v>223</v>
      </c>
      <c r="F247" s="87">
        <v>14.3</v>
      </c>
      <c r="G247" s="88"/>
      <c r="H247" s="99">
        <v>1080933.3700000001</v>
      </c>
      <c r="I247" s="89"/>
      <c r="J247" s="99">
        <v>230809.25</v>
      </c>
      <c r="K247" s="78"/>
      <c r="L247" s="99">
        <v>-105182.15</v>
      </c>
      <c r="M247" s="78"/>
      <c r="N247" s="99">
        <v>0</v>
      </c>
      <c r="O247" s="78"/>
      <c r="P247" s="99">
        <v>1206560.4700000002</v>
      </c>
      <c r="Q247" s="78"/>
      <c r="R247" s="99">
        <v>1091733.5223076923</v>
      </c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</row>
    <row r="248" spans="1:48" ht="14.1" customHeight="1" x14ac:dyDescent="0.2">
      <c r="A248" s="84">
        <v>13</v>
      </c>
      <c r="B248" s="59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</row>
    <row r="249" spans="1:48" ht="14.1" customHeight="1" thickBot="1" x14ac:dyDescent="0.25">
      <c r="A249" s="84">
        <v>14</v>
      </c>
      <c r="B249" s="596"/>
      <c r="C249" s="237"/>
      <c r="D249" s="84" t="s">
        <v>74</v>
      </c>
      <c r="F249" s="87"/>
      <c r="H249" s="55">
        <v>1358468553.3599997</v>
      </c>
      <c r="I249" s="93"/>
      <c r="J249" s="55">
        <v>15267727.800000001</v>
      </c>
      <c r="K249" s="93"/>
      <c r="L249" s="55">
        <v>-5385863.3499999996</v>
      </c>
      <c r="M249" s="93"/>
      <c r="N249" s="55">
        <v>0</v>
      </c>
      <c r="O249" s="93"/>
      <c r="P249" s="55">
        <v>1368350417.8099999</v>
      </c>
      <c r="Q249" s="93"/>
      <c r="R249" s="55">
        <v>1363506337.8492308</v>
      </c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</row>
    <row r="250" spans="1:48" ht="14.1" customHeight="1" thickTop="1" x14ac:dyDescent="0.2">
      <c r="A250" s="84">
        <v>15</v>
      </c>
      <c r="B250" s="59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</row>
    <row r="251" spans="1:48" ht="14.1" customHeight="1" x14ac:dyDescent="0.2">
      <c r="A251" s="84">
        <v>16</v>
      </c>
      <c r="B251" s="59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</row>
    <row r="252" spans="1:48" ht="14.1" customHeight="1" x14ac:dyDescent="0.2">
      <c r="A252" s="84">
        <v>17</v>
      </c>
      <c r="B252" s="596"/>
      <c r="D252" s="84" t="s">
        <v>62</v>
      </c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</row>
    <row r="253" spans="1:48" ht="14.1" customHeight="1" x14ac:dyDescent="0.2">
      <c r="A253" s="84">
        <v>18</v>
      </c>
      <c r="B253" s="596"/>
      <c r="D253" s="616" t="s">
        <v>224</v>
      </c>
      <c r="F253" s="87"/>
      <c r="H253" s="641"/>
      <c r="I253" s="93"/>
      <c r="J253" s="641"/>
      <c r="K253" s="93"/>
      <c r="L253" s="641"/>
      <c r="M253" s="93"/>
      <c r="N253" s="641"/>
      <c r="O253" s="93"/>
      <c r="P253" s="641"/>
      <c r="Q253" s="93"/>
      <c r="R253" s="641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</row>
    <row r="254" spans="1:48" ht="14.1" customHeight="1" x14ac:dyDescent="0.2">
      <c r="A254" s="84">
        <v>19</v>
      </c>
      <c r="B254" s="596"/>
      <c r="C254" s="237">
        <v>34130</v>
      </c>
      <c r="D254" s="84" t="s">
        <v>161</v>
      </c>
      <c r="F254" s="87">
        <v>2.2999999999999998</v>
      </c>
      <c r="G254" s="88"/>
      <c r="H254" s="68">
        <v>79356213.720000044</v>
      </c>
      <c r="I254" s="89"/>
      <c r="J254" s="68">
        <v>2423086.64</v>
      </c>
      <c r="K254" s="78"/>
      <c r="L254" s="68">
        <v>-231736.56999999998</v>
      </c>
      <c r="M254" s="78"/>
      <c r="N254" s="68">
        <v>0</v>
      </c>
      <c r="O254" s="78"/>
      <c r="P254" s="68">
        <v>81547563.790000051</v>
      </c>
      <c r="Q254" s="78"/>
      <c r="R254" s="68">
        <v>80607548.40538463</v>
      </c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</row>
    <row r="255" spans="1:48" ht="14.1" customHeight="1" x14ac:dyDescent="0.2">
      <c r="A255" s="84">
        <v>20</v>
      </c>
      <c r="B255" s="596"/>
      <c r="C255" s="237">
        <v>34230</v>
      </c>
      <c r="D255" s="84" t="s">
        <v>206</v>
      </c>
      <c r="F255" s="87">
        <v>2.5</v>
      </c>
      <c r="G255" s="88"/>
      <c r="H255" s="68">
        <v>22125875.729999997</v>
      </c>
      <c r="I255" s="89"/>
      <c r="J255" s="68">
        <v>359038.55000000005</v>
      </c>
      <c r="K255" s="78"/>
      <c r="L255" s="68">
        <v>-18545.93</v>
      </c>
      <c r="M255" s="78"/>
      <c r="N255" s="68">
        <v>0</v>
      </c>
      <c r="O255" s="78"/>
      <c r="P255" s="68">
        <v>22466368.349999998</v>
      </c>
      <c r="Q255" s="78"/>
      <c r="R255" s="68">
        <v>22197140.649230771</v>
      </c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</row>
    <row r="256" spans="1:48" ht="14.1" customHeight="1" x14ac:dyDescent="0.2">
      <c r="A256" s="84">
        <v>21</v>
      </c>
      <c r="B256" s="596"/>
      <c r="C256" s="237">
        <v>34330</v>
      </c>
      <c r="D256" s="84" t="s">
        <v>207</v>
      </c>
      <c r="F256" s="87">
        <v>3.2</v>
      </c>
      <c r="G256" s="88"/>
      <c r="H256" s="68">
        <v>35104989.539999992</v>
      </c>
      <c r="I256" s="89"/>
      <c r="J256" s="68">
        <v>275622.82</v>
      </c>
      <c r="K256" s="78"/>
      <c r="L256" s="68">
        <v>-82995.61</v>
      </c>
      <c r="M256" s="78"/>
      <c r="N256" s="68">
        <v>0</v>
      </c>
      <c r="O256" s="78"/>
      <c r="P256" s="68">
        <v>35297616.749999993</v>
      </c>
      <c r="Q256" s="78"/>
      <c r="R256" s="68">
        <v>35120877.185384616</v>
      </c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</row>
    <row r="257" spans="1:48" ht="14.1" customHeight="1" x14ac:dyDescent="0.2">
      <c r="A257" s="84">
        <v>22</v>
      </c>
      <c r="B257" s="596"/>
      <c r="C257" s="237">
        <v>34530</v>
      </c>
      <c r="D257" s="84" t="s">
        <v>164</v>
      </c>
      <c r="F257" s="87">
        <v>4.2</v>
      </c>
      <c r="G257" s="88"/>
      <c r="H257" s="68">
        <v>28816421.689999998</v>
      </c>
      <c r="I257" s="89"/>
      <c r="J257" s="68">
        <v>303503.16000000003</v>
      </c>
      <c r="K257" s="78"/>
      <c r="L257" s="68">
        <v>-239644.84999999998</v>
      </c>
      <c r="M257" s="78"/>
      <c r="N257" s="68">
        <v>0</v>
      </c>
      <c r="O257" s="78"/>
      <c r="P257" s="68">
        <v>28880279.999999996</v>
      </c>
      <c r="Q257" s="78"/>
      <c r="R257" s="68">
        <v>28876397.933846153</v>
      </c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</row>
    <row r="258" spans="1:48" ht="14.1" customHeight="1" x14ac:dyDescent="0.2">
      <c r="A258" s="84">
        <v>23</v>
      </c>
      <c r="B258" s="596"/>
      <c r="C258" s="237">
        <v>34630</v>
      </c>
      <c r="D258" s="84" t="s">
        <v>165</v>
      </c>
      <c r="F258" s="87">
        <v>3.2</v>
      </c>
      <c r="G258" s="88"/>
      <c r="H258" s="68">
        <v>10761480.139999999</v>
      </c>
      <c r="I258" s="89"/>
      <c r="J258" s="68">
        <v>131980.48000000001</v>
      </c>
      <c r="K258" s="78"/>
      <c r="L258" s="68">
        <v>-14754.08</v>
      </c>
      <c r="M258" s="78"/>
      <c r="N258" s="68">
        <v>0</v>
      </c>
      <c r="O258" s="78"/>
      <c r="P258" s="68">
        <v>10878706.539999999</v>
      </c>
      <c r="Q258" s="78"/>
      <c r="R258" s="68">
        <v>10768111.401538461</v>
      </c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</row>
    <row r="259" spans="1:48" ht="14.1" customHeight="1" x14ac:dyDescent="0.2">
      <c r="A259" s="84">
        <v>24</v>
      </c>
      <c r="B259" s="596"/>
      <c r="C259" s="237"/>
      <c r="D259" s="616" t="s">
        <v>225</v>
      </c>
      <c r="F259" s="87"/>
      <c r="H259" s="90">
        <v>176164980.82000002</v>
      </c>
      <c r="I259" s="93"/>
      <c r="J259" s="90">
        <v>3493231.6500000004</v>
      </c>
      <c r="K259" s="93"/>
      <c r="L259" s="90">
        <v>-587677.03999999992</v>
      </c>
      <c r="M259" s="93"/>
      <c r="N259" s="90">
        <v>0</v>
      </c>
      <c r="O259" s="93"/>
      <c r="P259" s="90">
        <v>179070535.43000004</v>
      </c>
      <c r="Q259" s="93"/>
      <c r="R259" s="90">
        <v>177570075.57538462</v>
      </c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</row>
    <row r="260" spans="1:48" ht="14.1" customHeight="1" x14ac:dyDescent="0.2">
      <c r="A260" s="84">
        <v>25</v>
      </c>
      <c r="B260" s="59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</row>
    <row r="261" spans="1:48" ht="14.1" customHeight="1" x14ac:dyDescent="0.2">
      <c r="A261" s="84">
        <v>26</v>
      </c>
      <c r="B261" s="596"/>
      <c r="D261" s="616" t="s">
        <v>226</v>
      </c>
      <c r="H261" s="320"/>
      <c r="I261" s="320"/>
      <c r="J261" s="320"/>
      <c r="K261" s="320"/>
      <c r="L261" s="630"/>
      <c r="M261" s="630"/>
      <c r="N261" s="630"/>
      <c r="O261" s="630"/>
      <c r="P261" s="320"/>
      <c r="Q261" s="320"/>
      <c r="R261" s="320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</row>
    <row r="262" spans="1:48" ht="14.1" customHeight="1" x14ac:dyDescent="0.2">
      <c r="A262" s="84">
        <v>27</v>
      </c>
      <c r="B262" s="596"/>
      <c r="C262" s="607">
        <v>34131</v>
      </c>
      <c r="D262" s="84" t="s">
        <v>161</v>
      </c>
      <c r="F262" s="87">
        <v>2.5</v>
      </c>
      <c r="G262" s="88"/>
      <c r="H262" s="68">
        <v>21432787.820000008</v>
      </c>
      <c r="I262" s="89"/>
      <c r="J262" s="68">
        <v>176307.12</v>
      </c>
      <c r="K262" s="78"/>
      <c r="L262" s="68">
        <v>0</v>
      </c>
      <c r="M262" s="78"/>
      <c r="N262" s="68">
        <v>0</v>
      </c>
      <c r="O262" s="78"/>
      <c r="P262" s="68">
        <v>21609094.940000009</v>
      </c>
      <c r="Q262" s="78"/>
      <c r="R262" s="68">
        <v>21459723.712307699</v>
      </c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</row>
    <row r="263" spans="1:48" ht="14.1" customHeight="1" x14ac:dyDescent="0.2">
      <c r="A263" s="84">
        <v>28</v>
      </c>
      <c r="B263" s="596"/>
      <c r="C263" s="607">
        <v>34231</v>
      </c>
      <c r="D263" s="84" t="s">
        <v>206</v>
      </c>
      <c r="F263" s="87">
        <v>2.9</v>
      </c>
      <c r="G263" s="88"/>
      <c r="H263" s="68">
        <v>77327522.180000007</v>
      </c>
      <c r="I263" s="89"/>
      <c r="J263" s="68">
        <v>865447.72</v>
      </c>
      <c r="K263" s="78"/>
      <c r="L263" s="68">
        <v>-391427.47000000003</v>
      </c>
      <c r="M263" s="78"/>
      <c r="N263" s="68">
        <v>0</v>
      </c>
      <c r="O263" s="78"/>
      <c r="P263" s="68">
        <v>77801542.430000007</v>
      </c>
      <c r="Q263" s="78"/>
      <c r="R263" s="68">
        <v>77633276.310769245</v>
      </c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</row>
    <row r="264" spans="1:48" ht="14.1" customHeight="1" x14ac:dyDescent="0.2">
      <c r="A264" s="84">
        <v>29</v>
      </c>
      <c r="B264" s="596"/>
      <c r="C264" s="607">
        <v>34331</v>
      </c>
      <c r="D264" s="84" t="s">
        <v>207</v>
      </c>
      <c r="F264" s="87">
        <v>4.2</v>
      </c>
      <c r="G264" s="88"/>
      <c r="H264" s="68">
        <v>208725753.53000012</v>
      </c>
      <c r="I264" s="89"/>
      <c r="J264" s="68">
        <v>695244.57</v>
      </c>
      <c r="K264" s="78"/>
      <c r="L264" s="68">
        <v>-117782.22</v>
      </c>
      <c r="M264" s="78"/>
      <c r="N264" s="68">
        <v>0</v>
      </c>
      <c r="O264" s="78"/>
      <c r="P264" s="68">
        <v>209303215.88000011</v>
      </c>
      <c r="Q264" s="78"/>
      <c r="R264" s="68">
        <v>208948082.55153862</v>
      </c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</row>
    <row r="265" spans="1:48" ht="14.1" customHeight="1" x14ac:dyDescent="0.2">
      <c r="A265" s="84">
        <v>30</v>
      </c>
      <c r="B265" s="596"/>
      <c r="C265" s="607">
        <v>34531</v>
      </c>
      <c r="D265" s="84" t="s">
        <v>164</v>
      </c>
      <c r="F265" s="87">
        <v>3.2</v>
      </c>
      <c r="G265" s="88"/>
      <c r="H265" s="68">
        <v>36835718.719999984</v>
      </c>
      <c r="I265" s="89"/>
      <c r="J265" s="68">
        <v>2142407.2800000003</v>
      </c>
      <c r="K265" s="78"/>
      <c r="L265" s="68">
        <v>-44210.14</v>
      </c>
      <c r="M265" s="78"/>
      <c r="N265" s="68">
        <v>0</v>
      </c>
      <c r="O265" s="78"/>
      <c r="P265" s="68">
        <v>38933915.859999985</v>
      </c>
      <c r="Q265" s="78"/>
      <c r="R265" s="68">
        <v>38203074.303846143</v>
      </c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</row>
    <row r="266" spans="1:48" ht="14.1" customHeight="1" x14ac:dyDescent="0.2">
      <c r="A266" s="84">
        <v>31</v>
      </c>
      <c r="B266" s="598"/>
      <c r="C266" s="607">
        <v>34631</v>
      </c>
      <c r="D266" s="84" t="s">
        <v>165</v>
      </c>
      <c r="F266" s="87">
        <v>2.7</v>
      </c>
      <c r="G266" s="88"/>
      <c r="H266" s="68">
        <v>1152705.94</v>
      </c>
      <c r="I266" s="89"/>
      <c r="J266" s="68">
        <v>0</v>
      </c>
      <c r="K266" s="78"/>
      <c r="L266" s="68">
        <v>0</v>
      </c>
      <c r="M266" s="78"/>
      <c r="N266" s="68">
        <v>0</v>
      </c>
      <c r="O266" s="78"/>
      <c r="P266" s="68">
        <v>1152705.94</v>
      </c>
      <c r="Q266" s="78"/>
      <c r="R266" s="68">
        <v>1152705.9399999997</v>
      </c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</row>
    <row r="267" spans="1:48" ht="14.1" customHeight="1" x14ac:dyDescent="0.2">
      <c r="A267" s="84">
        <v>32</v>
      </c>
      <c r="B267" s="598"/>
      <c r="C267" s="237"/>
      <c r="D267" s="616" t="s">
        <v>227</v>
      </c>
      <c r="F267" s="87"/>
      <c r="H267" s="90">
        <v>345474488.19000012</v>
      </c>
      <c r="I267" s="93"/>
      <c r="J267" s="90">
        <v>3879406.6900000004</v>
      </c>
      <c r="K267" s="93"/>
      <c r="L267" s="90">
        <v>-553419.83000000007</v>
      </c>
      <c r="M267" s="93"/>
      <c r="N267" s="90">
        <v>0</v>
      </c>
      <c r="O267" s="93"/>
      <c r="P267" s="90">
        <v>348800475.05000013</v>
      </c>
      <c r="Q267" s="93"/>
      <c r="R267" s="90">
        <v>347396862.81846172</v>
      </c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</row>
    <row r="268" spans="1:48" ht="14.1" customHeight="1" x14ac:dyDescent="0.2">
      <c r="A268" s="84">
        <v>33</v>
      </c>
      <c r="B268" s="598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</row>
    <row r="269" spans="1:48" ht="14.1" customHeight="1" x14ac:dyDescent="0.2">
      <c r="A269" s="84">
        <v>34</v>
      </c>
      <c r="B269" s="596"/>
      <c r="C269" s="237"/>
      <c r="D269" s="616" t="s">
        <v>228</v>
      </c>
      <c r="F269" s="87"/>
      <c r="H269" s="92"/>
      <c r="I269" s="93"/>
      <c r="J269" s="93"/>
      <c r="K269" s="93"/>
      <c r="L269" s="93"/>
      <c r="M269" s="93"/>
      <c r="N269" s="93"/>
      <c r="O269" s="93"/>
      <c r="P269" s="91"/>
      <c r="Q269" s="93"/>
      <c r="R269" s="93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</row>
    <row r="270" spans="1:48" ht="14.1" customHeight="1" x14ac:dyDescent="0.2">
      <c r="A270" s="84">
        <v>35</v>
      </c>
      <c r="B270" s="596"/>
      <c r="C270" s="607">
        <v>34132</v>
      </c>
      <c r="D270" s="84" t="s">
        <v>161</v>
      </c>
      <c r="F270" s="87">
        <v>2.5</v>
      </c>
      <c r="G270" s="88"/>
      <c r="H270" s="68">
        <v>26927607.249999996</v>
      </c>
      <c r="I270" s="89"/>
      <c r="J270" s="68">
        <v>44359.039999999994</v>
      </c>
      <c r="K270" s="78"/>
      <c r="L270" s="68">
        <v>0</v>
      </c>
      <c r="M270" s="78"/>
      <c r="N270" s="68">
        <v>0</v>
      </c>
      <c r="O270" s="78"/>
      <c r="P270" s="68">
        <v>26971966.289999995</v>
      </c>
      <c r="Q270" s="78"/>
      <c r="R270" s="68">
        <v>26934580.058461532</v>
      </c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</row>
    <row r="271" spans="1:48" ht="14.1" customHeight="1" x14ac:dyDescent="0.2">
      <c r="A271" s="84">
        <v>36</v>
      </c>
      <c r="B271" s="596"/>
      <c r="C271" s="607">
        <v>34232</v>
      </c>
      <c r="D271" s="84" t="s">
        <v>206</v>
      </c>
      <c r="F271" s="87">
        <v>2.9</v>
      </c>
      <c r="G271" s="88"/>
      <c r="H271" s="68">
        <v>98632249.439999998</v>
      </c>
      <c r="I271" s="89"/>
      <c r="J271" s="68">
        <v>113859.40000000002</v>
      </c>
      <c r="K271" s="78"/>
      <c r="L271" s="68">
        <v>-46627.069999999992</v>
      </c>
      <c r="M271" s="78"/>
      <c r="N271" s="68">
        <v>0</v>
      </c>
      <c r="O271" s="78"/>
      <c r="P271" s="68">
        <v>98699481.770000011</v>
      </c>
      <c r="Q271" s="78"/>
      <c r="R271" s="68">
        <v>98654844.229230776</v>
      </c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</row>
    <row r="272" spans="1:48" ht="14.1" customHeight="1" x14ac:dyDescent="0.2">
      <c r="A272" s="84">
        <v>37</v>
      </c>
      <c r="B272" s="596"/>
      <c r="C272" s="607">
        <v>34332</v>
      </c>
      <c r="D272" s="84" t="s">
        <v>207</v>
      </c>
      <c r="F272" s="87">
        <v>4.1000000000000005</v>
      </c>
      <c r="G272" s="88"/>
      <c r="H272" s="68">
        <v>286133276.07000011</v>
      </c>
      <c r="I272" s="89"/>
      <c r="J272" s="68">
        <v>645971.94000000006</v>
      </c>
      <c r="K272" s="78"/>
      <c r="L272" s="68">
        <v>-208469.63</v>
      </c>
      <c r="M272" s="78"/>
      <c r="N272" s="68">
        <v>0</v>
      </c>
      <c r="O272" s="78"/>
      <c r="P272" s="68">
        <v>286570778.38000011</v>
      </c>
      <c r="Q272" s="78"/>
      <c r="R272" s="68">
        <v>286335807.85307699</v>
      </c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</row>
    <row r="273" spans="1:48" ht="14.1" customHeight="1" x14ac:dyDescent="0.2">
      <c r="A273" s="84">
        <v>38</v>
      </c>
      <c r="B273" s="596"/>
      <c r="C273" s="607">
        <v>34532</v>
      </c>
      <c r="D273" s="84" t="s">
        <v>164</v>
      </c>
      <c r="F273" s="87">
        <v>3.1</v>
      </c>
      <c r="G273" s="88"/>
      <c r="H273" s="68">
        <v>43727759.150000006</v>
      </c>
      <c r="I273" s="89"/>
      <c r="J273" s="68">
        <v>229324.16</v>
      </c>
      <c r="K273" s="78"/>
      <c r="L273" s="68">
        <v>-4042.78</v>
      </c>
      <c r="M273" s="78"/>
      <c r="N273" s="68">
        <v>0</v>
      </c>
      <c r="O273" s="78"/>
      <c r="P273" s="68">
        <v>43953040.530000001</v>
      </c>
      <c r="Q273" s="78"/>
      <c r="R273" s="68">
        <v>43844085.253846161</v>
      </c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</row>
    <row r="274" spans="1:48" ht="14.1" customHeight="1" x14ac:dyDescent="0.2">
      <c r="A274" s="84">
        <v>39</v>
      </c>
      <c r="C274" s="607">
        <v>34632</v>
      </c>
      <c r="D274" s="84" t="s">
        <v>165</v>
      </c>
      <c r="F274" s="87">
        <v>2.8000000000000003</v>
      </c>
      <c r="G274" s="88"/>
      <c r="H274" s="68">
        <v>1455592.35</v>
      </c>
      <c r="I274" s="89"/>
      <c r="J274" s="68">
        <v>0</v>
      </c>
      <c r="K274" s="78"/>
      <c r="L274" s="68">
        <v>0</v>
      </c>
      <c r="M274" s="78"/>
      <c r="N274" s="68">
        <v>0</v>
      </c>
      <c r="O274" s="78"/>
      <c r="P274" s="68">
        <v>1455592.35</v>
      </c>
      <c r="Q274" s="78"/>
      <c r="R274" s="68">
        <v>1455592.35</v>
      </c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</row>
    <row r="275" spans="1:48" ht="14.1" customHeight="1" x14ac:dyDescent="0.2">
      <c r="A275" s="84">
        <v>40</v>
      </c>
      <c r="C275" s="237"/>
      <c r="D275" s="616" t="s">
        <v>229</v>
      </c>
      <c r="F275" s="87"/>
      <c r="H275" s="90">
        <v>456876484.26000011</v>
      </c>
      <c r="I275" s="93"/>
      <c r="J275" s="90">
        <v>1033514.5400000002</v>
      </c>
      <c r="K275" s="93"/>
      <c r="L275" s="90">
        <v>-259139.48</v>
      </c>
      <c r="M275" s="93"/>
      <c r="N275" s="90">
        <v>0</v>
      </c>
      <c r="O275" s="93"/>
      <c r="P275" s="90">
        <v>457650859.32000017</v>
      </c>
      <c r="Q275" s="93"/>
      <c r="R275" s="90">
        <v>457224909.7446155</v>
      </c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</row>
    <row r="276" spans="1:48" ht="14.1" customHeight="1" x14ac:dyDescent="0.2">
      <c r="A276" s="84">
        <v>41</v>
      </c>
      <c r="I276" s="89"/>
      <c r="K276" s="89"/>
      <c r="M276" s="89"/>
      <c r="O276" s="89"/>
      <c r="Q276" s="89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</row>
    <row r="277" spans="1:48" ht="14.1" customHeight="1" x14ac:dyDescent="0.2">
      <c r="A277" s="84">
        <v>42</v>
      </c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</row>
    <row r="278" spans="1:48" ht="14.1" customHeight="1" x14ac:dyDescent="0.2">
      <c r="A278" s="84">
        <v>43</v>
      </c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</row>
    <row r="279" spans="1:48" ht="14.1" customHeight="1" thickBot="1" x14ac:dyDescent="0.25">
      <c r="A279" s="114">
        <v>44</v>
      </c>
      <c r="B279" s="343" t="s">
        <v>186</v>
      </c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</row>
    <row r="280" spans="1:48" ht="14.1" customHeight="1" x14ac:dyDescent="0.2">
      <c r="A280" s="84" t="s">
        <v>60</v>
      </c>
      <c r="P280" s="84" t="s">
        <v>60</v>
      </c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</row>
    <row r="281" spans="1:48" ht="14.1" customHeight="1" thickBot="1" x14ac:dyDescent="0.25">
      <c r="A281" s="114" t="s">
        <v>127</v>
      </c>
      <c r="B281" s="114"/>
      <c r="C281" s="114"/>
      <c r="D281" s="114"/>
      <c r="E281" s="114"/>
      <c r="F281" s="114"/>
      <c r="G281" s="114" t="s">
        <v>128</v>
      </c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 t="s">
        <v>328</v>
      </c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</row>
    <row r="282" spans="1:48" ht="14.1" customHeight="1" x14ac:dyDescent="0.2">
      <c r="A282" s="84" t="s">
        <v>129</v>
      </c>
      <c r="B282" s="622"/>
      <c r="E282" s="88" t="s">
        <v>130</v>
      </c>
      <c r="F282" s="84" t="s">
        <v>131</v>
      </c>
      <c r="J282" s="623"/>
      <c r="K282" s="623"/>
      <c r="M282" s="623"/>
      <c r="N282" s="623"/>
      <c r="O282" s="623" t="s">
        <v>187</v>
      </c>
      <c r="R282" s="604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</row>
    <row r="283" spans="1:48" ht="14.1" customHeight="1" x14ac:dyDescent="0.2">
      <c r="B283" s="622"/>
      <c r="F283" s="84" t="s">
        <v>133</v>
      </c>
      <c r="J283" s="88"/>
      <c r="K283" s="604"/>
      <c r="N283" s="88"/>
      <c r="O283" s="88" t="s">
        <v>123</v>
      </c>
      <c r="P283" s="604" t="s">
        <v>844</v>
      </c>
      <c r="R283" s="88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</row>
    <row r="284" spans="1:48" ht="14.1" customHeight="1" x14ac:dyDescent="0.2">
      <c r="A284" s="84" t="s">
        <v>134</v>
      </c>
      <c r="B284" s="622"/>
      <c r="F284" s="84" t="s">
        <v>123</v>
      </c>
      <c r="J284" s="88"/>
      <c r="K284" s="604"/>
      <c r="L284" s="88"/>
      <c r="O284" s="88" t="s">
        <v>123</v>
      </c>
      <c r="P284" s="604"/>
      <c r="R284" s="88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</row>
    <row r="285" spans="1:48" ht="14.1" customHeight="1" x14ac:dyDescent="0.2">
      <c r="B285" s="622"/>
      <c r="F285" s="84" t="s">
        <v>123</v>
      </c>
      <c r="J285" s="88"/>
      <c r="K285" s="604"/>
      <c r="L285" s="88"/>
      <c r="O285" s="88" t="s">
        <v>123</v>
      </c>
      <c r="P285" s="604"/>
      <c r="R285" s="88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</row>
    <row r="286" spans="1:48" ht="14.1" customHeight="1" thickBot="1" x14ac:dyDescent="0.25">
      <c r="A286" s="114" t="s">
        <v>135</v>
      </c>
      <c r="B286" s="624"/>
      <c r="C286" s="114"/>
      <c r="D286" s="114"/>
      <c r="E286" s="114"/>
      <c r="F286" s="114" t="s">
        <v>123</v>
      </c>
      <c r="G286" s="114"/>
      <c r="H286" s="606"/>
      <c r="I286" s="114"/>
      <c r="J286" s="114"/>
      <c r="K286" s="114"/>
      <c r="L286" s="114"/>
      <c r="M286" s="114"/>
      <c r="N286" s="114"/>
      <c r="O286" s="114"/>
      <c r="P286" s="625"/>
      <c r="Q286" s="114"/>
      <c r="R286" s="114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</row>
    <row r="287" spans="1:48" ht="14.1" customHeight="1" x14ac:dyDescent="0.2">
      <c r="C287" s="607"/>
      <c r="D287" s="607"/>
      <c r="E287" s="607"/>
      <c r="F287" s="607"/>
      <c r="G287" s="607"/>
      <c r="H287" s="607"/>
      <c r="I287" s="607"/>
      <c r="J287" s="607"/>
      <c r="K287" s="607"/>
      <c r="L287" s="607"/>
      <c r="M287" s="607"/>
      <c r="N287" s="607"/>
      <c r="O287" s="607"/>
      <c r="P287" s="607"/>
      <c r="Q287" s="607"/>
      <c r="R287" s="607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</row>
    <row r="288" spans="1:48" ht="14.1" customHeight="1" x14ac:dyDescent="0.2">
      <c r="C288" s="607" t="s">
        <v>136</v>
      </c>
      <c r="D288" s="607" t="s">
        <v>137</v>
      </c>
      <c r="E288" s="607"/>
      <c r="F288" s="607" t="s">
        <v>138</v>
      </c>
      <c r="G288" s="607"/>
      <c r="H288" s="607" t="s">
        <v>139</v>
      </c>
      <c r="I288" s="607"/>
      <c r="J288" s="237" t="s">
        <v>140</v>
      </c>
      <c r="K288" s="237"/>
      <c r="L288" s="607" t="s">
        <v>141</v>
      </c>
      <c r="M288" s="607"/>
      <c r="N288" s="607" t="s">
        <v>142</v>
      </c>
      <c r="O288" s="607"/>
      <c r="P288" s="607" t="s">
        <v>143</v>
      </c>
      <c r="Q288" s="607"/>
      <c r="R288" s="607" t="s">
        <v>144</v>
      </c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</row>
    <row r="289" spans="1:48" ht="14.1" customHeight="1" x14ac:dyDescent="0.2">
      <c r="C289" s="237" t="s">
        <v>145</v>
      </c>
      <c r="D289" s="237" t="s">
        <v>145</v>
      </c>
      <c r="F289" s="237" t="s">
        <v>6</v>
      </c>
      <c r="G289" s="237"/>
      <c r="H289" s="607" t="s">
        <v>48</v>
      </c>
      <c r="I289" s="237"/>
      <c r="J289" s="607" t="s">
        <v>40</v>
      </c>
      <c r="K289" s="237"/>
      <c r="L289" s="237" t="s">
        <v>40</v>
      </c>
      <c r="M289" s="237"/>
      <c r="P289" s="237" t="s">
        <v>48</v>
      </c>
      <c r="R289" s="237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</row>
    <row r="290" spans="1:48" ht="14.1" customHeight="1" x14ac:dyDescent="0.2">
      <c r="A290" s="84" t="s">
        <v>146</v>
      </c>
      <c r="B290" s="237"/>
      <c r="C290" s="237" t="s">
        <v>147</v>
      </c>
      <c r="D290" s="237" t="s">
        <v>147</v>
      </c>
      <c r="E290" s="607"/>
      <c r="F290" s="237" t="s">
        <v>148</v>
      </c>
      <c r="G290" s="237"/>
      <c r="H290" s="237" t="s">
        <v>149</v>
      </c>
      <c r="I290" s="237"/>
      <c r="J290" s="237" t="s">
        <v>48</v>
      </c>
      <c r="K290" s="607"/>
      <c r="L290" s="237" t="s">
        <v>48</v>
      </c>
      <c r="M290" s="604"/>
      <c r="N290" s="237" t="s">
        <v>150</v>
      </c>
      <c r="O290" s="607"/>
      <c r="P290" s="607" t="s">
        <v>149</v>
      </c>
      <c r="Q290" s="607"/>
      <c r="R290" s="237" t="s">
        <v>151</v>
      </c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</row>
    <row r="291" spans="1:48" ht="14.1" customHeight="1" thickBot="1" x14ac:dyDescent="0.25">
      <c r="A291" s="114" t="s">
        <v>152</v>
      </c>
      <c r="B291" s="606"/>
      <c r="C291" s="606" t="s">
        <v>52</v>
      </c>
      <c r="D291" s="606" t="s">
        <v>153</v>
      </c>
      <c r="E291" s="606"/>
      <c r="F291" s="608" t="s">
        <v>57</v>
      </c>
      <c r="G291" s="608"/>
      <c r="H291" s="608" t="s">
        <v>154</v>
      </c>
      <c r="I291" s="609"/>
      <c r="J291" s="608" t="s">
        <v>155</v>
      </c>
      <c r="K291" s="609"/>
      <c r="L291" s="609" t="s">
        <v>156</v>
      </c>
      <c r="M291" s="610"/>
      <c r="N291" s="610" t="s">
        <v>157</v>
      </c>
      <c r="O291" s="610"/>
      <c r="P291" s="610" t="s">
        <v>158</v>
      </c>
      <c r="Q291" s="610"/>
      <c r="R291" s="610" t="s">
        <v>3</v>
      </c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</row>
    <row r="292" spans="1:48" ht="14.1" customHeight="1" x14ac:dyDescent="0.2">
      <c r="A292" s="84">
        <v>1</v>
      </c>
      <c r="B292" s="59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</row>
    <row r="293" spans="1:48" ht="14.1" customHeight="1" x14ac:dyDescent="0.2">
      <c r="A293" s="84">
        <v>2</v>
      </c>
      <c r="B293" s="596"/>
      <c r="C293" s="237"/>
      <c r="D293" s="616" t="s">
        <v>230</v>
      </c>
      <c r="I293" s="93"/>
      <c r="K293" s="93"/>
      <c r="M293" s="93"/>
      <c r="O293" s="93"/>
      <c r="Q293" s="93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</row>
    <row r="294" spans="1:48" ht="14.1" customHeight="1" x14ac:dyDescent="0.2">
      <c r="A294" s="84">
        <v>3</v>
      </c>
      <c r="B294" s="596"/>
      <c r="C294" s="607">
        <v>34133</v>
      </c>
      <c r="D294" s="84" t="s">
        <v>161</v>
      </c>
      <c r="F294" s="87">
        <v>2.6</v>
      </c>
      <c r="G294" s="88"/>
      <c r="H294" s="68">
        <v>656349.29</v>
      </c>
      <c r="I294" s="89"/>
      <c r="J294" s="68">
        <v>0</v>
      </c>
      <c r="K294" s="78"/>
      <c r="L294" s="68">
        <v>0</v>
      </c>
      <c r="M294" s="78"/>
      <c r="N294" s="68">
        <v>0</v>
      </c>
      <c r="O294" s="78"/>
      <c r="P294" s="68">
        <v>656349.29</v>
      </c>
      <c r="Q294" s="78"/>
      <c r="R294" s="68">
        <v>656349.28999999992</v>
      </c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</row>
    <row r="295" spans="1:48" ht="14.1" customHeight="1" x14ac:dyDescent="0.2">
      <c r="A295" s="84">
        <v>4</v>
      </c>
      <c r="B295" s="596"/>
      <c r="C295" s="607">
        <v>34233</v>
      </c>
      <c r="D295" s="84" t="s">
        <v>206</v>
      </c>
      <c r="F295" s="87">
        <v>3.6000000000000005</v>
      </c>
      <c r="G295" s="88"/>
      <c r="H295" s="68">
        <v>3389689.5699999994</v>
      </c>
      <c r="I295" s="89"/>
      <c r="J295" s="68">
        <v>0</v>
      </c>
      <c r="K295" s="78"/>
      <c r="L295" s="68">
        <v>0</v>
      </c>
      <c r="M295" s="78"/>
      <c r="N295" s="68">
        <v>0</v>
      </c>
      <c r="O295" s="78"/>
      <c r="P295" s="68">
        <v>3389689.5699999994</v>
      </c>
      <c r="Q295" s="78"/>
      <c r="R295" s="68">
        <v>3389689.57</v>
      </c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</row>
    <row r="296" spans="1:48" ht="14.1" customHeight="1" x14ac:dyDescent="0.2">
      <c r="A296" s="84">
        <v>5</v>
      </c>
      <c r="B296" s="596"/>
      <c r="C296" s="607">
        <v>34333</v>
      </c>
      <c r="D296" s="84" t="s">
        <v>207</v>
      </c>
      <c r="F296" s="87">
        <v>4</v>
      </c>
      <c r="G296" s="88"/>
      <c r="H296" s="68">
        <v>15404911.710000001</v>
      </c>
      <c r="I296" s="89"/>
      <c r="J296" s="68">
        <v>17259.55</v>
      </c>
      <c r="K296" s="78"/>
      <c r="L296" s="68">
        <v>0</v>
      </c>
      <c r="M296" s="78"/>
      <c r="N296" s="68">
        <v>0</v>
      </c>
      <c r="O296" s="78"/>
      <c r="P296" s="68">
        <v>15422171.260000002</v>
      </c>
      <c r="Q296" s="78"/>
      <c r="R296" s="68">
        <v>15414864.459230768</v>
      </c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</row>
    <row r="297" spans="1:48" ht="14.1" customHeight="1" x14ac:dyDescent="0.2">
      <c r="A297" s="84">
        <v>6</v>
      </c>
      <c r="B297" s="596"/>
      <c r="C297" s="607">
        <v>34533</v>
      </c>
      <c r="D297" s="84" t="s">
        <v>164</v>
      </c>
      <c r="F297" s="87">
        <v>4</v>
      </c>
      <c r="G297" s="88"/>
      <c r="H297" s="68">
        <v>13827970.850000001</v>
      </c>
      <c r="I297" s="89"/>
      <c r="J297" s="68">
        <v>138365.88999999998</v>
      </c>
      <c r="K297" s="78"/>
      <c r="L297" s="68">
        <v>0</v>
      </c>
      <c r="M297" s="78"/>
      <c r="N297" s="68">
        <v>0</v>
      </c>
      <c r="O297" s="78"/>
      <c r="P297" s="68">
        <v>13966336.740000002</v>
      </c>
      <c r="Q297" s="78"/>
      <c r="R297" s="68">
        <v>13946339.220769238</v>
      </c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</row>
    <row r="298" spans="1:48" ht="14.1" customHeight="1" x14ac:dyDescent="0.2">
      <c r="A298" s="84">
        <v>7</v>
      </c>
      <c r="B298" s="596"/>
      <c r="C298" s="607">
        <v>34633</v>
      </c>
      <c r="D298" s="84" t="s">
        <v>165</v>
      </c>
      <c r="F298" s="87">
        <v>4</v>
      </c>
      <c r="G298" s="88"/>
      <c r="H298" s="68">
        <v>904.61</v>
      </c>
      <c r="I298" s="89"/>
      <c r="J298" s="68">
        <v>0</v>
      </c>
      <c r="K298" s="78"/>
      <c r="L298" s="68">
        <v>0</v>
      </c>
      <c r="M298" s="78"/>
      <c r="N298" s="68">
        <v>0</v>
      </c>
      <c r="O298" s="78"/>
      <c r="P298" s="68">
        <v>904.61</v>
      </c>
      <c r="Q298" s="78"/>
      <c r="R298" s="68">
        <v>904.61</v>
      </c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</row>
    <row r="299" spans="1:48" ht="14.1" customHeight="1" x14ac:dyDescent="0.2">
      <c r="A299" s="84">
        <v>8</v>
      </c>
      <c r="B299" s="596"/>
      <c r="D299" s="616" t="s">
        <v>231</v>
      </c>
      <c r="F299" s="87"/>
      <c r="H299" s="90">
        <v>33279826.030000001</v>
      </c>
      <c r="I299" s="93"/>
      <c r="J299" s="90">
        <v>155625.43999999997</v>
      </c>
      <c r="K299" s="93"/>
      <c r="L299" s="90">
        <v>0</v>
      </c>
      <c r="M299" s="93"/>
      <c r="N299" s="90">
        <v>0</v>
      </c>
      <c r="O299" s="93"/>
      <c r="P299" s="90">
        <v>33435451.470000003</v>
      </c>
      <c r="Q299" s="93"/>
      <c r="R299" s="90">
        <v>33408147.150000006</v>
      </c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</row>
    <row r="300" spans="1:48" ht="14.1" customHeight="1" x14ac:dyDescent="0.2">
      <c r="A300" s="84">
        <v>9</v>
      </c>
      <c r="B300" s="59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</row>
    <row r="301" spans="1:48" ht="14.1" customHeight="1" x14ac:dyDescent="0.2">
      <c r="A301" s="84">
        <v>10</v>
      </c>
      <c r="B301" s="596"/>
      <c r="C301" s="237"/>
      <c r="D301" s="616" t="s">
        <v>232</v>
      </c>
      <c r="I301" s="93"/>
      <c r="K301" s="93"/>
      <c r="M301" s="93"/>
      <c r="O301" s="93"/>
      <c r="Q301" s="93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</row>
    <row r="302" spans="1:48" ht="14.1" customHeight="1" x14ac:dyDescent="0.2">
      <c r="A302" s="84">
        <v>11</v>
      </c>
      <c r="B302" s="596"/>
      <c r="C302" s="607">
        <v>34134</v>
      </c>
      <c r="D302" s="84" t="s">
        <v>161</v>
      </c>
      <c r="F302" s="87">
        <v>2.6</v>
      </c>
      <c r="G302" s="88"/>
      <c r="H302" s="68">
        <v>242333.96</v>
      </c>
      <c r="I302" s="89"/>
      <c r="J302" s="68">
        <v>0</v>
      </c>
      <c r="K302" s="78"/>
      <c r="L302" s="68">
        <v>0</v>
      </c>
      <c r="M302" s="78"/>
      <c r="N302" s="68">
        <v>0</v>
      </c>
      <c r="O302" s="78"/>
      <c r="P302" s="68">
        <v>242333.96</v>
      </c>
      <c r="Q302" s="78"/>
      <c r="R302" s="68">
        <v>242333.96</v>
      </c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</row>
    <row r="303" spans="1:48" ht="14.1" customHeight="1" x14ac:dyDescent="0.2">
      <c r="A303" s="84">
        <v>12</v>
      </c>
      <c r="B303" s="596"/>
      <c r="C303" s="607">
        <v>34234</v>
      </c>
      <c r="D303" s="84" t="s">
        <v>206</v>
      </c>
      <c r="F303" s="87">
        <v>3.6000000000000005</v>
      </c>
      <c r="G303" s="88"/>
      <c r="H303" s="68">
        <v>3362086.7600000002</v>
      </c>
      <c r="I303" s="89"/>
      <c r="J303" s="68">
        <v>0</v>
      </c>
      <c r="K303" s="78"/>
      <c r="L303" s="68">
        <v>0</v>
      </c>
      <c r="M303" s="78"/>
      <c r="N303" s="68">
        <v>0</v>
      </c>
      <c r="O303" s="78"/>
      <c r="P303" s="68">
        <v>3362086.7600000002</v>
      </c>
      <c r="Q303" s="78"/>
      <c r="R303" s="68">
        <v>3362086.7600000002</v>
      </c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</row>
    <row r="304" spans="1:48" ht="14.1" customHeight="1" x14ac:dyDescent="0.2">
      <c r="A304" s="84">
        <v>13</v>
      </c>
      <c r="B304" s="596"/>
      <c r="C304" s="607">
        <v>34334</v>
      </c>
      <c r="D304" s="84" t="s">
        <v>207</v>
      </c>
      <c r="F304" s="87">
        <v>4</v>
      </c>
      <c r="G304" s="88"/>
      <c r="H304" s="68">
        <v>15819544.6</v>
      </c>
      <c r="I304" s="89"/>
      <c r="J304" s="68">
        <v>20375.629999999997</v>
      </c>
      <c r="K304" s="78"/>
      <c r="L304" s="68">
        <v>0</v>
      </c>
      <c r="M304" s="78"/>
      <c r="N304" s="68">
        <v>0</v>
      </c>
      <c r="O304" s="78"/>
      <c r="P304" s="68">
        <v>15839920.23</v>
      </c>
      <c r="Q304" s="78"/>
      <c r="R304" s="68">
        <v>15832259.473846151</v>
      </c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</row>
    <row r="305" spans="1:48" ht="14.1" customHeight="1" x14ac:dyDescent="0.2">
      <c r="A305" s="84">
        <v>14</v>
      </c>
      <c r="B305" s="596"/>
      <c r="C305" s="607">
        <v>34534</v>
      </c>
      <c r="D305" s="84" t="s">
        <v>164</v>
      </c>
      <c r="F305" s="87">
        <v>4</v>
      </c>
      <c r="G305" s="88"/>
      <c r="H305" s="68">
        <v>4041455.86</v>
      </c>
      <c r="I305" s="89"/>
      <c r="J305" s="68">
        <v>0</v>
      </c>
      <c r="K305" s="78"/>
      <c r="L305" s="68">
        <v>0</v>
      </c>
      <c r="M305" s="78"/>
      <c r="N305" s="68">
        <v>0</v>
      </c>
      <c r="O305" s="78"/>
      <c r="P305" s="68">
        <v>4041455.86</v>
      </c>
      <c r="Q305" s="78"/>
      <c r="R305" s="68">
        <v>4041455.86</v>
      </c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</row>
    <row r="306" spans="1:48" ht="14.1" customHeight="1" x14ac:dyDescent="0.2">
      <c r="A306" s="84">
        <v>15</v>
      </c>
      <c r="B306" s="596"/>
      <c r="C306" s="607">
        <v>34634</v>
      </c>
      <c r="D306" s="84" t="s">
        <v>165</v>
      </c>
      <c r="F306" s="87">
        <v>4</v>
      </c>
      <c r="G306" s="88"/>
      <c r="H306" s="68">
        <v>904.61</v>
      </c>
      <c r="I306" s="89"/>
      <c r="J306" s="68">
        <v>0</v>
      </c>
      <c r="K306" s="78"/>
      <c r="L306" s="68">
        <v>0</v>
      </c>
      <c r="M306" s="78"/>
      <c r="N306" s="68">
        <v>0</v>
      </c>
      <c r="O306" s="78"/>
      <c r="P306" s="68">
        <v>904.61</v>
      </c>
      <c r="Q306" s="78"/>
      <c r="R306" s="68">
        <v>904.61</v>
      </c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</row>
    <row r="307" spans="1:48" ht="14.1" customHeight="1" x14ac:dyDescent="0.2">
      <c r="A307" s="84">
        <v>16</v>
      </c>
      <c r="B307" s="596"/>
      <c r="C307" s="237"/>
      <c r="D307" s="616" t="s">
        <v>233</v>
      </c>
      <c r="F307" s="87"/>
      <c r="H307" s="90">
        <v>23466325.789999999</v>
      </c>
      <c r="I307" s="93"/>
      <c r="J307" s="90">
        <v>20375.629999999997</v>
      </c>
      <c r="K307" s="93"/>
      <c r="L307" s="90">
        <v>0</v>
      </c>
      <c r="M307" s="93"/>
      <c r="N307" s="90">
        <v>0</v>
      </c>
      <c r="O307" s="93"/>
      <c r="P307" s="90">
        <v>23486701.419999998</v>
      </c>
      <c r="Q307" s="93"/>
      <c r="R307" s="90">
        <v>23479040.66384615</v>
      </c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</row>
    <row r="308" spans="1:48" ht="14.1" customHeight="1" x14ac:dyDescent="0.2">
      <c r="A308" s="84">
        <v>17</v>
      </c>
      <c r="B308" s="59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</row>
    <row r="309" spans="1:48" ht="14.1" customHeight="1" x14ac:dyDescent="0.2">
      <c r="A309" s="84">
        <v>18</v>
      </c>
      <c r="B309" s="596"/>
      <c r="C309" s="620"/>
      <c r="D309" s="616" t="s">
        <v>234</v>
      </c>
      <c r="E309" s="237"/>
      <c r="F309" s="643"/>
      <c r="G309" s="643"/>
      <c r="H309" s="643"/>
      <c r="I309" s="645"/>
      <c r="J309" s="643"/>
      <c r="K309" s="645"/>
      <c r="L309" s="645"/>
      <c r="M309" s="607"/>
      <c r="N309" s="607"/>
      <c r="O309" s="607"/>
      <c r="P309" s="607"/>
      <c r="Q309" s="607"/>
      <c r="R309" s="607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</row>
    <row r="310" spans="1:48" ht="14.1" customHeight="1" x14ac:dyDescent="0.2">
      <c r="A310" s="84">
        <v>19</v>
      </c>
      <c r="B310" s="596"/>
      <c r="C310" s="607">
        <v>34135</v>
      </c>
      <c r="D310" s="84" t="s">
        <v>161</v>
      </c>
      <c r="E310" s="237"/>
      <c r="F310" s="87">
        <v>2.6</v>
      </c>
      <c r="G310" s="88"/>
      <c r="H310" s="68">
        <v>784616.31</v>
      </c>
      <c r="I310" s="89"/>
      <c r="J310" s="68">
        <v>8497.9500000000007</v>
      </c>
      <c r="K310" s="78"/>
      <c r="L310" s="68">
        <v>0</v>
      </c>
      <c r="M310" s="78"/>
      <c r="N310" s="68">
        <v>0</v>
      </c>
      <c r="O310" s="78"/>
      <c r="P310" s="68">
        <v>793114.26</v>
      </c>
      <c r="Q310" s="78"/>
      <c r="R310" s="68">
        <v>785923.6869230771</v>
      </c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</row>
    <row r="311" spans="1:48" ht="14.1" customHeight="1" x14ac:dyDescent="0.2">
      <c r="A311" s="84">
        <v>20</v>
      </c>
      <c r="B311" s="596"/>
      <c r="C311" s="607">
        <v>34235</v>
      </c>
      <c r="D311" s="84" t="s">
        <v>206</v>
      </c>
      <c r="E311" s="237"/>
      <c r="F311" s="87">
        <v>3.6000000000000005</v>
      </c>
      <c r="G311" s="88"/>
      <c r="H311" s="68">
        <v>2008466.75</v>
      </c>
      <c r="I311" s="89"/>
      <c r="J311" s="68">
        <v>0</v>
      </c>
      <c r="K311" s="78"/>
      <c r="L311" s="68">
        <v>0</v>
      </c>
      <c r="M311" s="78"/>
      <c r="N311" s="68">
        <v>0</v>
      </c>
      <c r="O311" s="78"/>
      <c r="P311" s="68">
        <v>2008466.75</v>
      </c>
      <c r="Q311" s="78"/>
      <c r="R311" s="68">
        <v>2008466.75</v>
      </c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</row>
    <row r="312" spans="1:48" ht="14.1" customHeight="1" x14ac:dyDescent="0.2">
      <c r="A312" s="84">
        <v>21</v>
      </c>
      <c r="B312" s="596"/>
      <c r="C312" s="607">
        <v>34335</v>
      </c>
      <c r="D312" s="84" t="s">
        <v>207</v>
      </c>
      <c r="E312" s="237"/>
      <c r="F312" s="87">
        <v>4</v>
      </c>
      <c r="G312" s="88"/>
      <c r="H312" s="68">
        <v>18579405.75</v>
      </c>
      <c r="I312" s="89"/>
      <c r="J312" s="68">
        <v>8883.2100000000009</v>
      </c>
      <c r="K312" s="78"/>
      <c r="L312" s="68">
        <v>0</v>
      </c>
      <c r="M312" s="78"/>
      <c r="N312" s="68">
        <v>0</v>
      </c>
      <c r="O312" s="78"/>
      <c r="P312" s="68">
        <v>18588288.960000001</v>
      </c>
      <c r="Q312" s="78"/>
      <c r="R312" s="68">
        <v>18584830.868461542</v>
      </c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</row>
    <row r="313" spans="1:48" ht="14.1" customHeight="1" x14ac:dyDescent="0.2">
      <c r="A313" s="84">
        <v>22</v>
      </c>
      <c r="B313" s="596"/>
      <c r="C313" s="607">
        <v>34535</v>
      </c>
      <c r="D313" s="84" t="s">
        <v>164</v>
      </c>
      <c r="E313" s="237"/>
      <c r="F313" s="87">
        <v>4</v>
      </c>
      <c r="G313" s="88"/>
      <c r="H313" s="68">
        <v>10147530.66</v>
      </c>
      <c r="I313" s="89"/>
      <c r="J313" s="68">
        <v>0</v>
      </c>
      <c r="K313" s="78"/>
      <c r="L313" s="68">
        <v>0</v>
      </c>
      <c r="M313" s="78"/>
      <c r="N313" s="68">
        <v>0</v>
      </c>
      <c r="O313" s="78"/>
      <c r="P313" s="68">
        <v>10147530.66</v>
      </c>
      <c r="Q313" s="78"/>
      <c r="R313" s="68">
        <v>10147530.659999998</v>
      </c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</row>
    <row r="314" spans="1:48" ht="14.1" customHeight="1" x14ac:dyDescent="0.2">
      <c r="A314" s="84">
        <v>23</v>
      </c>
      <c r="B314" s="596"/>
      <c r="C314" s="607">
        <v>34635</v>
      </c>
      <c r="D314" s="84" t="s">
        <v>165</v>
      </c>
      <c r="F314" s="87">
        <v>4</v>
      </c>
      <c r="G314" s="88"/>
      <c r="H314" s="68">
        <v>0</v>
      </c>
      <c r="I314" s="89"/>
      <c r="J314" s="68">
        <v>0</v>
      </c>
      <c r="K314" s="78"/>
      <c r="L314" s="68">
        <v>0</v>
      </c>
      <c r="M314" s="78"/>
      <c r="N314" s="68">
        <v>0</v>
      </c>
      <c r="O314" s="78"/>
      <c r="P314" s="68">
        <v>0</v>
      </c>
      <c r="Q314" s="78"/>
      <c r="R314" s="68">
        <v>0</v>
      </c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</row>
    <row r="315" spans="1:48" ht="14.1" customHeight="1" x14ac:dyDescent="0.2">
      <c r="A315" s="84">
        <v>24</v>
      </c>
      <c r="B315" s="596"/>
      <c r="C315" s="237"/>
      <c r="D315" s="616" t="s">
        <v>235</v>
      </c>
      <c r="E315" s="237"/>
      <c r="F315" s="87"/>
      <c r="H315" s="90">
        <v>31520019.469999999</v>
      </c>
      <c r="I315" s="93"/>
      <c r="J315" s="90">
        <v>17381.160000000003</v>
      </c>
      <c r="K315" s="93"/>
      <c r="L315" s="90">
        <v>0</v>
      </c>
      <c r="M315" s="93"/>
      <c r="N315" s="90">
        <v>0</v>
      </c>
      <c r="O315" s="93"/>
      <c r="P315" s="90">
        <v>31537400.629999999</v>
      </c>
      <c r="Q315" s="93"/>
      <c r="R315" s="90">
        <v>31526751.965384617</v>
      </c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</row>
    <row r="316" spans="1:48" ht="14.1" customHeight="1" x14ac:dyDescent="0.2">
      <c r="A316" s="84">
        <v>25</v>
      </c>
      <c r="B316" s="59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</row>
    <row r="317" spans="1:48" ht="14.1" customHeight="1" x14ac:dyDescent="0.2">
      <c r="A317" s="84">
        <v>26</v>
      </c>
      <c r="B317" s="596"/>
      <c r="C317" s="237"/>
      <c r="D317" s="616" t="s">
        <v>236</v>
      </c>
      <c r="I317" s="93"/>
      <c r="K317" s="93"/>
      <c r="M317" s="93"/>
      <c r="O317" s="93"/>
      <c r="Q317" s="93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</row>
    <row r="318" spans="1:48" ht="14.1" customHeight="1" x14ac:dyDescent="0.2">
      <c r="A318" s="84">
        <v>27</v>
      </c>
      <c r="B318" s="596"/>
      <c r="C318" s="607">
        <v>34136</v>
      </c>
      <c r="D318" s="84" t="s">
        <v>161</v>
      </c>
      <c r="F318" s="87">
        <v>2.6</v>
      </c>
      <c r="G318" s="88"/>
      <c r="H318" s="68">
        <v>2656231.54</v>
      </c>
      <c r="I318" s="89"/>
      <c r="J318" s="68">
        <v>0</v>
      </c>
      <c r="K318" s="78"/>
      <c r="L318" s="68">
        <v>0</v>
      </c>
      <c r="M318" s="78"/>
      <c r="N318" s="68">
        <v>0</v>
      </c>
      <c r="O318" s="78"/>
      <c r="P318" s="68">
        <v>2656231.54</v>
      </c>
      <c r="Q318" s="78"/>
      <c r="R318" s="68">
        <v>2656231.5399999996</v>
      </c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</row>
    <row r="319" spans="1:48" ht="14.1" customHeight="1" x14ac:dyDescent="0.2">
      <c r="A319" s="84">
        <v>28</v>
      </c>
      <c r="B319" s="596"/>
      <c r="C319" s="607">
        <v>34236</v>
      </c>
      <c r="D319" s="84" t="s">
        <v>206</v>
      </c>
      <c r="F319" s="87">
        <v>3.6000000000000005</v>
      </c>
      <c r="G319" s="88"/>
      <c r="H319" s="68">
        <v>1537279.06</v>
      </c>
      <c r="I319" s="89"/>
      <c r="J319" s="68">
        <v>0</v>
      </c>
      <c r="K319" s="78"/>
      <c r="L319" s="68">
        <v>0</v>
      </c>
      <c r="M319" s="78"/>
      <c r="N319" s="68">
        <v>0</v>
      </c>
      <c r="O319" s="78"/>
      <c r="P319" s="68">
        <v>1537279.06</v>
      </c>
      <c r="Q319" s="78"/>
      <c r="R319" s="68">
        <v>1537279.06</v>
      </c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</row>
    <row r="320" spans="1:48" ht="14.1" customHeight="1" x14ac:dyDescent="0.2">
      <c r="A320" s="84">
        <v>29</v>
      </c>
      <c r="B320" s="596"/>
      <c r="C320" s="607">
        <v>34336</v>
      </c>
      <c r="D320" s="84" t="s">
        <v>207</v>
      </c>
      <c r="F320" s="87">
        <v>4</v>
      </c>
      <c r="G320" s="88"/>
      <c r="H320" s="68">
        <v>17471364.25</v>
      </c>
      <c r="I320" s="89"/>
      <c r="J320" s="68">
        <v>7565.0400000000009</v>
      </c>
      <c r="K320" s="78"/>
      <c r="L320" s="68">
        <v>0</v>
      </c>
      <c r="M320" s="78"/>
      <c r="N320" s="68">
        <v>0</v>
      </c>
      <c r="O320" s="78"/>
      <c r="P320" s="68">
        <v>17478929.289999999</v>
      </c>
      <c r="Q320" s="78"/>
      <c r="R320" s="68">
        <v>17475423.77615384</v>
      </c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</row>
    <row r="321" spans="1:48" ht="14.1" customHeight="1" x14ac:dyDescent="0.2">
      <c r="A321" s="84">
        <v>30</v>
      </c>
      <c r="B321" s="596"/>
      <c r="C321" s="607">
        <v>34536</v>
      </c>
      <c r="D321" s="84" t="s">
        <v>164</v>
      </c>
      <c r="F321" s="87">
        <v>4</v>
      </c>
      <c r="G321" s="88"/>
      <c r="H321" s="68">
        <v>14209231.789999999</v>
      </c>
      <c r="I321" s="89"/>
      <c r="J321" s="68">
        <v>0</v>
      </c>
      <c r="K321" s="78"/>
      <c r="L321" s="68">
        <v>0</v>
      </c>
      <c r="M321" s="78"/>
      <c r="N321" s="68">
        <v>0</v>
      </c>
      <c r="O321" s="78"/>
      <c r="P321" s="68">
        <v>14209231.789999999</v>
      </c>
      <c r="Q321" s="78"/>
      <c r="R321" s="68">
        <v>14209231.789999994</v>
      </c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</row>
    <row r="322" spans="1:48" ht="14.1" customHeight="1" x14ac:dyDescent="0.2">
      <c r="A322" s="84">
        <v>31</v>
      </c>
      <c r="B322" s="596"/>
      <c r="C322" s="607">
        <v>34636</v>
      </c>
      <c r="D322" s="84" t="s">
        <v>165</v>
      </c>
      <c r="F322" s="87">
        <v>4</v>
      </c>
      <c r="G322" s="88"/>
      <c r="H322" s="68">
        <v>11736.48</v>
      </c>
      <c r="I322" s="89"/>
      <c r="J322" s="68">
        <v>0</v>
      </c>
      <c r="K322" s="78"/>
      <c r="L322" s="68">
        <v>0</v>
      </c>
      <c r="M322" s="78"/>
      <c r="N322" s="68">
        <v>0</v>
      </c>
      <c r="O322" s="78"/>
      <c r="P322" s="68">
        <v>11736.48</v>
      </c>
      <c r="Q322" s="78"/>
      <c r="R322" s="68">
        <v>11736.48</v>
      </c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</row>
    <row r="323" spans="1:48" ht="14.1" customHeight="1" x14ac:dyDescent="0.2">
      <c r="A323" s="84">
        <v>32</v>
      </c>
      <c r="B323" s="596"/>
      <c r="C323" s="237"/>
      <c r="D323" s="616" t="s">
        <v>237</v>
      </c>
      <c r="F323" s="87"/>
      <c r="H323" s="90">
        <v>35885843.119999997</v>
      </c>
      <c r="I323" s="93"/>
      <c r="J323" s="90">
        <v>7565.0400000000009</v>
      </c>
      <c r="K323" s="93"/>
      <c r="L323" s="90">
        <v>0</v>
      </c>
      <c r="M323" s="93"/>
      <c r="N323" s="90">
        <v>0</v>
      </c>
      <c r="O323" s="93"/>
      <c r="P323" s="90">
        <v>35893408.159999996</v>
      </c>
      <c r="Q323" s="93"/>
      <c r="R323" s="90">
        <v>35889902.64615383</v>
      </c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</row>
    <row r="324" spans="1:48" ht="14.1" customHeight="1" x14ac:dyDescent="0.2">
      <c r="A324" s="84">
        <v>33</v>
      </c>
      <c r="B324" s="59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</row>
    <row r="325" spans="1:48" ht="14.1" customHeight="1" x14ac:dyDescent="0.2">
      <c r="A325" s="84">
        <v>34</v>
      </c>
      <c r="B325" s="596"/>
      <c r="C325" s="607">
        <v>34637</v>
      </c>
      <c r="D325" s="84" t="s">
        <v>238</v>
      </c>
      <c r="F325" s="87">
        <v>14.3</v>
      </c>
      <c r="H325" s="68">
        <v>652409.05999999982</v>
      </c>
      <c r="I325" s="89"/>
      <c r="J325" s="68">
        <v>54020.37000000001</v>
      </c>
      <c r="K325" s="78"/>
      <c r="L325" s="68">
        <v>-3814.44</v>
      </c>
      <c r="M325" s="78"/>
      <c r="N325" s="68">
        <v>0</v>
      </c>
      <c r="O325" s="78"/>
      <c r="P325" s="68">
        <v>702614.98999999987</v>
      </c>
      <c r="Q325" s="78"/>
      <c r="R325" s="68">
        <v>689976.48923076899</v>
      </c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</row>
    <row r="326" spans="1:48" ht="14.1" customHeight="1" x14ac:dyDescent="0.2">
      <c r="A326" s="84">
        <v>35</v>
      </c>
      <c r="B326" s="59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</row>
    <row r="327" spans="1:48" ht="14.1" customHeight="1" thickBot="1" x14ac:dyDescent="0.25">
      <c r="A327" s="84">
        <v>36</v>
      </c>
      <c r="B327" s="596"/>
      <c r="D327" s="84" t="s">
        <v>73</v>
      </c>
      <c r="F327" s="87"/>
      <c r="H327" s="55">
        <v>1103320376.74</v>
      </c>
      <c r="I327" s="93"/>
      <c r="J327" s="55">
        <v>8661120.5199999996</v>
      </c>
      <c r="K327" s="93"/>
      <c r="L327" s="55">
        <v>-1404050.79</v>
      </c>
      <c r="M327" s="93"/>
      <c r="N327" s="55">
        <v>0</v>
      </c>
      <c r="O327" s="93"/>
      <c r="P327" s="55">
        <v>1110577446.4700005</v>
      </c>
      <c r="Q327" s="93"/>
      <c r="R327" s="55">
        <v>1107185667.0530772</v>
      </c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</row>
    <row r="328" spans="1:48" ht="14.1" customHeight="1" thickTop="1" x14ac:dyDescent="0.2">
      <c r="A328" s="84">
        <v>37</v>
      </c>
      <c r="B328" s="596"/>
      <c r="F328" s="87"/>
      <c r="H328" s="75"/>
      <c r="I328" s="93"/>
      <c r="J328" s="75"/>
      <c r="K328" s="93"/>
      <c r="L328" s="75"/>
      <c r="M328" s="93"/>
      <c r="N328" s="75"/>
      <c r="O328" s="93"/>
      <c r="P328" s="75"/>
      <c r="Q328" s="93"/>
      <c r="R328" s="75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</row>
    <row r="329" spans="1:48" ht="14.1" customHeight="1" x14ac:dyDescent="0.2">
      <c r="A329" s="84">
        <v>38</v>
      </c>
      <c r="B329" s="596"/>
      <c r="F329" s="87"/>
      <c r="H329" s="75"/>
      <c r="I329" s="93"/>
      <c r="J329" s="75"/>
      <c r="K329" s="93"/>
      <c r="L329" s="75"/>
      <c r="M329" s="93"/>
      <c r="N329" s="75"/>
      <c r="O329" s="93"/>
      <c r="P329" s="75"/>
      <c r="Q329" s="93"/>
      <c r="R329" s="75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</row>
    <row r="330" spans="1:48" ht="14.1" customHeight="1" x14ac:dyDescent="0.2">
      <c r="A330" s="84">
        <v>39</v>
      </c>
      <c r="B330" s="596"/>
      <c r="F330" s="87"/>
      <c r="H330" s="75"/>
      <c r="I330" s="93"/>
      <c r="J330" s="75"/>
      <c r="K330" s="93"/>
      <c r="L330" s="75"/>
      <c r="M330" s="93"/>
      <c r="N330" s="75"/>
      <c r="O330" s="93"/>
      <c r="P330" s="75"/>
      <c r="Q330" s="93"/>
      <c r="R330" s="75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</row>
    <row r="331" spans="1:48" ht="14.1" customHeight="1" x14ac:dyDescent="0.2">
      <c r="A331" s="84">
        <v>40</v>
      </c>
      <c r="B331" s="596"/>
      <c r="F331" s="87"/>
      <c r="H331" s="75"/>
      <c r="I331" s="93"/>
      <c r="J331" s="75"/>
      <c r="K331" s="93"/>
      <c r="L331" s="75"/>
      <c r="M331" s="93"/>
      <c r="N331" s="75"/>
      <c r="O331" s="93"/>
      <c r="P331" s="75"/>
      <c r="Q331" s="93"/>
      <c r="R331" s="75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</row>
    <row r="332" spans="1:48" ht="14.1" customHeight="1" x14ac:dyDescent="0.2">
      <c r="A332" s="84">
        <v>41</v>
      </c>
      <c r="B332" s="596"/>
      <c r="F332" s="87"/>
      <c r="H332" s="75"/>
      <c r="I332" s="93"/>
      <c r="J332" s="75"/>
      <c r="K332" s="93"/>
      <c r="L332" s="75"/>
      <c r="M332" s="93"/>
      <c r="N332" s="75"/>
      <c r="O332" s="93"/>
      <c r="P332" s="75"/>
      <c r="Q332" s="93"/>
      <c r="R332" s="75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</row>
    <row r="333" spans="1:48" ht="14.1" customHeight="1" x14ac:dyDescent="0.2">
      <c r="A333" s="84">
        <v>42</v>
      </c>
      <c r="B333" s="59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</row>
    <row r="334" spans="1:48" ht="14.1" customHeight="1" x14ac:dyDescent="0.2">
      <c r="A334" s="84">
        <v>43</v>
      </c>
      <c r="B334" s="59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</row>
    <row r="335" spans="1:48" ht="14.1" customHeight="1" thickBot="1" x14ac:dyDescent="0.25">
      <c r="A335" s="114">
        <v>44</v>
      </c>
      <c r="B335" s="343" t="s">
        <v>186</v>
      </c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</row>
    <row r="336" spans="1:48" ht="14.1" customHeight="1" x14ac:dyDescent="0.2">
      <c r="A336" s="84" t="s">
        <v>60</v>
      </c>
      <c r="P336" s="84" t="s">
        <v>60</v>
      </c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</row>
    <row r="337" spans="1:48" ht="14.1" customHeight="1" thickBot="1" x14ac:dyDescent="0.25">
      <c r="A337" s="114" t="s">
        <v>127</v>
      </c>
      <c r="B337" s="114"/>
      <c r="C337" s="114"/>
      <c r="D337" s="114"/>
      <c r="E337" s="114"/>
      <c r="F337" s="114"/>
      <c r="G337" s="114" t="s">
        <v>128</v>
      </c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 t="s">
        <v>329</v>
      </c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</row>
    <row r="338" spans="1:48" ht="14.1" customHeight="1" x14ac:dyDescent="0.2">
      <c r="A338" s="84" t="s">
        <v>129</v>
      </c>
      <c r="B338" s="622"/>
      <c r="E338" s="88" t="s">
        <v>130</v>
      </c>
      <c r="F338" s="84" t="s">
        <v>131</v>
      </c>
      <c r="J338" s="623"/>
      <c r="K338" s="623"/>
      <c r="M338" s="623"/>
      <c r="N338" s="623"/>
      <c r="O338" s="623" t="s">
        <v>187</v>
      </c>
      <c r="R338" s="604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</row>
    <row r="339" spans="1:48" ht="14.1" customHeight="1" x14ac:dyDescent="0.2">
      <c r="B339" s="622"/>
      <c r="F339" s="84" t="s">
        <v>133</v>
      </c>
      <c r="J339" s="88"/>
      <c r="K339" s="604"/>
      <c r="N339" s="88"/>
      <c r="O339" s="88" t="s">
        <v>123</v>
      </c>
      <c r="P339" s="604" t="s">
        <v>844</v>
      </c>
      <c r="R339" s="88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</row>
    <row r="340" spans="1:48" ht="14.1" customHeight="1" x14ac:dyDescent="0.2">
      <c r="A340" s="84" t="s">
        <v>134</v>
      </c>
      <c r="B340" s="622"/>
      <c r="F340" s="84" t="s">
        <v>123</v>
      </c>
      <c r="J340" s="88"/>
      <c r="K340" s="604"/>
      <c r="L340" s="88"/>
      <c r="O340" s="88" t="s">
        <v>123</v>
      </c>
      <c r="P340" s="604"/>
      <c r="R340" s="88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</row>
    <row r="341" spans="1:48" ht="14.1" customHeight="1" x14ac:dyDescent="0.2">
      <c r="B341" s="622"/>
      <c r="F341" s="84" t="s">
        <v>123</v>
      </c>
      <c r="J341" s="88"/>
      <c r="K341" s="604"/>
      <c r="L341" s="88"/>
      <c r="O341" s="88" t="s">
        <v>123</v>
      </c>
      <c r="P341" s="604"/>
      <c r="R341" s="88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</row>
    <row r="342" spans="1:48" ht="14.1" customHeight="1" thickBot="1" x14ac:dyDescent="0.25">
      <c r="A342" s="114" t="s">
        <v>135</v>
      </c>
      <c r="B342" s="624"/>
      <c r="C342" s="114"/>
      <c r="D342" s="114"/>
      <c r="E342" s="114"/>
      <c r="F342" s="114" t="s">
        <v>123</v>
      </c>
      <c r="G342" s="114"/>
      <c r="H342" s="606"/>
      <c r="I342" s="114"/>
      <c r="J342" s="114"/>
      <c r="K342" s="114"/>
      <c r="L342" s="114"/>
      <c r="M342" s="114"/>
      <c r="N342" s="114"/>
      <c r="O342" s="114"/>
      <c r="P342" s="625"/>
      <c r="Q342" s="114"/>
      <c r="R342" s="114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</row>
    <row r="343" spans="1:48" ht="14.1" customHeight="1" x14ac:dyDescent="0.2">
      <c r="C343" s="607"/>
      <c r="D343" s="607"/>
      <c r="E343" s="607"/>
      <c r="F343" s="607"/>
      <c r="G343" s="607"/>
      <c r="H343" s="607"/>
      <c r="I343" s="607"/>
      <c r="J343" s="607"/>
      <c r="K343" s="607"/>
      <c r="L343" s="607"/>
      <c r="M343" s="607"/>
      <c r="N343" s="607"/>
      <c r="O343" s="607"/>
      <c r="P343" s="607"/>
      <c r="Q343" s="607"/>
      <c r="R343" s="607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</row>
    <row r="344" spans="1:48" ht="14.1" customHeight="1" x14ac:dyDescent="0.2">
      <c r="C344" s="607" t="s">
        <v>136</v>
      </c>
      <c r="D344" s="607" t="s">
        <v>137</v>
      </c>
      <c r="E344" s="607"/>
      <c r="F344" s="607" t="s">
        <v>138</v>
      </c>
      <c r="G344" s="607"/>
      <c r="H344" s="607" t="s">
        <v>139</v>
      </c>
      <c r="I344" s="607"/>
      <c r="J344" s="237" t="s">
        <v>140</v>
      </c>
      <c r="K344" s="237"/>
      <c r="L344" s="607" t="s">
        <v>141</v>
      </c>
      <c r="M344" s="607"/>
      <c r="N344" s="607" t="s">
        <v>142</v>
      </c>
      <c r="O344" s="607"/>
      <c r="P344" s="607" t="s">
        <v>143</v>
      </c>
      <c r="Q344" s="607"/>
      <c r="R344" s="607" t="s">
        <v>144</v>
      </c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</row>
    <row r="345" spans="1:48" ht="14.1" customHeight="1" x14ac:dyDescent="0.2">
      <c r="C345" s="237" t="s">
        <v>145</v>
      </c>
      <c r="D345" s="237" t="s">
        <v>145</v>
      </c>
      <c r="F345" s="237" t="s">
        <v>6</v>
      </c>
      <c r="G345" s="237"/>
      <c r="H345" s="607" t="s">
        <v>48</v>
      </c>
      <c r="I345" s="237"/>
      <c r="J345" s="607" t="s">
        <v>40</v>
      </c>
      <c r="K345" s="237"/>
      <c r="L345" s="237" t="s">
        <v>40</v>
      </c>
      <c r="M345" s="237"/>
      <c r="P345" s="237" t="s">
        <v>48</v>
      </c>
      <c r="R345" s="237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</row>
    <row r="346" spans="1:48" ht="14.1" customHeight="1" x14ac:dyDescent="0.2">
      <c r="A346" s="84" t="s">
        <v>146</v>
      </c>
      <c r="B346" s="237"/>
      <c r="C346" s="237" t="s">
        <v>147</v>
      </c>
      <c r="D346" s="237" t="s">
        <v>147</v>
      </c>
      <c r="E346" s="607"/>
      <c r="F346" s="237" t="s">
        <v>148</v>
      </c>
      <c r="G346" s="237"/>
      <c r="H346" s="237" t="s">
        <v>149</v>
      </c>
      <c r="I346" s="237"/>
      <c r="J346" s="237" t="s">
        <v>48</v>
      </c>
      <c r="K346" s="607"/>
      <c r="L346" s="237" t="s">
        <v>48</v>
      </c>
      <c r="M346" s="604"/>
      <c r="N346" s="237" t="s">
        <v>150</v>
      </c>
      <c r="O346" s="607"/>
      <c r="P346" s="607" t="s">
        <v>149</v>
      </c>
      <c r="Q346" s="607"/>
      <c r="R346" s="237" t="s">
        <v>151</v>
      </c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</row>
    <row r="347" spans="1:48" ht="14.1" customHeight="1" thickBot="1" x14ac:dyDescent="0.25">
      <c r="A347" s="114" t="s">
        <v>152</v>
      </c>
      <c r="B347" s="606"/>
      <c r="C347" s="606" t="s">
        <v>52</v>
      </c>
      <c r="D347" s="606" t="s">
        <v>153</v>
      </c>
      <c r="E347" s="606"/>
      <c r="F347" s="608" t="s">
        <v>57</v>
      </c>
      <c r="G347" s="608"/>
      <c r="H347" s="608" t="s">
        <v>154</v>
      </c>
      <c r="I347" s="609"/>
      <c r="J347" s="608" t="s">
        <v>155</v>
      </c>
      <c r="K347" s="609"/>
      <c r="L347" s="609" t="s">
        <v>156</v>
      </c>
      <c r="M347" s="610"/>
      <c r="N347" s="610" t="s">
        <v>157</v>
      </c>
      <c r="O347" s="610"/>
      <c r="P347" s="610" t="s">
        <v>158</v>
      </c>
      <c r="Q347" s="610"/>
      <c r="R347" s="610" t="s">
        <v>3</v>
      </c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</row>
    <row r="348" spans="1:48" ht="14.1" customHeight="1" x14ac:dyDescent="0.2">
      <c r="A348" s="84">
        <v>1</v>
      </c>
      <c r="B348" s="59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</row>
    <row r="349" spans="1:48" ht="14.1" customHeight="1" x14ac:dyDescent="0.2">
      <c r="A349" s="84">
        <v>2</v>
      </c>
      <c r="B349" s="596"/>
      <c r="D349" s="617" t="s">
        <v>841</v>
      </c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</row>
    <row r="350" spans="1:48" s="599" customFormat="1" ht="14.1" customHeight="1" x14ac:dyDescent="0.2">
      <c r="A350" s="84">
        <v>3</v>
      </c>
      <c r="B350" s="596"/>
      <c r="C350" s="237">
        <v>34199</v>
      </c>
      <c r="D350" s="84" t="s">
        <v>239</v>
      </c>
      <c r="E350" s="84"/>
      <c r="F350" s="237">
        <v>3.3</v>
      </c>
      <c r="G350" s="84"/>
      <c r="H350" s="68">
        <v>42605299.660000004</v>
      </c>
      <c r="I350" s="84"/>
      <c r="J350" s="68">
        <v>133470056.28000003</v>
      </c>
      <c r="K350" s="84"/>
      <c r="L350" s="68">
        <v>0</v>
      </c>
      <c r="M350" s="84"/>
      <c r="N350" s="68">
        <v>0</v>
      </c>
      <c r="O350" s="78"/>
      <c r="P350" s="68">
        <v>176075355.94000003</v>
      </c>
      <c r="Q350" s="78"/>
      <c r="R350" s="68">
        <v>153506930.72153848</v>
      </c>
      <c r="S350" s="84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</row>
    <row r="351" spans="1:48" ht="14.1" customHeight="1" x14ac:dyDescent="0.2">
      <c r="A351" s="84">
        <v>4</v>
      </c>
      <c r="B351" s="596"/>
      <c r="C351" s="607">
        <v>34399</v>
      </c>
      <c r="D351" s="84" t="s">
        <v>240</v>
      </c>
      <c r="F351" s="87">
        <v>3.3</v>
      </c>
      <c r="H351" s="68">
        <v>142799342.94000003</v>
      </c>
      <c r="I351" s="89"/>
      <c r="J351" s="68">
        <v>130057418.79999998</v>
      </c>
      <c r="K351" s="78"/>
      <c r="L351" s="68">
        <v>0</v>
      </c>
      <c r="M351" s="78"/>
      <c r="N351" s="68">
        <v>0</v>
      </c>
      <c r="O351" s="78"/>
      <c r="P351" s="68">
        <v>272856761.74000001</v>
      </c>
      <c r="Q351" s="78"/>
      <c r="R351" s="68">
        <v>255735777.22384626</v>
      </c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</row>
    <row r="352" spans="1:48" ht="14.1" customHeight="1" x14ac:dyDescent="0.2">
      <c r="A352" s="84">
        <v>5</v>
      </c>
      <c r="B352" s="596"/>
      <c r="C352" s="607">
        <v>34599</v>
      </c>
      <c r="D352" s="84" t="s">
        <v>241</v>
      </c>
      <c r="F352" s="87">
        <v>3.3</v>
      </c>
      <c r="H352" s="68">
        <v>42037763.730000004</v>
      </c>
      <c r="I352" s="89"/>
      <c r="J352" s="68">
        <v>54219434.170000002</v>
      </c>
      <c r="K352" s="78"/>
      <c r="L352" s="68">
        <v>0</v>
      </c>
      <c r="M352" s="78"/>
      <c r="N352" s="68">
        <v>0</v>
      </c>
      <c r="O352" s="78"/>
      <c r="P352" s="68">
        <v>96257197.900000006</v>
      </c>
      <c r="Q352" s="78"/>
      <c r="R352" s="68">
        <v>90760286.08769232</v>
      </c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</row>
    <row r="353" spans="1:48" ht="14.1" customHeight="1" x14ac:dyDescent="0.2">
      <c r="A353" s="84">
        <v>6</v>
      </c>
      <c r="B353" s="596"/>
      <c r="D353" s="619" t="s">
        <v>398</v>
      </c>
      <c r="H353" s="97">
        <v>227442406.33000004</v>
      </c>
      <c r="I353" s="93"/>
      <c r="J353" s="97">
        <v>317746909.25</v>
      </c>
      <c r="K353" s="93"/>
      <c r="L353" s="97">
        <v>0</v>
      </c>
      <c r="M353" s="93"/>
      <c r="N353" s="97">
        <v>0</v>
      </c>
      <c r="O353" s="93"/>
      <c r="P353" s="97">
        <v>545189315.58000004</v>
      </c>
      <c r="Q353" s="93"/>
      <c r="R353" s="97">
        <v>500002994.03307706</v>
      </c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</row>
    <row r="354" spans="1:48" ht="14.1" customHeight="1" thickBot="1" x14ac:dyDescent="0.25">
      <c r="A354" s="84">
        <v>7</v>
      </c>
      <c r="B354" s="596"/>
      <c r="H354" s="55"/>
      <c r="I354" s="93"/>
      <c r="J354" s="55"/>
      <c r="K354" s="93"/>
      <c r="L354" s="55"/>
      <c r="M354" s="93"/>
      <c r="N354" s="55"/>
      <c r="O354" s="93"/>
      <c r="P354" s="55"/>
      <c r="Q354" s="93"/>
      <c r="R354" s="55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</row>
    <row r="355" spans="1:48" ht="14.1" customHeight="1" thickTop="1" x14ac:dyDescent="0.2">
      <c r="A355" s="84">
        <v>8</v>
      </c>
      <c r="B355" s="59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</row>
    <row r="356" spans="1:48" ht="14.1" customHeight="1" thickBot="1" x14ac:dyDescent="0.25">
      <c r="A356" s="84">
        <v>9</v>
      </c>
      <c r="B356" s="596"/>
      <c r="C356" s="237"/>
      <c r="D356" s="84" t="s">
        <v>66</v>
      </c>
      <c r="H356" s="55">
        <v>2729672710.6399994</v>
      </c>
      <c r="I356" s="93"/>
      <c r="J356" s="55">
        <v>343307226.02999997</v>
      </c>
      <c r="K356" s="93"/>
      <c r="L356" s="55">
        <v>-8020620.9199999999</v>
      </c>
      <c r="M356" s="93"/>
      <c r="N356" s="55">
        <v>0</v>
      </c>
      <c r="O356" s="93"/>
      <c r="P356" s="55">
        <v>3064959315.7500005</v>
      </c>
      <c r="Q356" s="93"/>
      <c r="R356" s="55">
        <v>3011290517.2100005</v>
      </c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</row>
    <row r="357" spans="1:48" ht="14.1" customHeight="1" thickTop="1" x14ac:dyDescent="0.2">
      <c r="A357" s="84">
        <v>10</v>
      </c>
      <c r="B357" s="59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</row>
    <row r="358" spans="1:48" ht="14.1" customHeight="1" thickBot="1" x14ac:dyDescent="0.25">
      <c r="A358" s="84">
        <v>11</v>
      </c>
      <c r="B358" s="596"/>
      <c r="C358" s="607"/>
      <c r="D358" s="84" t="s">
        <v>67</v>
      </c>
      <c r="H358" s="55">
        <v>4879623579.7099991</v>
      </c>
      <c r="I358" s="93"/>
      <c r="J358" s="55">
        <v>382211079.97999996</v>
      </c>
      <c r="K358" s="93"/>
      <c r="L358" s="55">
        <v>-16529525.370000001</v>
      </c>
      <c r="M358" s="93"/>
      <c r="N358" s="55">
        <v>-12489.95</v>
      </c>
      <c r="O358" s="93"/>
      <c r="P358" s="55">
        <v>5245292644.3699999</v>
      </c>
      <c r="Q358" s="93"/>
      <c r="R358" s="55">
        <v>5170542888.0892315</v>
      </c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</row>
    <row r="359" spans="1:48" ht="14.1" customHeight="1" thickTop="1" x14ac:dyDescent="0.2">
      <c r="A359" s="84">
        <v>12</v>
      </c>
      <c r="B359" s="59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</row>
    <row r="360" spans="1:48" ht="14.1" customHeight="1" x14ac:dyDescent="0.2">
      <c r="A360" s="84">
        <v>13</v>
      </c>
      <c r="B360" s="596"/>
      <c r="C360" s="237"/>
      <c r="D360" s="617" t="s">
        <v>124</v>
      </c>
      <c r="E360" s="617"/>
      <c r="H360" s="93"/>
      <c r="I360" s="93"/>
      <c r="J360" s="641"/>
      <c r="K360" s="93"/>
      <c r="L360" s="641"/>
      <c r="M360" s="93"/>
      <c r="N360" s="641"/>
      <c r="O360" s="93"/>
      <c r="P360" s="641"/>
      <c r="Q360" s="93"/>
      <c r="R360" s="641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</row>
    <row r="361" spans="1:48" ht="14.1" customHeight="1" x14ac:dyDescent="0.2">
      <c r="A361" s="84">
        <v>14</v>
      </c>
      <c r="B361" s="596"/>
      <c r="C361" s="607">
        <v>35001</v>
      </c>
      <c r="D361" s="84" t="s">
        <v>242</v>
      </c>
      <c r="F361" s="87">
        <v>1.3</v>
      </c>
      <c r="G361" s="88"/>
      <c r="H361" s="68">
        <v>12103372.469999999</v>
      </c>
      <c r="I361" s="89"/>
      <c r="J361" s="68">
        <v>0</v>
      </c>
      <c r="K361" s="78"/>
      <c r="L361" s="68">
        <v>0</v>
      </c>
      <c r="M361" s="78"/>
      <c r="N361" s="68">
        <v>0</v>
      </c>
      <c r="O361" s="78"/>
      <c r="P361" s="68">
        <v>12103372.469999999</v>
      </c>
      <c r="Q361" s="78"/>
      <c r="R361" s="68">
        <v>12107793.866153844</v>
      </c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</row>
    <row r="362" spans="1:48" ht="14.1" customHeight="1" x14ac:dyDescent="0.2">
      <c r="A362" s="84">
        <v>15</v>
      </c>
      <c r="B362" s="596"/>
      <c r="C362" s="607">
        <v>35200</v>
      </c>
      <c r="D362" s="84" t="s">
        <v>243</v>
      </c>
      <c r="F362" s="87">
        <v>1.7000000000000002</v>
      </c>
      <c r="G362" s="88"/>
      <c r="H362" s="68">
        <v>43475094.399999999</v>
      </c>
      <c r="I362" s="89"/>
      <c r="J362" s="68">
        <v>7105653.3300000001</v>
      </c>
      <c r="K362" s="78"/>
      <c r="L362" s="68">
        <v>-92095.679999999993</v>
      </c>
      <c r="M362" s="78"/>
      <c r="N362" s="68">
        <v>0</v>
      </c>
      <c r="O362" s="78"/>
      <c r="P362" s="68">
        <v>50488652.049999997</v>
      </c>
      <c r="Q362" s="78"/>
      <c r="R362" s="68">
        <v>45985298.139999993</v>
      </c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</row>
    <row r="363" spans="1:48" ht="14.1" customHeight="1" x14ac:dyDescent="0.2">
      <c r="A363" s="84">
        <v>16</v>
      </c>
      <c r="B363" s="596"/>
      <c r="C363" s="607">
        <v>35300</v>
      </c>
      <c r="D363" s="617" t="s">
        <v>244</v>
      </c>
      <c r="E363" s="617"/>
      <c r="F363" s="87">
        <v>2.2999999999999998</v>
      </c>
      <c r="G363" s="88"/>
      <c r="H363" s="68">
        <v>297433661.11000001</v>
      </c>
      <c r="I363" s="89"/>
      <c r="J363" s="68">
        <v>23122125.010000002</v>
      </c>
      <c r="K363" s="78"/>
      <c r="L363" s="68">
        <v>-1515934.7700000003</v>
      </c>
      <c r="M363" s="78"/>
      <c r="N363" s="68">
        <v>-758304.37999999989</v>
      </c>
      <c r="O363" s="78"/>
      <c r="P363" s="68">
        <v>318281546.97000003</v>
      </c>
      <c r="Q363" s="78"/>
      <c r="R363" s="68">
        <v>305811586.6023078</v>
      </c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</row>
    <row r="364" spans="1:48" ht="14.1" customHeight="1" x14ac:dyDescent="0.2">
      <c r="A364" s="84">
        <v>17</v>
      </c>
      <c r="B364" s="596"/>
      <c r="C364" s="607">
        <v>35400</v>
      </c>
      <c r="D364" s="617" t="s">
        <v>245</v>
      </c>
      <c r="E364" s="617"/>
      <c r="F364" s="87">
        <v>2.2999999999999998</v>
      </c>
      <c r="G364" s="88"/>
      <c r="H364" s="68">
        <v>5092060.5500000007</v>
      </c>
      <c r="I364" s="89"/>
      <c r="J364" s="68">
        <v>0</v>
      </c>
      <c r="K364" s="78"/>
      <c r="L364" s="68">
        <v>0</v>
      </c>
      <c r="M364" s="78"/>
      <c r="N364" s="68">
        <v>0</v>
      </c>
      <c r="O364" s="78"/>
      <c r="P364" s="68">
        <v>5092060.5500000007</v>
      </c>
      <c r="Q364" s="78"/>
      <c r="R364" s="68">
        <v>5092060.5499999989</v>
      </c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</row>
    <row r="365" spans="1:48" ht="14.1" customHeight="1" x14ac:dyDescent="0.2">
      <c r="A365" s="84">
        <v>18</v>
      </c>
      <c r="B365" s="598"/>
      <c r="C365" s="607">
        <v>35500</v>
      </c>
      <c r="D365" s="84" t="s">
        <v>246</v>
      </c>
      <c r="F365" s="87">
        <v>3.5999999999999996</v>
      </c>
      <c r="G365" s="88"/>
      <c r="H365" s="68">
        <v>327571733.3499999</v>
      </c>
      <c r="I365" s="89"/>
      <c r="J365" s="68">
        <v>26670426.300000001</v>
      </c>
      <c r="K365" s="78"/>
      <c r="L365" s="68">
        <v>-1799101.95</v>
      </c>
      <c r="M365" s="78"/>
      <c r="N365" s="68">
        <v>-99233.38</v>
      </c>
      <c r="O365" s="78"/>
      <c r="P365" s="68">
        <v>352343824.31999993</v>
      </c>
      <c r="Q365" s="78"/>
      <c r="R365" s="68">
        <v>337223475.99153835</v>
      </c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</row>
    <row r="366" spans="1:48" ht="14.1" customHeight="1" x14ac:dyDescent="0.2">
      <c r="A366" s="84">
        <v>19</v>
      </c>
      <c r="B366" s="598"/>
      <c r="C366" s="607">
        <v>35600</v>
      </c>
      <c r="D366" s="84" t="s">
        <v>247</v>
      </c>
      <c r="F366" s="87">
        <v>2.8000000000000003</v>
      </c>
      <c r="G366" s="88"/>
      <c r="H366" s="68">
        <v>148231763.99999997</v>
      </c>
      <c r="I366" s="89"/>
      <c r="J366" s="68">
        <v>9322301.7100000009</v>
      </c>
      <c r="K366" s="78"/>
      <c r="L366" s="68">
        <v>-2337521.8699999996</v>
      </c>
      <c r="M366" s="78"/>
      <c r="N366" s="68">
        <v>0</v>
      </c>
      <c r="O366" s="78"/>
      <c r="P366" s="68">
        <v>155216543.83999997</v>
      </c>
      <c r="Q366" s="78"/>
      <c r="R366" s="68">
        <v>150292696.01230767</v>
      </c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</row>
    <row r="367" spans="1:48" ht="14.1" customHeight="1" x14ac:dyDescent="0.2">
      <c r="A367" s="84">
        <v>20</v>
      </c>
      <c r="B367" s="596"/>
      <c r="C367" s="607">
        <v>35601</v>
      </c>
      <c r="D367" s="84" t="s">
        <v>248</v>
      </c>
      <c r="F367" s="87">
        <v>2</v>
      </c>
      <c r="G367" s="88"/>
      <c r="H367" s="68">
        <v>2110610.13</v>
      </c>
      <c r="I367" s="89"/>
      <c r="J367" s="68">
        <v>0</v>
      </c>
      <c r="K367" s="78"/>
      <c r="L367" s="68">
        <v>0</v>
      </c>
      <c r="M367" s="78"/>
      <c r="N367" s="68">
        <v>0</v>
      </c>
      <c r="O367" s="78"/>
      <c r="P367" s="68">
        <v>2110610.13</v>
      </c>
      <c r="Q367" s="78"/>
      <c r="R367" s="68">
        <v>2110610.1299999994</v>
      </c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</row>
    <row r="368" spans="1:48" ht="14.1" customHeight="1" x14ac:dyDescent="0.2">
      <c r="A368" s="84">
        <v>21</v>
      </c>
      <c r="B368" s="596"/>
      <c r="C368" s="607">
        <v>35700</v>
      </c>
      <c r="D368" s="84" t="s">
        <v>249</v>
      </c>
      <c r="F368" s="87">
        <v>1.7999999999999998</v>
      </c>
      <c r="G368" s="88"/>
      <c r="H368" s="68">
        <v>3597803.02</v>
      </c>
      <c r="I368" s="89"/>
      <c r="J368" s="68">
        <v>0</v>
      </c>
      <c r="K368" s="78"/>
      <c r="L368" s="68">
        <v>0</v>
      </c>
      <c r="M368" s="78"/>
      <c r="N368" s="68">
        <v>0</v>
      </c>
      <c r="O368" s="78"/>
      <c r="P368" s="68">
        <v>3597803.02</v>
      </c>
      <c r="Q368" s="78"/>
      <c r="R368" s="68">
        <v>3597803.0200000009</v>
      </c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</row>
    <row r="369" spans="1:48" ht="14.1" customHeight="1" x14ac:dyDescent="0.2">
      <c r="A369" s="84">
        <v>22</v>
      </c>
      <c r="B369" s="596"/>
      <c r="C369" s="607">
        <v>35800</v>
      </c>
      <c r="D369" s="84" t="s">
        <v>250</v>
      </c>
      <c r="F369" s="87">
        <v>2.2999999999999998</v>
      </c>
      <c r="G369" s="88"/>
      <c r="H369" s="68">
        <v>7404951.0200000005</v>
      </c>
      <c r="I369" s="89"/>
      <c r="J369" s="68">
        <v>0</v>
      </c>
      <c r="K369" s="78"/>
      <c r="L369" s="68">
        <v>0</v>
      </c>
      <c r="M369" s="78"/>
      <c r="N369" s="68">
        <v>0</v>
      </c>
      <c r="O369" s="78"/>
      <c r="P369" s="68">
        <v>7404951.0200000005</v>
      </c>
      <c r="Q369" s="78"/>
      <c r="R369" s="68">
        <v>7404951.0200000005</v>
      </c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</row>
    <row r="370" spans="1:48" ht="14.1" customHeight="1" x14ac:dyDescent="0.2">
      <c r="A370" s="84">
        <v>23</v>
      </c>
      <c r="B370" s="596"/>
      <c r="C370" s="607">
        <v>35900</v>
      </c>
      <c r="D370" s="619" t="s">
        <v>251</v>
      </c>
      <c r="E370" s="619"/>
      <c r="F370" s="87">
        <v>1.5</v>
      </c>
      <c r="G370" s="88"/>
      <c r="H370" s="68">
        <v>15062277.190000001</v>
      </c>
      <c r="I370" s="89"/>
      <c r="J370" s="68">
        <v>480282.13</v>
      </c>
      <c r="K370" s="78"/>
      <c r="L370" s="68">
        <v>-10256.51</v>
      </c>
      <c r="M370" s="78"/>
      <c r="N370" s="68">
        <v>0</v>
      </c>
      <c r="O370" s="78"/>
      <c r="P370" s="68">
        <v>15532302.810000002</v>
      </c>
      <c r="Q370" s="78"/>
      <c r="R370" s="68">
        <v>15299045.766153846</v>
      </c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</row>
    <row r="371" spans="1:48" ht="14.1" customHeight="1" x14ac:dyDescent="0.2">
      <c r="A371" s="84">
        <v>24</v>
      </c>
      <c r="B371" s="596"/>
      <c r="C371" s="607"/>
      <c r="D371" s="619"/>
      <c r="E371" s="619"/>
      <c r="F371" s="87"/>
      <c r="G371" s="619"/>
      <c r="H371" s="97"/>
      <c r="I371" s="93"/>
      <c r="J371" s="97"/>
      <c r="K371" s="93"/>
      <c r="L371" s="97"/>
      <c r="M371" s="93"/>
      <c r="N371" s="97"/>
      <c r="O371" s="93"/>
      <c r="P371" s="97"/>
      <c r="Q371" s="93"/>
      <c r="R371" s="97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</row>
    <row r="372" spans="1:48" ht="14.1" customHeight="1" thickBot="1" x14ac:dyDescent="0.25">
      <c r="A372" s="84">
        <v>25</v>
      </c>
      <c r="B372" s="596"/>
      <c r="C372" s="237"/>
      <c r="D372" s="619" t="s">
        <v>166</v>
      </c>
      <c r="E372" s="619"/>
      <c r="F372" s="87"/>
      <c r="G372" s="88"/>
      <c r="H372" s="55">
        <v>862083327.23999989</v>
      </c>
      <c r="I372" s="93"/>
      <c r="J372" s="55">
        <v>66700788.480000004</v>
      </c>
      <c r="K372" s="93"/>
      <c r="L372" s="55">
        <v>-5754910.7799999993</v>
      </c>
      <c r="M372" s="93"/>
      <c r="N372" s="55">
        <v>-857537.75999999989</v>
      </c>
      <c r="O372" s="93"/>
      <c r="P372" s="55">
        <v>922171667.17999983</v>
      </c>
      <c r="Q372" s="93"/>
      <c r="R372" s="55">
        <v>884925321.09846139</v>
      </c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</row>
    <row r="373" spans="1:48" ht="14.1" customHeight="1" thickTop="1" x14ac:dyDescent="0.2">
      <c r="A373" s="84">
        <v>26</v>
      </c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</row>
    <row r="374" spans="1:48" ht="14.1" customHeight="1" x14ac:dyDescent="0.2">
      <c r="A374" s="84">
        <v>27</v>
      </c>
      <c r="C374" s="620"/>
      <c r="D374" s="84" t="s">
        <v>125</v>
      </c>
      <c r="F374" s="87"/>
      <c r="H374" s="646"/>
      <c r="I374" s="646"/>
      <c r="J374" s="646"/>
      <c r="K374" s="646"/>
      <c r="L374" s="646"/>
      <c r="M374" s="646"/>
      <c r="N374" s="646"/>
      <c r="O374" s="646"/>
      <c r="P374" s="646"/>
      <c r="Q374" s="646"/>
      <c r="R374" s="647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</row>
    <row r="375" spans="1:48" ht="14.1" customHeight="1" x14ac:dyDescent="0.2">
      <c r="A375" s="84">
        <v>28</v>
      </c>
      <c r="B375" s="596"/>
      <c r="C375" s="237">
        <v>36001</v>
      </c>
      <c r="D375" s="619" t="s">
        <v>242</v>
      </c>
      <c r="E375" s="619"/>
      <c r="F375" s="87"/>
      <c r="G375" s="88"/>
      <c r="H375" s="68"/>
      <c r="I375" s="93"/>
      <c r="J375" s="68"/>
      <c r="K375" s="93"/>
      <c r="L375" s="68"/>
      <c r="M375" s="93"/>
      <c r="N375" s="68"/>
      <c r="O375" s="93"/>
      <c r="P375" s="68"/>
      <c r="Q375" s="93"/>
      <c r="R375" s="68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</row>
    <row r="376" spans="1:48" ht="14.1" customHeight="1" x14ac:dyDescent="0.2">
      <c r="A376" s="84">
        <v>29</v>
      </c>
      <c r="B376" s="596"/>
      <c r="C376" s="237">
        <v>36100</v>
      </c>
      <c r="D376" s="84" t="s">
        <v>243</v>
      </c>
      <c r="F376" s="87">
        <v>1.8000000000000003</v>
      </c>
      <c r="G376" s="88"/>
      <c r="H376" s="68">
        <v>23901770.370000001</v>
      </c>
      <c r="I376" s="89"/>
      <c r="J376" s="68">
        <v>351151.19999999995</v>
      </c>
      <c r="K376" s="78"/>
      <c r="L376" s="68">
        <v>-21882.62</v>
      </c>
      <c r="M376" s="78"/>
      <c r="N376" s="68">
        <v>-793.11</v>
      </c>
      <c r="O376" s="78"/>
      <c r="P376" s="68">
        <v>24230245.84</v>
      </c>
      <c r="Q376" s="78"/>
      <c r="R376" s="68">
        <v>24038547.113846157</v>
      </c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</row>
    <row r="377" spans="1:48" ht="14.1" customHeight="1" x14ac:dyDescent="0.2">
      <c r="A377" s="84">
        <v>30</v>
      </c>
      <c r="B377" s="596"/>
      <c r="C377" s="237">
        <v>36200</v>
      </c>
      <c r="D377" s="84" t="s">
        <v>244</v>
      </c>
      <c r="F377" s="87">
        <v>2.4</v>
      </c>
      <c r="G377" s="88"/>
      <c r="H377" s="68">
        <v>231016466.34999996</v>
      </c>
      <c r="I377" s="89"/>
      <c r="J377" s="68">
        <v>22439226.940000005</v>
      </c>
      <c r="K377" s="78"/>
      <c r="L377" s="68">
        <v>-2612940.4900000002</v>
      </c>
      <c r="M377" s="78"/>
      <c r="N377" s="68">
        <v>758304.37999999989</v>
      </c>
      <c r="O377" s="78"/>
      <c r="P377" s="68">
        <v>251601057.17999995</v>
      </c>
      <c r="Q377" s="78"/>
      <c r="R377" s="68">
        <v>238492639.71384609</v>
      </c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</row>
    <row r="378" spans="1:48" ht="14.1" customHeight="1" x14ac:dyDescent="0.2">
      <c r="A378" s="84">
        <v>31</v>
      </c>
      <c r="B378" s="596"/>
      <c r="C378" s="237">
        <v>36400</v>
      </c>
      <c r="D378" s="84" t="s">
        <v>252</v>
      </c>
      <c r="F378" s="87">
        <v>4.4000000000000004</v>
      </c>
      <c r="G378" s="88"/>
      <c r="H378" s="68">
        <v>307188838.00000006</v>
      </c>
      <c r="I378" s="89"/>
      <c r="J378" s="68">
        <v>30250976.610000007</v>
      </c>
      <c r="K378" s="78"/>
      <c r="L378" s="68">
        <v>-4142823.6100000003</v>
      </c>
      <c r="M378" s="78"/>
      <c r="N378" s="68">
        <v>-277746.25</v>
      </c>
      <c r="O378" s="78"/>
      <c r="P378" s="68">
        <v>333019244.75000006</v>
      </c>
      <c r="Q378" s="78"/>
      <c r="R378" s="68">
        <v>318942098.69000006</v>
      </c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</row>
    <row r="379" spans="1:48" ht="14.1" customHeight="1" x14ac:dyDescent="0.2">
      <c r="A379" s="84">
        <v>32</v>
      </c>
      <c r="B379" s="596"/>
      <c r="C379" s="237">
        <v>36500</v>
      </c>
      <c r="D379" s="84" t="s">
        <v>247</v>
      </c>
      <c r="F379" s="87">
        <v>3.1</v>
      </c>
      <c r="G379" s="88"/>
      <c r="H379" s="68">
        <v>247728852.47999999</v>
      </c>
      <c r="I379" s="89"/>
      <c r="J379" s="68">
        <v>15950978.390000001</v>
      </c>
      <c r="K379" s="78"/>
      <c r="L379" s="68">
        <v>-2219825.62</v>
      </c>
      <c r="M379" s="78"/>
      <c r="N379" s="68">
        <v>390250.34</v>
      </c>
      <c r="O379" s="78"/>
      <c r="P379" s="68">
        <v>261850255.59</v>
      </c>
      <c r="Q379" s="78"/>
      <c r="R379" s="68">
        <v>254324373.11307698</v>
      </c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</row>
    <row r="380" spans="1:48" ht="14.1" customHeight="1" x14ac:dyDescent="0.2">
      <c r="A380" s="84">
        <v>33</v>
      </c>
      <c r="B380" s="596"/>
      <c r="C380" s="237">
        <v>36600</v>
      </c>
      <c r="D380" s="84" t="s">
        <v>249</v>
      </c>
      <c r="F380" s="87">
        <v>1.8000000000000003</v>
      </c>
      <c r="G380" s="88"/>
      <c r="H380" s="68">
        <v>267002758.95000002</v>
      </c>
      <c r="I380" s="89"/>
      <c r="J380" s="68">
        <v>19239310.539999999</v>
      </c>
      <c r="K380" s="78"/>
      <c r="L380" s="68">
        <v>-135000.66</v>
      </c>
      <c r="M380" s="78"/>
      <c r="N380" s="68">
        <v>255144.48999999996</v>
      </c>
      <c r="O380" s="78"/>
      <c r="P380" s="68">
        <v>286362213.31999999</v>
      </c>
      <c r="Q380" s="78"/>
      <c r="R380" s="68">
        <v>276685061.1099999</v>
      </c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</row>
    <row r="381" spans="1:48" ht="14.1" customHeight="1" x14ac:dyDescent="0.2">
      <c r="A381" s="84">
        <v>34</v>
      </c>
      <c r="B381" s="596"/>
      <c r="C381" s="237">
        <v>36700</v>
      </c>
      <c r="D381" s="84" t="s">
        <v>250</v>
      </c>
      <c r="F381" s="87">
        <v>3</v>
      </c>
      <c r="G381" s="88"/>
      <c r="H381" s="68">
        <v>277595346.61000007</v>
      </c>
      <c r="I381" s="89"/>
      <c r="J381" s="68">
        <v>22440091.549999997</v>
      </c>
      <c r="K381" s="78"/>
      <c r="L381" s="68">
        <v>-3709379.8400000008</v>
      </c>
      <c r="M381" s="78"/>
      <c r="N381" s="68">
        <v>-117735.83999999997</v>
      </c>
      <c r="O381" s="78"/>
      <c r="P381" s="68">
        <v>296208322.48000014</v>
      </c>
      <c r="Q381" s="78"/>
      <c r="R381" s="68">
        <v>288633018.90000015</v>
      </c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</row>
    <row r="382" spans="1:48" ht="14.1" customHeight="1" x14ac:dyDescent="0.2">
      <c r="A382" s="84">
        <v>35</v>
      </c>
      <c r="B382" s="596"/>
      <c r="C382" s="237">
        <v>36800</v>
      </c>
      <c r="D382" s="84" t="s">
        <v>253</v>
      </c>
      <c r="F382" s="87">
        <v>4.4000000000000004</v>
      </c>
      <c r="G382" s="88"/>
      <c r="H382" s="68">
        <v>659177923.11000025</v>
      </c>
      <c r="I382" s="89"/>
      <c r="J382" s="68">
        <v>50445183.550000004</v>
      </c>
      <c r="K382" s="78"/>
      <c r="L382" s="68">
        <v>-9579340.2099999972</v>
      </c>
      <c r="M382" s="78"/>
      <c r="N382" s="68">
        <v>-56590.25</v>
      </c>
      <c r="O382" s="78"/>
      <c r="P382" s="68">
        <v>699987176.20000017</v>
      </c>
      <c r="Q382" s="78"/>
      <c r="R382" s="68">
        <v>676814623.73000038</v>
      </c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</row>
    <row r="383" spans="1:48" ht="14.1" customHeight="1" x14ac:dyDescent="0.2">
      <c r="A383" s="84">
        <v>36</v>
      </c>
      <c r="B383" s="596"/>
      <c r="C383" s="237">
        <v>36900</v>
      </c>
      <c r="D383" s="84" t="s">
        <v>254</v>
      </c>
      <c r="F383" s="87">
        <v>3.4000000000000004</v>
      </c>
      <c r="G383" s="88"/>
      <c r="H383" s="68">
        <v>77027867.48999998</v>
      </c>
      <c r="I383" s="89"/>
      <c r="J383" s="68">
        <v>381466.07000000007</v>
      </c>
      <c r="K383" s="78"/>
      <c r="L383" s="68">
        <v>-78876.390000000014</v>
      </c>
      <c r="M383" s="78"/>
      <c r="N383" s="68">
        <v>-54504.42</v>
      </c>
      <c r="O383" s="78"/>
      <c r="P383" s="68">
        <v>77275952.74999997</v>
      </c>
      <c r="Q383" s="78"/>
      <c r="R383" s="68">
        <v>77782134.290769204</v>
      </c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</row>
    <row r="384" spans="1:48" ht="14.1" customHeight="1" x14ac:dyDescent="0.2">
      <c r="A384" s="84">
        <v>37</v>
      </c>
      <c r="B384" s="596"/>
      <c r="C384" s="237">
        <v>36902</v>
      </c>
      <c r="D384" s="84" t="s">
        <v>255</v>
      </c>
      <c r="F384" s="87">
        <v>2.8</v>
      </c>
      <c r="G384" s="88"/>
      <c r="H384" s="68">
        <v>122873458.07000001</v>
      </c>
      <c r="I384" s="89"/>
      <c r="J384" s="68">
        <v>3454572.5600000005</v>
      </c>
      <c r="K384" s="78"/>
      <c r="L384" s="68">
        <v>-261138.19</v>
      </c>
      <c r="M384" s="78"/>
      <c r="N384" s="68">
        <v>-193675.37000000002</v>
      </c>
      <c r="O384" s="78"/>
      <c r="P384" s="68">
        <v>125873217.07000001</v>
      </c>
      <c r="Q384" s="78"/>
      <c r="R384" s="68">
        <v>125087472.2392308</v>
      </c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</row>
    <row r="385" spans="1:48" ht="14.1" customHeight="1" x14ac:dyDescent="0.2">
      <c r="A385" s="84">
        <v>38</v>
      </c>
      <c r="B385" s="596"/>
      <c r="C385" s="237">
        <v>37000</v>
      </c>
      <c r="D385" s="84" t="s">
        <v>256</v>
      </c>
      <c r="F385" s="87">
        <v>7.2000000000000011</v>
      </c>
      <c r="G385" s="88"/>
      <c r="H385" s="68">
        <v>93038510.570000023</v>
      </c>
      <c r="I385" s="89"/>
      <c r="J385" s="68">
        <v>-8743855.5000000037</v>
      </c>
      <c r="K385" s="78"/>
      <c r="L385" s="68">
        <v>-1287421.1400000001</v>
      </c>
      <c r="M385" s="78"/>
      <c r="N385" s="68">
        <v>0</v>
      </c>
      <c r="O385" s="78"/>
      <c r="P385" s="68">
        <v>83007233.930000022</v>
      </c>
      <c r="Q385" s="78"/>
      <c r="R385" s="68">
        <v>88359623.696923077</v>
      </c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</row>
    <row r="386" spans="1:48" ht="14.1" customHeight="1" x14ac:dyDescent="0.2">
      <c r="A386" s="84">
        <v>39</v>
      </c>
      <c r="B386" s="596"/>
      <c r="C386" s="237">
        <v>37300</v>
      </c>
      <c r="D386" s="84" t="s">
        <v>257</v>
      </c>
      <c r="F386" s="87">
        <v>5.4</v>
      </c>
      <c r="G386" s="88"/>
      <c r="H386" s="68">
        <v>242509735.59999993</v>
      </c>
      <c r="I386" s="89"/>
      <c r="J386" s="68">
        <v>40848185.859999992</v>
      </c>
      <c r="K386" s="78"/>
      <c r="L386" s="68">
        <v>-8883768.0399999991</v>
      </c>
      <c r="M386" s="78"/>
      <c r="N386" s="68">
        <v>6712.16</v>
      </c>
      <c r="O386" s="78"/>
      <c r="P386" s="68">
        <v>274480865.57999992</v>
      </c>
      <c r="Q386" s="78"/>
      <c r="R386" s="68">
        <v>256029826.83461526</v>
      </c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</row>
    <row r="387" spans="1:48" ht="14.1" customHeight="1" x14ac:dyDescent="0.2">
      <c r="A387" s="84">
        <v>40</v>
      </c>
      <c r="B387" s="596"/>
      <c r="D387" s="617"/>
      <c r="E387" s="617"/>
      <c r="F387" s="87"/>
      <c r="G387" s="619"/>
      <c r="H387" s="97"/>
      <c r="I387" s="93"/>
      <c r="J387" s="97"/>
      <c r="K387" s="93"/>
      <c r="L387" s="97"/>
      <c r="M387" s="93"/>
      <c r="N387" s="97"/>
      <c r="O387" s="93"/>
      <c r="P387" s="97"/>
      <c r="Q387" s="93"/>
      <c r="R387" s="97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</row>
    <row r="388" spans="1:48" ht="14.1" customHeight="1" thickBot="1" x14ac:dyDescent="0.25">
      <c r="A388" s="84">
        <v>41</v>
      </c>
      <c r="B388" s="596"/>
      <c r="D388" s="84" t="s">
        <v>169</v>
      </c>
      <c r="F388" s="87"/>
      <c r="G388" s="88"/>
      <c r="H388" s="55">
        <v>2549061527.6000004</v>
      </c>
      <c r="I388" s="93"/>
      <c r="J388" s="55">
        <v>197057287.76999998</v>
      </c>
      <c r="K388" s="93"/>
      <c r="L388" s="55">
        <v>-32932396.809999999</v>
      </c>
      <c r="M388" s="93"/>
      <c r="N388" s="55">
        <v>709366.12999999989</v>
      </c>
      <c r="O388" s="93"/>
      <c r="P388" s="55">
        <v>2713895784.6900005</v>
      </c>
      <c r="Q388" s="93"/>
      <c r="R388" s="55">
        <v>2625189419.4323077</v>
      </c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</row>
    <row r="389" spans="1:48" ht="14.1" customHeight="1" thickTop="1" x14ac:dyDescent="0.2">
      <c r="A389" s="84">
        <v>42</v>
      </c>
      <c r="B389" s="59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</row>
    <row r="390" spans="1:48" ht="14.1" customHeight="1" x14ac:dyDescent="0.2">
      <c r="A390" s="84">
        <v>43</v>
      </c>
      <c r="B390" s="596"/>
      <c r="H390" s="641"/>
      <c r="I390" s="641"/>
      <c r="J390" s="641"/>
      <c r="K390" s="641"/>
      <c r="L390" s="641"/>
      <c r="M390" s="641"/>
      <c r="N390" s="641"/>
      <c r="O390" s="641"/>
      <c r="P390" s="641"/>
      <c r="Q390" s="641"/>
      <c r="R390" s="641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</row>
    <row r="391" spans="1:48" ht="14.1" customHeight="1" thickBot="1" x14ac:dyDescent="0.25">
      <c r="A391" s="84">
        <v>44</v>
      </c>
      <c r="B391" s="343" t="s">
        <v>186</v>
      </c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</row>
    <row r="392" spans="1:48" ht="14.1" customHeight="1" x14ac:dyDescent="0.2">
      <c r="A392" s="84" t="s">
        <v>60</v>
      </c>
      <c r="P392" s="84" t="s">
        <v>60</v>
      </c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</row>
    <row r="393" spans="1:48" ht="14.1" customHeight="1" thickBot="1" x14ac:dyDescent="0.25">
      <c r="A393" s="114" t="s">
        <v>127</v>
      </c>
      <c r="B393" s="114"/>
      <c r="C393" s="114"/>
      <c r="D393" s="114"/>
      <c r="E393" s="114"/>
      <c r="F393" s="114"/>
      <c r="G393" s="114" t="s">
        <v>128</v>
      </c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 t="s">
        <v>330</v>
      </c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</row>
    <row r="394" spans="1:48" ht="14.1" customHeight="1" x14ac:dyDescent="0.2">
      <c r="A394" s="84" t="s">
        <v>129</v>
      </c>
      <c r="B394" s="622"/>
      <c r="E394" s="88" t="s">
        <v>130</v>
      </c>
      <c r="F394" s="84" t="s">
        <v>131</v>
      </c>
      <c r="J394" s="623"/>
      <c r="K394" s="623"/>
      <c r="M394" s="623"/>
      <c r="N394" s="623"/>
      <c r="O394" s="623" t="s">
        <v>187</v>
      </c>
      <c r="R394" s="604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</row>
    <row r="395" spans="1:48" ht="14.1" customHeight="1" x14ac:dyDescent="0.2">
      <c r="B395" s="622"/>
      <c r="F395" s="84" t="s">
        <v>133</v>
      </c>
      <c r="J395" s="88"/>
      <c r="K395" s="604"/>
      <c r="N395" s="88"/>
      <c r="O395" s="88" t="s">
        <v>123</v>
      </c>
      <c r="P395" s="604" t="s">
        <v>844</v>
      </c>
      <c r="R395" s="88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</row>
    <row r="396" spans="1:48" ht="14.1" customHeight="1" x14ac:dyDescent="0.2">
      <c r="A396" s="84" t="s">
        <v>134</v>
      </c>
      <c r="B396" s="622"/>
      <c r="F396" s="84" t="s">
        <v>123</v>
      </c>
      <c r="J396" s="88"/>
      <c r="K396" s="604"/>
      <c r="L396" s="88"/>
      <c r="O396" s="88" t="s">
        <v>123</v>
      </c>
      <c r="P396" s="604"/>
      <c r="R396" s="88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</row>
    <row r="397" spans="1:48" ht="14.1" customHeight="1" x14ac:dyDescent="0.2">
      <c r="B397" s="622"/>
      <c r="F397" s="84" t="s">
        <v>123</v>
      </c>
      <c r="J397" s="88"/>
      <c r="K397" s="604"/>
      <c r="L397" s="88"/>
      <c r="O397" s="88" t="s">
        <v>123</v>
      </c>
      <c r="P397" s="604"/>
      <c r="R397" s="88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</row>
    <row r="398" spans="1:48" ht="14.1" customHeight="1" thickBot="1" x14ac:dyDescent="0.25">
      <c r="A398" s="114" t="s">
        <v>135</v>
      </c>
      <c r="B398" s="624"/>
      <c r="C398" s="114"/>
      <c r="D398" s="114"/>
      <c r="E398" s="114"/>
      <c r="F398" s="114" t="s">
        <v>123</v>
      </c>
      <c r="G398" s="114"/>
      <c r="H398" s="606"/>
      <c r="I398" s="114"/>
      <c r="J398" s="114"/>
      <c r="K398" s="114"/>
      <c r="L398" s="114"/>
      <c r="M398" s="114"/>
      <c r="N398" s="114"/>
      <c r="O398" s="114"/>
      <c r="P398" s="625"/>
      <c r="Q398" s="114"/>
      <c r="R398" s="114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</row>
    <row r="399" spans="1:48" ht="14.1" customHeight="1" x14ac:dyDescent="0.2">
      <c r="C399" s="607"/>
      <c r="D399" s="607"/>
      <c r="E399" s="607"/>
      <c r="F399" s="607"/>
      <c r="G399" s="607"/>
      <c r="H399" s="607"/>
      <c r="I399" s="607"/>
      <c r="J399" s="607"/>
      <c r="K399" s="607"/>
      <c r="L399" s="607"/>
      <c r="M399" s="607"/>
      <c r="N399" s="607"/>
      <c r="O399" s="607"/>
      <c r="P399" s="607"/>
      <c r="Q399" s="607"/>
      <c r="R399" s="607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</row>
    <row r="400" spans="1:48" ht="14.1" customHeight="1" x14ac:dyDescent="0.2">
      <c r="C400" s="607" t="s">
        <v>136</v>
      </c>
      <c r="D400" s="607" t="s">
        <v>137</v>
      </c>
      <c r="E400" s="607"/>
      <c r="F400" s="607" t="s">
        <v>138</v>
      </c>
      <c r="G400" s="607"/>
      <c r="H400" s="607" t="s">
        <v>139</v>
      </c>
      <c r="I400" s="607"/>
      <c r="J400" s="237" t="s">
        <v>140</v>
      </c>
      <c r="K400" s="237"/>
      <c r="L400" s="607" t="s">
        <v>141</v>
      </c>
      <c r="M400" s="607"/>
      <c r="N400" s="607" t="s">
        <v>142</v>
      </c>
      <c r="O400" s="607"/>
      <c r="P400" s="607" t="s">
        <v>143</v>
      </c>
      <c r="Q400" s="607"/>
      <c r="R400" s="607" t="s">
        <v>144</v>
      </c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</row>
    <row r="401" spans="1:48" ht="14.1" customHeight="1" x14ac:dyDescent="0.2">
      <c r="C401" s="237" t="s">
        <v>145</v>
      </c>
      <c r="D401" s="237" t="s">
        <v>145</v>
      </c>
      <c r="F401" s="237" t="s">
        <v>6</v>
      </c>
      <c r="G401" s="237"/>
      <c r="H401" s="607" t="s">
        <v>48</v>
      </c>
      <c r="I401" s="237"/>
      <c r="J401" s="607" t="s">
        <v>40</v>
      </c>
      <c r="K401" s="237"/>
      <c r="L401" s="237" t="s">
        <v>40</v>
      </c>
      <c r="M401" s="237"/>
      <c r="P401" s="237" t="s">
        <v>48</v>
      </c>
      <c r="R401" s="237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</row>
    <row r="402" spans="1:48" ht="14.1" customHeight="1" x14ac:dyDescent="0.2">
      <c r="A402" s="84" t="s">
        <v>146</v>
      </c>
      <c r="B402" s="237"/>
      <c r="C402" s="237" t="s">
        <v>147</v>
      </c>
      <c r="D402" s="237" t="s">
        <v>147</v>
      </c>
      <c r="E402" s="607"/>
      <c r="F402" s="237" t="s">
        <v>148</v>
      </c>
      <c r="G402" s="237"/>
      <c r="H402" s="237" t="s">
        <v>149</v>
      </c>
      <c r="I402" s="237"/>
      <c r="J402" s="237" t="s">
        <v>48</v>
      </c>
      <c r="K402" s="607"/>
      <c r="L402" s="237" t="s">
        <v>48</v>
      </c>
      <c r="M402" s="604"/>
      <c r="N402" s="237" t="s">
        <v>150</v>
      </c>
      <c r="O402" s="607"/>
      <c r="P402" s="607" t="s">
        <v>149</v>
      </c>
      <c r="Q402" s="607"/>
      <c r="R402" s="237" t="s">
        <v>151</v>
      </c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</row>
    <row r="403" spans="1:48" ht="14.1" customHeight="1" thickBot="1" x14ac:dyDescent="0.25">
      <c r="A403" s="114" t="s">
        <v>152</v>
      </c>
      <c r="B403" s="606"/>
      <c r="C403" s="606" t="s">
        <v>52</v>
      </c>
      <c r="D403" s="606" t="s">
        <v>153</v>
      </c>
      <c r="E403" s="606"/>
      <c r="F403" s="608" t="s">
        <v>57</v>
      </c>
      <c r="G403" s="608"/>
      <c r="H403" s="608" t="s">
        <v>154</v>
      </c>
      <c r="I403" s="609"/>
      <c r="J403" s="608" t="s">
        <v>155</v>
      </c>
      <c r="K403" s="609"/>
      <c r="L403" s="609" t="s">
        <v>156</v>
      </c>
      <c r="M403" s="610"/>
      <c r="N403" s="610" t="s">
        <v>157</v>
      </c>
      <c r="O403" s="610"/>
      <c r="P403" s="610" t="s">
        <v>158</v>
      </c>
      <c r="Q403" s="610"/>
      <c r="R403" s="610" t="s">
        <v>3</v>
      </c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</row>
    <row r="404" spans="1:48" ht="14.1" customHeight="1" x14ac:dyDescent="0.2">
      <c r="A404" s="84">
        <v>1</v>
      </c>
      <c r="B404" s="237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</row>
    <row r="405" spans="1:48" ht="14.1" customHeight="1" x14ac:dyDescent="0.2">
      <c r="A405" s="84">
        <v>2</v>
      </c>
      <c r="B405" s="596"/>
      <c r="D405" s="617" t="s">
        <v>126</v>
      </c>
      <c r="E405" s="617"/>
      <c r="F405" s="87"/>
      <c r="H405" s="93"/>
      <c r="I405" s="93"/>
      <c r="J405" s="93"/>
      <c r="K405" s="93"/>
      <c r="L405" s="641"/>
      <c r="M405" s="93"/>
      <c r="N405" s="641"/>
      <c r="O405" s="93"/>
      <c r="P405" s="641"/>
      <c r="Q405" s="93"/>
      <c r="R405" s="641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</row>
    <row r="406" spans="1:48" ht="14.1" customHeight="1" x14ac:dyDescent="0.2">
      <c r="A406" s="84">
        <v>3</v>
      </c>
      <c r="B406" s="596"/>
      <c r="C406" s="237">
        <v>39000</v>
      </c>
      <c r="D406" s="84" t="s">
        <v>243</v>
      </c>
      <c r="F406" s="87">
        <v>2.2999999999999998</v>
      </c>
      <c r="G406" s="88"/>
      <c r="H406" s="68">
        <v>116996870.63000003</v>
      </c>
      <c r="I406" s="89"/>
      <c r="J406" s="68">
        <v>5193043.42</v>
      </c>
      <c r="K406" s="78"/>
      <c r="L406" s="68">
        <v>-846129.97</v>
      </c>
      <c r="M406" s="78"/>
      <c r="N406" s="68">
        <v>235461.03</v>
      </c>
      <c r="O406" s="78"/>
      <c r="P406" s="68">
        <v>121579245.11000003</v>
      </c>
      <c r="Q406" s="78"/>
      <c r="R406" s="68">
        <v>119511657.44692311</v>
      </c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</row>
    <row r="407" spans="1:48" ht="14.1" customHeight="1" x14ac:dyDescent="0.2">
      <c r="A407" s="84">
        <v>4</v>
      </c>
      <c r="B407" s="596"/>
      <c r="C407" s="237">
        <v>39101</v>
      </c>
      <c r="D407" s="84" t="s">
        <v>258</v>
      </c>
      <c r="F407" s="87">
        <v>14.299999999999999</v>
      </c>
      <c r="G407" s="88"/>
      <c r="H407" s="68">
        <v>3727753.57</v>
      </c>
      <c r="I407" s="89"/>
      <c r="J407" s="68">
        <v>1927380.6400000001</v>
      </c>
      <c r="K407" s="78"/>
      <c r="L407" s="68">
        <v>-8739.5300000000007</v>
      </c>
      <c r="M407" s="78"/>
      <c r="N407" s="68">
        <v>129607.82</v>
      </c>
      <c r="O407" s="78"/>
      <c r="P407" s="68">
        <v>5776002.5</v>
      </c>
      <c r="Q407" s="78"/>
      <c r="R407" s="68">
        <v>4832420.7930769222</v>
      </c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</row>
    <row r="408" spans="1:48" ht="14.1" customHeight="1" x14ac:dyDescent="0.2">
      <c r="A408" s="84">
        <v>5</v>
      </c>
      <c r="B408" s="596"/>
      <c r="C408" s="237">
        <v>39102</v>
      </c>
      <c r="D408" s="84" t="s">
        <v>259</v>
      </c>
      <c r="F408" s="87">
        <v>25</v>
      </c>
      <c r="G408" s="88"/>
      <c r="H408" s="68">
        <v>6537666.2400000012</v>
      </c>
      <c r="I408" s="89"/>
      <c r="J408" s="68">
        <v>684429.05</v>
      </c>
      <c r="K408" s="78"/>
      <c r="L408" s="68">
        <v>-4071437.8899999997</v>
      </c>
      <c r="M408" s="78"/>
      <c r="N408" s="68">
        <v>698669.21</v>
      </c>
      <c r="O408" s="78"/>
      <c r="P408" s="68">
        <v>3849326.6100000013</v>
      </c>
      <c r="Q408" s="78"/>
      <c r="R408" s="68">
        <v>5932971.40846154</v>
      </c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</row>
    <row r="409" spans="1:48" ht="14.1" customHeight="1" x14ac:dyDescent="0.2">
      <c r="A409" s="84">
        <v>6</v>
      </c>
      <c r="B409" s="596"/>
      <c r="C409" s="237">
        <v>39103</v>
      </c>
      <c r="D409" s="84" t="s">
        <v>260</v>
      </c>
      <c r="F409" s="87">
        <v>14.299999999999999</v>
      </c>
      <c r="G409" s="88"/>
      <c r="H409" s="68">
        <v>0</v>
      </c>
      <c r="I409" s="89"/>
      <c r="J409" s="68">
        <v>0</v>
      </c>
      <c r="K409" s="78"/>
      <c r="L409" s="68">
        <v>0</v>
      </c>
      <c r="M409" s="78"/>
      <c r="N409" s="68">
        <v>0</v>
      </c>
      <c r="O409" s="78"/>
      <c r="P409" s="68">
        <v>0</v>
      </c>
      <c r="Q409" s="78"/>
      <c r="R409" s="68">
        <v>0</v>
      </c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</row>
    <row r="410" spans="1:48" ht="14.1" customHeight="1" x14ac:dyDescent="0.2">
      <c r="A410" s="84">
        <v>7</v>
      </c>
      <c r="B410" s="237"/>
      <c r="C410" s="237">
        <v>39104</v>
      </c>
      <c r="D410" s="84" t="s">
        <v>261</v>
      </c>
      <c r="F410" s="87">
        <v>20</v>
      </c>
      <c r="G410" s="88"/>
      <c r="H410" s="68">
        <v>32164396.080000006</v>
      </c>
      <c r="I410" s="89"/>
      <c r="J410" s="68">
        <v>7715819.8200000003</v>
      </c>
      <c r="K410" s="78"/>
      <c r="L410" s="68">
        <v>-3964297.42</v>
      </c>
      <c r="M410" s="78"/>
      <c r="N410" s="68">
        <v>0</v>
      </c>
      <c r="O410" s="78"/>
      <c r="P410" s="68">
        <v>35915918.480000004</v>
      </c>
      <c r="Q410" s="78"/>
      <c r="R410" s="68">
        <v>32855014.424615391</v>
      </c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</row>
    <row r="411" spans="1:48" ht="14.1" customHeight="1" x14ac:dyDescent="0.2">
      <c r="A411" s="84">
        <v>8</v>
      </c>
      <c r="B411" s="237"/>
      <c r="C411" s="237">
        <v>39202</v>
      </c>
      <c r="D411" s="616" t="s">
        <v>262</v>
      </c>
      <c r="F411" s="87">
        <v>5.2</v>
      </c>
      <c r="G411" s="88"/>
      <c r="H411" s="68">
        <v>11634938.140000001</v>
      </c>
      <c r="I411" s="89"/>
      <c r="J411" s="68">
        <v>1424131.17</v>
      </c>
      <c r="K411" s="78"/>
      <c r="L411" s="68">
        <v>-187081.07</v>
      </c>
      <c r="M411" s="78"/>
      <c r="N411" s="68">
        <v>-267873.68</v>
      </c>
      <c r="O411" s="78"/>
      <c r="P411" s="68">
        <v>12604114.560000001</v>
      </c>
      <c r="Q411" s="78"/>
      <c r="R411" s="68">
        <v>12129407.110769235</v>
      </c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</row>
    <row r="412" spans="1:48" ht="14.1" customHeight="1" x14ac:dyDescent="0.2">
      <c r="A412" s="84">
        <v>9</v>
      </c>
      <c r="B412" s="237"/>
      <c r="C412" s="237">
        <v>39203</v>
      </c>
      <c r="D412" s="616" t="s">
        <v>263</v>
      </c>
      <c r="F412" s="87">
        <v>5.0999999999999996</v>
      </c>
      <c r="G412" s="88"/>
      <c r="H412" s="68">
        <v>49763179.870000012</v>
      </c>
      <c r="I412" s="89"/>
      <c r="J412" s="68">
        <v>5088165.8999999994</v>
      </c>
      <c r="K412" s="78"/>
      <c r="L412" s="68">
        <v>-1322445.93</v>
      </c>
      <c r="M412" s="78"/>
      <c r="N412" s="68">
        <v>267873.68</v>
      </c>
      <c r="O412" s="78"/>
      <c r="P412" s="68">
        <v>53796773.520000011</v>
      </c>
      <c r="Q412" s="78"/>
      <c r="R412" s="68">
        <v>53573341.348461553</v>
      </c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</row>
    <row r="413" spans="1:48" ht="14.1" customHeight="1" x14ac:dyDescent="0.2">
      <c r="A413" s="84">
        <v>10</v>
      </c>
      <c r="B413" s="596"/>
      <c r="C413" s="237">
        <v>39204</v>
      </c>
      <c r="D413" s="615" t="s">
        <v>264</v>
      </c>
      <c r="E413" s="619"/>
      <c r="F413" s="87">
        <v>6.6000000000000005</v>
      </c>
      <c r="G413" s="88"/>
      <c r="H413" s="68">
        <v>0</v>
      </c>
      <c r="I413" s="89"/>
      <c r="J413" s="68">
        <v>0</v>
      </c>
      <c r="K413" s="78"/>
      <c r="L413" s="68">
        <v>0</v>
      </c>
      <c r="M413" s="78"/>
      <c r="N413" s="68">
        <v>0</v>
      </c>
      <c r="O413" s="78"/>
      <c r="P413" s="68">
        <v>0</v>
      </c>
      <c r="Q413" s="78"/>
      <c r="R413" s="68">
        <v>0</v>
      </c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</row>
    <row r="414" spans="1:48" ht="14.1" customHeight="1" x14ac:dyDescent="0.2">
      <c r="A414" s="84">
        <v>11</v>
      </c>
      <c r="B414" s="596"/>
      <c r="C414" s="237">
        <v>39212</v>
      </c>
      <c r="D414" s="84" t="s">
        <v>265</v>
      </c>
      <c r="F414" s="87">
        <v>6.6000000000000005</v>
      </c>
      <c r="G414" s="88"/>
      <c r="H414" s="68">
        <v>2543503.3000000003</v>
      </c>
      <c r="I414" s="89"/>
      <c r="J414" s="68">
        <v>510024.44000000146</v>
      </c>
      <c r="K414" s="78"/>
      <c r="L414" s="68">
        <v>-166809.71999999997</v>
      </c>
      <c r="M414" s="78"/>
      <c r="N414" s="68">
        <v>0</v>
      </c>
      <c r="O414" s="78"/>
      <c r="P414" s="68">
        <v>2886718.0200000014</v>
      </c>
      <c r="Q414" s="78"/>
      <c r="R414" s="68">
        <v>6715686.4838461541</v>
      </c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</row>
    <row r="415" spans="1:48" ht="14.1" customHeight="1" x14ac:dyDescent="0.2">
      <c r="A415" s="84">
        <v>12</v>
      </c>
      <c r="B415" s="596"/>
      <c r="C415" s="237">
        <v>39213</v>
      </c>
      <c r="D415" s="84" t="s">
        <v>266</v>
      </c>
      <c r="F415" s="87">
        <v>3.7000000000000006</v>
      </c>
      <c r="G415" s="88"/>
      <c r="H415" s="68">
        <v>797371.37999999989</v>
      </c>
      <c r="I415" s="89"/>
      <c r="J415" s="68">
        <v>2426.2800000000002</v>
      </c>
      <c r="K415" s="78"/>
      <c r="L415" s="68">
        <v>-28928.880000000001</v>
      </c>
      <c r="M415" s="78"/>
      <c r="N415" s="68">
        <v>0</v>
      </c>
      <c r="O415" s="78"/>
      <c r="P415" s="68">
        <v>770868.77999999991</v>
      </c>
      <c r="Q415" s="78"/>
      <c r="R415" s="68">
        <v>794227.24153846141</v>
      </c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</row>
    <row r="416" spans="1:48" ht="14.1" customHeight="1" x14ac:dyDescent="0.2">
      <c r="A416" s="84">
        <v>13</v>
      </c>
      <c r="B416" s="596"/>
      <c r="C416" s="237">
        <v>39214</v>
      </c>
      <c r="D416" s="619" t="s">
        <v>267</v>
      </c>
      <c r="E416" s="619"/>
      <c r="F416" s="87">
        <v>3.3000000000000003</v>
      </c>
      <c r="G416" s="88"/>
      <c r="H416" s="68">
        <v>0</v>
      </c>
      <c r="I416" s="89"/>
      <c r="J416" s="68">
        <v>0</v>
      </c>
      <c r="K416" s="78"/>
      <c r="L416" s="68">
        <v>0</v>
      </c>
      <c r="M416" s="78"/>
      <c r="N416" s="68">
        <v>0</v>
      </c>
      <c r="O416" s="78"/>
      <c r="P416" s="68">
        <v>0</v>
      </c>
      <c r="Q416" s="78"/>
      <c r="R416" s="68">
        <v>0</v>
      </c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</row>
    <row r="417" spans="1:48" ht="14.1" customHeight="1" x14ac:dyDescent="0.2">
      <c r="A417" s="84">
        <v>14</v>
      </c>
      <c r="B417" s="596"/>
      <c r="C417" s="237">
        <v>39300</v>
      </c>
      <c r="D417" s="619" t="s">
        <v>268</v>
      </c>
      <c r="E417" s="619"/>
      <c r="F417" s="87">
        <v>14.299999999999999</v>
      </c>
      <c r="G417" s="88"/>
      <c r="H417" s="68">
        <v>0</v>
      </c>
      <c r="I417" s="89"/>
      <c r="J417" s="68">
        <v>0</v>
      </c>
      <c r="K417" s="78"/>
      <c r="L417" s="68">
        <v>0</v>
      </c>
      <c r="M417" s="78"/>
      <c r="N417" s="68">
        <v>0</v>
      </c>
      <c r="O417" s="78"/>
      <c r="P417" s="68">
        <v>0</v>
      </c>
      <c r="Q417" s="78"/>
      <c r="R417" s="68">
        <v>0</v>
      </c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</row>
    <row r="418" spans="1:48" ht="14.1" customHeight="1" x14ac:dyDescent="0.2">
      <c r="A418" s="84">
        <v>15</v>
      </c>
      <c r="B418" s="237"/>
      <c r="C418" s="237">
        <v>39400</v>
      </c>
      <c r="D418" s="619" t="s">
        <v>269</v>
      </c>
      <c r="E418" s="619"/>
      <c r="F418" s="87">
        <v>14.299999999999999</v>
      </c>
      <c r="G418" s="88"/>
      <c r="H418" s="68">
        <v>13659900.449999996</v>
      </c>
      <c r="I418" s="89"/>
      <c r="J418" s="68">
        <v>1559452.66</v>
      </c>
      <c r="K418" s="78"/>
      <c r="L418" s="68">
        <v>-3302652.7800000003</v>
      </c>
      <c r="M418" s="78"/>
      <c r="N418" s="68">
        <v>0</v>
      </c>
      <c r="O418" s="78"/>
      <c r="P418" s="68">
        <v>11916700.329999994</v>
      </c>
      <c r="Q418" s="78"/>
      <c r="R418" s="68">
        <v>11645625.157692304</v>
      </c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</row>
    <row r="419" spans="1:48" ht="14.1" customHeight="1" x14ac:dyDescent="0.2">
      <c r="A419" s="84">
        <v>16</v>
      </c>
      <c r="B419" s="237"/>
      <c r="C419" s="237">
        <v>39500</v>
      </c>
      <c r="D419" s="84" t="s">
        <v>270</v>
      </c>
      <c r="F419" s="87">
        <v>14.299999999999999</v>
      </c>
      <c r="G419" s="88"/>
      <c r="H419" s="68">
        <v>1567100.97</v>
      </c>
      <c r="I419" s="89"/>
      <c r="J419" s="68">
        <v>571116.24</v>
      </c>
      <c r="K419" s="78"/>
      <c r="L419" s="68">
        <v>0</v>
      </c>
      <c r="M419" s="78"/>
      <c r="N419" s="68">
        <v>0</v>
      </c>
      <c r="O419" s="78"/>
      <c r="P419" s="68">
        <v>2138217.21</v>
      </c>
      <c r="Q419" s="78"/>
      <c r="R419" s="68">
        <v>2024059.4000000006</v>
      </c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</row>
    <row r="420" spans="1:48" ht="14.1" customHeight="1" x14ac:dyDescent="0.2">
      <c r="A420" s="84">
        <v>17</v>
      </c>
      <c r="B420" s="237"/>
      <c r="C420" s="237">
        <v>39600</v>
      </c>
      <c r="D420" s="84" t="s">
        <v>271</v>
      </c>
      <c r="F420" s="87">
        <v>14.299999999999999</v>
      </c>
      <c r="G420" s="88"/>
      <c r="H420" s="68">
        <v>0</v>
      </c>
      <c r="I420" s="89"/>
      <c r="J420" s="68">
        <v>0</v>
      </c>
      <c r="K420" s="78"/>
      <c r="L420" s="68">
        <v>0</v>
      </c>
      <c r="M420" s="78"/>
      <c r="N420" s="68">
        <v>0</v>
      </c>
      <c r="O420" s="78"/>
      <c r="P420" s="68">
        <v>0</v>
      </c>
      <c r="Q420" s="78"/>
      <c r="R420" s="68">
        <v>0</v>
      </c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</row>
    <row r="421" spans="1:48" ht="14.1" customHeight="1" x14ac:dyDescent="0.2">
      <c r="A421" s="84">
        <v>18</v>
      </c>
      <c r="B421" s="237"/>
      <c r="C421" s="237">
        <v>39700</v>
      </c>
      <c r="D421" s="619" t="s">
        <v>272</v>
      </c>
      <c r="E421" s="619"/>
      <c r="F421" s="87">
        <v>14.299999999999999</v>
      </c>
      <c r="G421" s="88"/>
      <c r="H421" s="68">
        <v>26845117.29999999</v>
      </c>
      <c r="I421" s="89"/>
      <c r="J421" s="68">
        <v>15734205.109999999</v>
      </c>
      <c r="K421" s="78"/>
      <c r="L421" s="68">
        <v>-1006749.26</v>
      </c>
      <c r="M421" s="78"/>
      <c r="N421" s="68">
        <v>203284.16</v>
      </c>
      <c r="O421" s="78"/>
      <c r="P421" s="68">
        <v>41775857.309999987</v>
      </c>
      <c r="Q421" s="78"/>
      <c r="R421" s="68">
        <v>34681079.179230765</v>
      </c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</row>
    <row r="422" spans="1:48" ht="14.1" customHeight="1" x14ac:dyDescent="0.2">
      <c r="A422" s="84">
        <v>19</v>
      </c>
      <c r="B422" s="596"/>
      <c r="C422" s="607">
        <v>39725</v>
      </c>
      <c r="D422" s="619" t="s">
        <v>273</v>
      </c>
      <c r="E422" s="619"/>
      <c r="F422" s="87">
        <v>5.3</v>
      </c>
      <c r="G422" s="88"/>
      <c r="H422" s="68">
        <v>29148406.429999996</v>
      </c>
      <c r="I422" s="89"/>
      <c r="J422" s="68">
        <v>1667132.1400000001</v>
      </c>
      <c r="K422" s="78"/>
      <c r="L422" s="68">
        <v>-623576.65</v>
      </c>
      <c r="M422" s="78"/>
      <c r="N422" s="68">
        <v>147378.51999999999</v>
      </c>
      <c r="O422" s="78"/>
      <c r="P422" s="68">
        <v>30339340.439999998</v>
      </c>
      <c r="Q422" s="78"/>
      <c r="R422" s="68">
        <v>29314949.312307682</v>
      </c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</row>
    <row r="423" spans="1:48" ht="14.1" customHeight="1" x14ac:dyDescent="0.2">
      <c r="A423" s="84">
        <v>20</v>
      </c>
      <c r="B423" s="237"/>
      <c r="C423" s="607">
        <v>39800</v>
      </c>
      <c r="D423" s="619" t="s">
        <v>274</v>
      </c>
      <c r="E423" s="619"/>
      <c r="F423" s="87">
        <v>14.299999999999999</v>
      </c>
      <c r="G423" s="88"/>
      <c r="H423" s="68">
        <v>979575.64000000013</v>
      </c>
      <c r="I423" s="89"/>
      <c r="J423" s="68">
        <v>748104.37999999989</v>
      </c>
      <c r="K423" s="78"/>
      <c r="L423" s="68">
        <v>0</v>
      </c>
      <c r="M423" s="78"/>
      <c r="N423" s="68">
        <v>31690.41</v>
      </c>
      <c r="O423" s="78"/>
      <c r="P423" s="68">
        <v>1759370.43</v>
      </c>
      <c r="Q423" s="78"/>
      <c r="R423" s="68">
        <v>1365110.6161538463</v>
      </c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</row>
    <row r="424" spans="1:48" ht="14.1" customHeight="1" x14ac:dyDescent="0.2">
      <c r="A424" s="84">
        <v>21</v>
      </c>
      <c r="B424" s="237"/>
      <c r="H424" s="97"/>
      <c r="I424" s="93"/>
      <c r="J424" s="97"/>
      <c r="K424" s="93"/>
      <c r="L424" s="97"/>
      <c r="M424" s="93"/>
      <c r="N424" s="97"/>
      <c r="O424" s="93"/>
      <c r="P424" s="97"/>
      <c r="Q424" s="93"/>
      <c r="R424" s="97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</row>
    <row r="425" spans="1:48" ht="14.1" customHeight="1" thickBot="1" x14ac:dyDescent="0.25">
      <c r="A425" s="84">
        <v>22</v>
      </c>
      <c r="B425" s="237"/>
      <c r="D425" s="619" t="s">
        <v>171</v>
      </c>
      <c r="E425" s="619"/>
      <c r="H425" s="55">
        <v>296365780</v>
      </c>
      <c r="I425" s="93"/>
      <c r="J425" s="55">
        <v>42825431.250000007</v>
      </c>
      <c r="K425" s="93"/>
      <c r="L425" s="55">
        <v>-15528849.100000001</v>
      </c>
      <c r="M425" s="93"/>
      <c r="N425" s="55">
        <v>1446091.15</v>
      </c>
      <c r="O425" s="93"/>
      <c r="P425" s="55">
        <v>325108453.30000007</v>
      </c>
      <c r="Q425" s="93"/>
      <c r="R425" s="55">
        <v>315375549.92307693</v>
      </c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</row>
    <row r="426" spans="1:48" ht="14.1" customHeight="1" thickTop="1" x14ac:dyDescent="0.2">
      <c r="A426" s="84">
        <v>23</v>
      </c>
      <c r="B426" s="237"/>
      <c r="C426" s="620"/>
      <c r="H426" s="641"/>
      <c r="I426" s="93"/>
      <c r="J426" s="641"/>
      <c r="K426" s="93"/>
      <c r="L426" s="641"/>
      <c r="M426" s="93"/>
      <c r="N426" s="641"/>
      <c r="O426" s="93"/>
      <c r="P426" s="641"/>
      <c r="Q426" s="93"/>
      <c r="R426" s="641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</row>
    <row r="427" spans="1:48" ht="14.1" customHeight="1" thickBot="1" x14ac:dyDescent="0.25">
      <c r="A427" s="84">
        <v>24</v>
      </c>
      <c r="B427" s="237"/>
      <c r="C427" s="620"/>
      <c r="D427" s="615" t="s">
        <v>172</v>
      </c>
      <c r="E427" s="619"/>
      <c r="F427" s="642"/>
      <c r="G427" s="642"/>
      <c r="H427" s="648">
        <v>8587134214.5499992</v>
      </c>
      <c r="I427" s="649"/>
      <c r="J427" s="648">
        <v>688794587.48000002</v>
      </c>
      <c r="K427" s="649"/>
      <c r="L427" s="648">
        <v>-70745682.060000002</v>
      </c>
      <c r="M427" s="649"/>
      <c r="N427" s="648">
        <v>1285429.5699999998</v>
      </c>
      <c r="O427" s="649"/>
      <c r="P427" s="648">
        <v>9206468549.539999</v>
      </c>
      <c r="Q427" s="649"/>
      <c r="R427" s="648">
        <v>8996033178.5430775</v>
      </c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</row>
    <row r="428" spans="1:48" ht="14.1" customHeight="1" thickTop="1" x14ac:dyDescent="0.2">
      <c r="A428" s="84">
        <v>25</v>
      </c>
      <c r="B428" s="237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</row>
    <row r="429" spans="1:48" ht="14.1" customHeight="1" x14ac:dyDescent="0.2">
      <c r="A429" s="84">
        <v>26</v>
      </c>
      <c r="B429" s="237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</row>
    <row r="430" spans="1:48" ht="14.1" customHeight="1" x14ac:dyDescent="0.2">
      <c r="A430" s="84">
        <v>27</v>
      </c>
      <c r="B430" s="237"/>
      <c r="C430" s="620"/>
      <c r="D430" s="84" t="s">
        <v>275</v>
      </c>
      <c r="H430" s="646"/>
      <c r="I430" s="646"/>
      <c r="J430" s="646"/>
      <c r="K430" s="646"/>
      <c r="L430" s="646"/>
      <c r="M430" s="646"/>
      <c r="N430" s="646"/>
      <c r="O430" s="646"/>
      <c r="P430" s="646"/>
      <c r="Q430" s="646"/>
      <c r="R430" s="64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</row>
    <row r="431" spans="1:48" ht="14.1" customHeight="1" x14ac:dyDescent="0.2">
      <c r="A431" s="84">
        <v>28</v>
      </c>
      <c r="B431" s="596"/>
      <c r="C431" s="237" t="s">
        <v>276</v>
      </c>
      <c r="D431" s="100" t="s">
        <v>277</v>
      </c>
      <c r="E431" s="85"/>
      <c r="F431" s="87">
        <v>0</v>
      </c>
      <c r="G431" s="88"/>
      <c r="H431" s="68">
        <v>6923628.5099999998</v>
      </c>
      <c r="I431" s="93"/>
      <c r="J431" s="68">
        <v>0</v>
      </c>
      <c r="K431" s="93"/>
      <c r="L431" s="68">
        <v>0</v>
      </c>
      <c r="M431" s="93"/>
      <c r="N431" s="68">
        <v>0</v>
      </c>
      <c r="O431" s="93"/>
      <c r="P431" s="68">
        <v>6923628.5099999998</v>
      </c>
      <c r="Q431" s="93"/>
      <c r="R431" s="68">
        <v>6923628.5100000007</v>
      </c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</row>
    <row r="432" spans="1:48" ht="14.1" customHeight="1" x14ac:dyDescent="0.2">
      <c r="A432" s="84">
        <v>29</v>
      </c>
      <c r="B432" s="596"/>
      <c r="C432" s="237" t="s">
        <v>278</v>
      </c>
      <c r="D432" s="102" t="s">
        <v>279</v>
      </c>
      <c r="E432" s="103"/>
      <c r="F432" s="87">
        <v>0</v>
      </c>
      <c r="G432" s="88"/>
      <c r="H432" s="68">
        <v>38716170.969999984</v>
      </c>
      <c r="I432" s="93"/>
      <c r="J432" s="68">
        <v>47263937.899999991</v>
      </c>
      <c r="K432" s="93"/>
      <c r="L432" s="68">
        <v>0</v>
      </c>
      <c r="M432" s="93"/>
      <c r="N432" s="68">
        <v>0</v>
      </c>
      <c r="O432" s="93"/>
      <c r="P432" s="68">
        <v>85980108.869999975</v>
      </c>
      <c r="Q432" s="93"/>
      <c r="R432" s="68">
        <v>77695346.448461533</v>
      </c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</row>
    <row r="433" spans="1:48" ht="14.1" customHeight="1" x14ac:dyDescent="0.2">
      <c r="A433" s="84">
        <v>30</v>
      </c>
      <c r="B433" s="596"/>
      <c r="C433" s="237">
        <v>35000</v>
      </c>
      <c r="D433" s="104" t="s">
        <v>280</v>
      </c>
      <c r="E433" s="105"/>
      <c r="F433" s="87">
        <v>0</v>
      </c>
      <c r="G433" s="88"/>
      <c r="H433" s="68">
        <v>17470695.689999998</v>
      </c>
      <c r="I433" s="89"/>
      <c r="J433" s="68">
        <v>-1913.9300000000037</v>
      </c>
      <c r="K433" s="78"/>
      <c r="L433" s="68">
        <v>0</v>
      </c>
      <c r="M433" s="78"/>
      <c r="N433" s="68">
        <v>-58307.39</v>
      </c>
      <c r="O433" s="78"/>
      <c r="P433" s="68">
        <v>17410474.369999997</v>
      </c>
      <c r="Q433" s="78"/>
      <c r="R433" s="68">
        <v>17418238.312307697</v>
      </c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</row>
    <row r="434" spans="1:48" ht="14.1" customHeight="1" x14ac:dyDescent="0.2">
      <c r="A434" s="84">
        <v>31</v>
      </c>
      <c r="B434" s="596"/>
      <c r="C434" s="237">
        <v>36000</v>
      </c>
      <c r="D434" s="104" t="s">
        <v>281</v>
      </c>
      <c r="E434" s="105"/>
      <c r="F434" s="87">
        <v>0</v>
      </c>
      <c r="G434" s="88"/>
      <c r="H434" s="68">
        <v>10119108.020000001</v>
      </c>
      <c r="I434" s="89"/>
      <c r="J434" s="68">
        <v>0</v>
      </c>
      <c r="K434" s="78"/>
      <c r="L434" s="68">
        <v>0</v>
      </c>
      <c r="M434" s="78"/>
      <c r="N434" s="68">
        <v>674.52</v>
      </c>
      <c r="O434" s="78"/>
      <c r="P434" s="68">
        <v>10119782.540000001</v>
      </c>
      <c r="Q434" s="78"/>
      <c r="R434" s="68">
        <v>10119730.653846158</v>
      </c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</row>
    <row r="435" spans="1:48" ht="14.1" customHeight="1" x14ac:dyDescent="0.2">
      <c r="A435" s="84">
        <v>32</v>
      </c>
      <c r="B435" s="596"/>
      <c r="C435" s="237">
        <v>38900</v>
      </c>
      <c r="D435" s="104" t="s">
        <v>282</v>
      </c>
      <c r="E435" s="105"/>
      <c r="F435" s="87">
        <v>0</v>
      </c>
      <c r="G435" s="88"/>
      <c r="H435" s="68">
        <v>3286630.42</v>
      </c>
      <c r="I435" s="89"/>
      <c r="J435" s="68">
        <v>0</v>
      </c>
      <c r="K435" s="78"/>
      <c r="L435" s="68">
        <v>0</v>
      </c>
      <c r="M435" s="78"/>
      <c r="N435" s="68">
        <v>0</v>
      </c>
      <c r="O435" s="78"/>
      <c r="P435" s="68">
        <v>3286630.42</v>
      </c>
      <c r="Q435" s="78"/>
      <c r="R435" s="68">
        <v>3286630.4200000009</v>
      </c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</row>
    <row r="436" spans="1:48" ht="14.1" customHeight="1" x14ac:dyDescent="0.2">
      <c r="A436" s="84">
        <v>33</v>
      </c>
      <c r="B436" s="596"/>
      <c r="C436" s="237"/>
      <c r="D436" s="102" t="s">
        <v>173</v>
      </c>
      <c r="E436" s="103"/>
      <c r="F436" s="103"/>
      <c r="G436" s="103"/>
      <c r="H436" s="90">
        <v>76516233.609999985</v>
      </c>
      <c r="I436" s="93"/>
      <c r="J436" s="90">
        <v>47262023.969999991</v>
      </c>
      <c r="K436" s="93"/>
      <c r="L436" s="90">
        <v>0</v>
      </c>
      <c r="M436" s="93"/>
      <c r="N436" s="90">
        <v>-57632.87</v>
      </c>
      <c r="O436" s="93"/>
      <c r="P436" s="90">
        <v>123720624.70999998</v>
      </c>
      <c r="Q436" s="93"/>
      <c r="R436" s="90">
        <v>115443574.3446154</v>
      </c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</row>
    <row r="437" spans="1:48" ht="14.1" customHeight="1" x14ac:dyDescent="0.2">
      <c r="A437" s="84">
        <v>34</v>
      </c>
      <c r="B437" s="596"/>
      <c r="C437" s="237"/>
      <c r="H437" s="641"/>
      <c r="I437" s="93"/>
      <c r="J437" s="641"/>
      <c r="K437" s="93"/>
      <c r="L437" s="641"/>
      <c r="M437" s="93"/>
      <c r="N437" s="641"/>
      <c r="O437" s="93"/>
      <c r="P437" s="641"/>
      <c r="Q437" s="93"/>
      <c r="R437" s="641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</row>
    <row r="438" spans="1:48" ht="14.1" customHeight="1" x14ac:dyDescent="0.2">
      <c r="A438" s="84">
        <v>35</v>
      </c>
      <c r="B438" s="596"/>
      <c r="C438" s="237"/>
      <c r="D438" s="650" t="s">
        <v>283</v>
      </c>
      <c r="E438" s="85"/>
      <c r="F438" s="85"/>
      <c r="G438" s="85"/>
      <c r="H438" s="93"/>
      <c r="I438" s="93"/>
      <c r="J438" s="641"/>
      <c r="K438" s="93"/>
      <c r="L438" s="641"/>
      <c r="M438" s="93"/>
      <c r="N438" s="641"/>
      <c r="O438" s="93"/>
      <c r="P438" s="641"/>
      <c r="Q438" s="93"/>
      <c r="R438" s="641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</row>
    <row r="439" spans="1:48" ht="14.1" customHeight="1" x14ac:dyDescent="0.2">
      <c r="A439" s="84">
        <v>36</v>
      </c>
      <c r="B439" s="596"/>
      <c r="C439" s="237">
        <v>30315</v>
      </c>
      <c r="D439" s="95" t="s">
        <v>284</v>
      </c>
      <c r="F439" s="87">
        <v>6.7</v>
      </c>
      <c r="G439" s="88"/>
      <c r="H439" s="110">
        <v>214011037.90999997</v>
      </c>
      <c r="I439" s="89"/>
      <c r="J439" s="110">
        <v>17979914.579999998</v>
      </c>
      <c r="K439" s="78"/>
      <c r="L439" s="110">
        <v>0</v>
      </c>
      <c r="M439" s="78"/>
      <c r="N439" s="110">
        <v>2407844.44</v>
      </c>
      <c r="O439" s="78"/>
      <c r="P439" s="110">
        <v>234398796.92999995</v>
      </c>
      <c r="Q439" s="78"/>
      <c r="R439" s="110">
        <v>221824439.35461536</v>
      </c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</row>
    <row r="440" spans="1:48" ht="14.1" customHeight="1" x14ac:dyDescent="0.2">
      <c r="A440" s="84">
        <v>37</v>
      </c>
      <c r="B440" s="596"/>
      <c r="C440" s="237">
        <v>30399</v>
      </c>
      <c r="D440" s="95" t="s">
        <v>845</v>
      </c>
      <c r="F440" s="87">
        <v>3.33</v>
      </c>
      <c r="G440" s="88"/>
      <c r="H440" s="99">
        <v>0</v>
      </c>
      <c r="I440" s="89"/>
      <c r="J440" s="99">
        <v>0</v>
      </c>
      <c r="K440" s="78"/>
      <c r="L440" s="99">
        <v>0</v>
      </c>
      <c r="M440" s="78"/>
      <c r="N440" s="99">
        <v>415159.12</v>
      </c>
      <c r="O440" s="78"/>
      <c r="P440" s="99">
        <v>415159.12</v>
      </c>
      <c r="Q440" s="78"/>
      <c r="R440" s="99">
        <v>63870.633846153847</v>
      </c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</row>
    <row r="441" spans="1:48" ht="14.1" customHeight="1" x14ac:dyDescent="0.2">
      <c r="A441" s="84">
        <v>38</v>
      </c>
      <c r="B441" s="596"/>
      <c r="C441" s="237"/>
      <c r="D441" s="102" t="s">
        <v>285</v>
      </c>
      <c r="E441" s="106"/>
      <c r="F441" s="106"/>
      <c r="G441" s="106"/>
      <c r="H441" s="91">
        <v>214011037.90999997</v>
      </c>
      <c r="I441" s="93"/>
      <c r="J441" s="91">
        <v>17979914.579999998</v>
      </c>
      <c r="K441" s="93"/>
      <c r="L441" s="91">
        <v>0</v>
      </c>
      <c r="M441" s="93"/>
      <c r="N441" s="91">
        <v>2823003.56</v>
      </c>
      <c r="O441" s="93"/>
      <c r="P441" s="91">
        <v>234813956.04999995</v>
      </c>
      <c r="Q441" s="93"/>
      <c r="R441" s="91">
        <v>221888309.98846152</v>
      </c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</row>
    <row r="442" spans="1:48" ht="14.1" customHeight="1" x14ac:dyDescent="0.2">
      <c r="A442" s="84">
        <v>39</v>
      </c>
      <c r="B442" s="59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</row>
    <row r="443" spans="1:48" ht="14.1" customHeight="1" x14ac:dyDescent="0.2">
      <c r="A443" s="84">
        <v>40</v>
      </c>
      <c r="B443" s="59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</row>
    <row r="444" spans="1:48" ht="14.1" customHeight="1" x14ac:dyDescent="0.2">
      <c r="A444" s="84">
        <v>41</v>
      </c>
      <c r="B444" s="59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</row>
    <row r="445" spans="1:48" ht="14.1" customHeight="1" x14ac:dyDescent="0.2">
      <c r="A445" s="84">
        <v>42</v>
      </c>
      <c r="B445" s="59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</row>
    <row r="446" spans="1:48" ht="14.1" customHeight="1" x14ac:dyDescent="0.2">
      <c r="A446" s="84">
        <v>43</v>
      </c>
      <c r="B446" s="59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</row>
    <row r="447" spans="1:48" ht="14.1" customHeight="1" thickBot="1" x14ac:dyDescent="0.25">
      <c r="A447" s="84">
        <v>44</v>
      </c>
      <c r="B447" s="343" t="s">
        <v>186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</row>
    <row r="448" spans="1:48" ht="14.1" customHeight="1" x14ac:dyDescent="0.2">
      <c r="A448" s="84" t="s">
        <v>60</v>
      </c>
      <c r="P448" s="84" t="s">
        <v>60</v>
      </c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</row>
    <row r="449" spans="1:48" ht="14.1" customHeight="1" thickBot="1" x14ac:dyDescent="0.25">
      <c r="A449" s="114" t="s">
        <v>127</v>
      </c>
      <c r="B449" s="114"/>
      <c r="C449" s="114"/>
      <c r="D449" s="114"/>
      <c r="E449" s="114"/>
      <c r="F449" s="114"/>
      <c r="G449" s="114" t="s">
        <v>128</v>
      </c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 t="s">
        <v>331</v>
      </c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</row>
    <row r="450" spans="1:48" ht="14.1" customHeight="1" x14ac:dyDescent="0.2">
      <c r="A450" s="84" t="s">
        <v>129</v>
      </c>
      <c r="B450" s="622"/>
      <c r="E450" s="88" t="s">
        <v>130</v>
      </c>
      <c r="F450" s="84" t="s">
        <v>131</v>
      </c>
      <c r="J450" s="623"/>
      <c r="K450" s="623"/>
      <c r="M450" s="623"/>
      <c r="N450" s="623"/>
      <c r="O450" s="623" t="s">
        <v>187</v>
      </c>
      <c r="R450" s="604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</row>
    <row r="451" spans="1:48" ht="14.1" customHeight="1" x14ac:dyDescent="0.2">
      <c r="B451" s="622"/>
      <c r="F451" s="84" t="s">
        <v>133</v>
      </c>
      <c r="J451" s="88"/>
      <c r="K451" s="604"/>
      <c r="N451" s="88"/>
      <c r="O451" s="88" t="s">
        <v>123</v>
      </c>
      <c r="P451" s="604" t="s">
        <v>844</v>
      </c>
      <c r="R451" s="88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</row>
    <row r="452" spans="1:48" s="599" customFormat="1" ht="14.1" customHeight="1" x14ac:dyDescent="0.2">
      <c r="A452" s="84" t="s">
        <v>134</v>
      </c>
      <c r="B452" s="622"/>
      <c r="C452" s="84"/>
      <c r="D452" s="84"/>
      <c r="E452" s="84"/>
      <c r="F452" s="84" t="s">
        <v>123</v>
      </c>
      <c r="G452" s="84"/>
      <c r="H452" s="84"/>
      <c r="I452" s="84"/>
      <c r="J452" s="88"/>
      <c r="K452" s="604"/>
      <c r="L452" s="88"/>
      <c r="M452" s="84"/>
      <c r="N452" s="84"/>
      <c r="O452" s="88" t="s">
        <v>123</v>
      </c>
      <c r="P452" s="604"/>
      <c r="Q452" s="84"/>
      <c r="R452" s="88"/>
      <c r="S452" s="84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</row>
    <row r="453" spans="1:48" ht="14.1" customHeight="1" x14ac:dyDescent="0.2">
      <c r="B453" s="622"/>
      <c r="F453" s="84" t="s">
        <v>123</v>
      </c>
      <c r="J453" s="88"/>
      <c r="K453" s="604"/>
      <c r="L453" s="88"/>
      <c r="O453" s="88" t="s">
        <v>123</v>
      </c>
      <c r="P453" s="604"/>
      <c r="R453" s="88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</row>
    <row r="454" spans="1:48" ht="14.1" customHeight="1" thickBot="1" x14ac:dyDescent="0.25">
      <c r="A454" s="114" t="s">
        <v>135</v>
      </c>
      <c r="B454" s="624"/>
      <c r="C454" s="114"/>
      <c r="D454" s="114"/>
      <c r="E454" s="114"/>
      <c r="F454" s="114" t="s">
        <v>123</v>
      </c>
      <c r="G454" s="114"/>
      <c r="H454" s="606"/>
      <c r="I454" s="114"/>
      <c r="J454" s="114"/>
      <c r="K454" s="114"/>
      <c r="L454" s="114"/>
      <c r="M454" s="114"/>
      <c r="N454" s="114"/>
      <c r="O454" s="114"/>
      <c r="P454" s="625"/>
      <c r="Q454" s="114"/>
      <c r="R454" s="114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</row>
    <row r="455" spans="1:48" ht="14.1" customHeight="1" x14ac:dyDescent="0.2">
      <c r="C455" s="607"/>
      <c r="D455" s="607"/>
      <c r="E455" s="607"/>
      <c r="F455" s="607"/>
      <c r="G455" s="607"/>
      <c r="H455" s="607"/>
      <c r="I455" s="607"/>
      <c r="J455" s="607"/>
      <c r="K455" s="607"/>
      <c r="L455" s="607"/>
      <c r="M455" s="607"/>
      <c r="N455" s="607"/>
      <c r="O455" s="607"/>
      <c r="P455" s="607"/>
      <c r="Q455" s="607"/>
      <c r="R455" s="607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</row>
    <row r="456" spans="1:48" ht="14.1" customHeight="1" x14ac:dyDescent="0.2">
      <c r="C456" s="607" t="s">
        <v>136</v>
      </c>
      <c r="D456" s="607" t="s">
        <v>137</v>
      </c>
      <c r="E456" s="607"/>
      <c r="F456" s="607" t="s">
        <v>138</v>
      </c>
      <c r="G456" s="607"/>
      <c r="H456" s="607" t="s">
        <v>139</v>
      </c>
      <c r="I456" s="607"/>
      <c r="J456" s="237" t="s">
        <v>140</v>
      </c>
      <c r="K456" s="237"/>
      <c r="L456" s="607" t="s">
        <v>141</v>
      </c>
      <c r="M456" s="607"/>
      <c r="N456" s="607" t="s">
        <v>142</v>
      </c>
      <c r="O456" s="607"/>
      <c r="P456" s="607" t="s">
        <v>143</v>
      </c>
      <c r="Q456" s="607"/>
      <c r="R456" s="607" t="s">
        <v>144</v>
      </c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</row>
    <row r="457" spans="1:48" ht="14.1" customHeight="1" x14ac:dyDescent="0.2">
      <c r="C457" s="237" t="s">
        <v>145</v>
      </c>
      <c r="D457" s="237" t="s">
        <v>145</v>
      </c>
      <c r="F457" s="237" t="s">
        <v>6</v>
      </c>
      <c r="G457" s="237"/>
      <c r="H457" s="607" t="s">
        <v>48</v>
      </c>
      <c r="I457" s="237"/>
      <c r="J457" s="607" t="s">
        <v>40</v>
      </c>
      <c r="K457" s="237"/>
      <c r="L457" s="237" t="s">
        <v>40</v>
      </c>
      <c r="M457" s="237"/>
      <c r="P457" s="237" t="s">
        <v>48</v>
      </c>
      <c r="R457" s="237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</row>
    <row r="458" spans="1:48" ht="14.1" customHeight="1" x14ac:dyDescent="0.2">
      <c r="A458" s="84" t="s">
        <v>146</v>
      </c>
      <c r="B458" s="237"/>
      <c r="C458" s="237" t="s">
        <v>147</v>
      </c>
      <c r="D458" s="237" t="s">
        <v>147</v>
      </c>
      <c r="E458" s="607"/>
      <c r="F458" s="237" t="s">
        <v>148</v>
      </c>
      <c r="G458" s="237"/>
      <c r="H458" s="237" t="s">
        <v>149</v>
      </c>
      <c r="I458" s="237"/>
      <c r="J458" s="237" t="s">
        <v>48</v>
      </c>
      <c r="K458" s="607"/>
      <c r="L458" s="237" t="s">
        <v>48</v>
      </c>
      <c r="M458" s="604"/>
      <c r="N458" s="237" t="s">
        <v>150</v>
      </c>
      <c r="O458" s="607"/>
      <c r="P458" s="607" t="s">
        <v>149</v>
      </c>
      <c r="Q458" s="607"/>
      <c r="R458" s="237" t="s">
        <v>151</v>
      </c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</row>
    <row r="459" spans="1:48" ht="14.1" customHeight="1" thickBot="1" x14ac:dyDescent="0.25">
      <c r="A459" s="114" t="s">
        <v>152</v>
      </c>
      <c r="B459" s="606"/>
      <c r="C459" s="606" t="s">
        <v>52</v>
      </c>
      <c r="D459" s="606" t="s">
        <v>153</v>
      </c>
      <c r="E459" s="606"/>
      <c r="F459" s="608" t="s">
        <v>57</v>
      </c>
      <c r="G459" s="608"/>
      <c r="H459" s="608" t="s">
        <v>154</v>
      </c>
      <c r="I459" s="609"/>
      <c r="J459" s="608" t="s">
        <v>155</v>
      </c>
      <c r="K459" s="609"/>
      <c r="L459" s="609" t="s">
        <v>156</v>
      </c>
      <c r="M459" s="610"/>
      <c r="N459" s="610" t="s">
        <v>157</v>
      </c>
      <c r="O459" s="610"/>
      <c r="P459" s="610" t="s">
        <v>158</v>
      </c>
      <c r="Q459" s="610"/>
      <c r="R459" s="610" t="s">
        <v>3</v>
      </c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</row>
    <row r="460" spans="1:48" ht="14.1" customHeight="1" x14ac:dyDescent="0.2">
      <c r="A460" s="84">
        <v>1</v>
      </c>
      <c r="B460" s="59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</row>
    <row r="461" spans="1:48" ht="14.1" customHeight="1" x14ac:dyDescent="0.2">
      <c r="A461" s="84">
        <v>2</v>
      </c>
      <c r="B461" s="596"/>
      <c r="D461" s="616" t="s">
        <v>286</v>
      </c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</row>
    <row r="462" spans="1:48" ht="14.1" customHeight="1" x14ac:dyDescent="0.2">
      <c r="A462" s="84">
        <v>3</v>
      </c>
      <c r="B462" s="596"/>
      <c r="C462" s="237">
        <v>31700</v>
      </c>
      <c r="D462" s="84" t="s">
        <v>287</v>
      </c>
      <c r="F462" s="87">
        <v>14.7</v>
      </c>
      <c r="H462" s="68">
        <v>48038055.189999998</v>
      </c>
      <c r="J462" s="68">
        <v>-1.0000001639127731E-2</v>
      </c>
      <c r="L462" s="68">
        <v>-18001106.350000001</v>
      </c>
      <c r="N462" s="68">
        <v>0</v>
      </c>
      <c r="P462" s="68">
        <v>30036948.829999991</v>
      </c>
      <c r="R462" s="68">
        <v>46653354.696923085</v>
      </c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</row>
    <row r="463" spans="1:48" ht="14.1" customHeight="1" x14ac:dyDescent="0.2">
      <c r="A463" s="84">
        <v>4</v>
      </c>
      <c r="B463" s="596"/>
      <c r="C463" s="237">
        <v>34700</v>
      </c>
      <c r="D463" s="84" t="s">
        <v>288</v>
      </c>
      <c r="F463" s="87">
        <v>2.2999999999999998</v>
      </c>
      <c r="H463" s="68">
        <v>1697158.9100000001</v>
      </c>
      <c r="J463" s="68">
        <v>188638.83</v>
      </c>
      <c r="L463" s="68">
        <v>0</v>
      </c>
      <c r="N463" s="68">
        <v>0</v>
      </c>
      <c r="P463" s="68">
        <v>1885797.7400000002</v>
      </c>
      <c r="R463" s="68">
        <v>1798733.6646153852</v>
      </c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</row>
    <row r="464" spans="1:48" ht="14.1" customHeight="1" x14ac:dyDescent="0.2">
      <c r="A464" s="84">
        <v>5</v>
      </c>
      <c r="B464" s="596"/>
      <c r="C464" s="237">
        <v>37400</v>
      </c>
      <c r="D464" s="84" t="s">
        <v>289</v>
      </c>
      <c r="F464" s="87">
        <v>2.7985343035032666</v>
      </c>
      <c r="H464" s="68">
        <v>8214058.8199999994</v>
      </c>
      <c r="J464" s="68">
        <v>290678</v>
      </c>
      <c r="L464" s="68">
        <v>0</v>
      </c>
      <c r="N464" s="68">
        <v>0</v>
      </c>
      <c r="P464" s="68">
        <v>8504736.8200000003</v>
      </c>
      <c r="R464" s="68">
        <v>8236418.6661538435</v>
      </c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</row>
    <row r="465" spans="1:48" ht="14.1" customHeight="1" x14ac:dyDescent="0.2">
      <c r="A465" s="84">
        <v>6</v>
      </c>
      <c r="B465" s="596"/>
      <c r="C465" s="237">
        <v>39910</v>
      </c>
      <c r="D465" s="84" t="s">
        <v>290</v>
      </c>
      <c r="F465" s="87">
        <v>14.075593828916283</v>
      </c>
      <c r="H465" s="99">
        <v>197239.74</v>
      </c>
      <c r="J465" s="99">
        <v>0</v>
      </c>
      <c r="L465" s="99">
        <v>0</v>
      </c>
      <c r="N465" s="99">
        <v>0</v>
      </c>
      <c r="P465" s="99">
        <v>197239.74</v>
      </c>
      <c r="R465" s="99">
        <v>197239.74000000002</v>
      </c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</row>
    <row r="466" spans="1:48" ht="14.1" customHeight="1" x14ac:dyDescent="0.2">
      <c r="A466" s="84">
        <v>7</v>
      </c>
      <c r="B466" s="596"/>
      <c r="D466" s="616" t="s">
        <v>177</v>
      </c>
      <c r="H466" s="91">
        <v>58146512.659999996</v>
      </c>
      <c r="J466" s="91">
        <v>479316.81999999832</v>
      </c>
      <c r="L466" s="91">
        <v>-18001106.350000001</v>
      </c>
      <c r="N466" s="91">
        <v>0</v>
      </c>
      <c r="P466" s="91">
        <v>40624723.129999995</v>
      </c>
      <c r="R466" s="91">
        <v>56885746.767692313</v>
      </c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</row>
    <row r="467" spans="1:48" ht="14.1" customHeight="1" x14ac:dyDescent="0.2">
      <c r="A467" s="84">
        <v>8</v>
      </c>
      <c r="B467" s="596"/>
      <c r="H467" s="99"/>
      <c r="J467" s="99"/>
      <c r="L467" s="99"/>
      <c r="N467" s="99"/>
      <c r="P467" s="99"/>
      <c r="R467" s="99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</row>
    <row r="468" spans="1:48" ht="14.1" customHeight="1" x14ac:dyDescent="0.2">
      <c r="A468" s="84">
        <v>9</v>
      </c>
      <c r="B468" s="59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</row>
    <row r="469" spans="1:48" ht="14.1" customHeight="1" thickBot="1" x14ac:dyDescent="0.25">
      <c r="A469" s="84">
        <v>10</v>
      </c>
      <c r="B469" s="596"/>
      <c r="D469" s="84" t="s">
        <v>178</v>
      </c>
      <c r="H469" s="648">
        <v>8935807998.7299995</v>
      </c>
      <c r="I469" s="93"/>
      <c r="J469" s="648">
        <v>754515842.85000002</v>
      </c>
      <c r="K469" s="93"/>
      <c r="L469" s="648">
        <v>-88746788.409999996</v>
      </c>
      <c r="M469" s="93"/>
      <c r="N469" s="648">
        <v>4050800.26</v>
      </c>
      <c r="O469" s="93"/>
      <c r="P469" s="648">
        <v>9605627853.4299984</v>
      </c>
      <c r="Q469" s="93"/>
      <c r="R469" s="648">
        <v>9390250809.6438465</v>
      </c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</row>
    <row r="470" spans="1:48" ht="14.1" customHeight="1" thickTop="1" x14ac:dyDescent="0.2">
      <c r="A470" s="84">
        <v>11</v>
      </c>
      <c r="B470" s="59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</row>
    <row r="471" spans="1:48" ht="14.1" customHeight="1" x14ac:dyDescent="0.2">
      <c r="A471" s="84">
        <v>12</v>
      </c>
      <c r="B471" s="596"/>
      <c r="C471" s="237"/>
      <c r="D471" s="616" t="s">
        <v>291</v>
      </c>
      <c r="F471" s="87"/>
      <c r="G471" s="88"/>
      <c r="H471" s="68"/>
      <c r="I471" s="89"/>
      <c r="J471" s="68"/>
      <c r="K471" s="78"/>
      <c r="L471" s="68"/>
      <c r="M471" s="78"/>
      <c r="N471" s="68"/>
      <c r="O471" s="78"/>
      <c r="P471" s="68"/>
      <c r="Q471" s="78"/>
      <c r="R471" s="68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</row>
    <row r="472" spans="1:48" ht="14.1" customHeight="1" x14ac:dyDescent="0.2">
      <c r="A472" s="84">
        <v>13</v>
      </c>
      <c r="B472" s="596"/>
      <c r="C472" s="237">
        <v>11401</v>
      </c>
      <c r="D472" s="616" t="s">
        <v>292</v>
      </c>
      <c r="F472" s="87">
        <v>3.0042854300876143</v>
      </c>
      <c r="G472" s="88"/>
      <c r="H472" s="68">
        <v>6182810</v>
      </c>
      <c r="I472" s="89"/>
      <c r="J472" s="68">
        <v>0</v>
      </c>
      <c r="K472" s="78"/>
      <c r="L472" s="68">
        <v>0</v>
      </c>
      <c r="M472" s="78"/>
      <c r="N472" s="68">
        <v>0</v>
      </c>
      <c r="O472" s="78"/>
      <c r="P472" s="68">
        <v>6182810</v>
      </c>
      <c r="Q472" s="78"/>
      <c r="R472" s="68">
        <v>6182810</v>
      </c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</row>
    <row r="473" spans="1:48" ht="14.1" customHeight="1" x14ac:dyDescent="0.2">
      <c r="A473" s="84">
        <v>14</v>
      </c>
      <c r="C473" s="237">
        <v>11402</v>
      </c>
      <c r="D473" s="616" t="s">
        <v>293</v>
      </c>
      <c r="F473" s="87">
        <v>4.3644578968345584</v>
      </c>
      <c r="G473" s="88"/>
      <c r="H473" s="68">
        <v>960040.88</v>
      </c>
      <c r="I473" s="89"/>
      <c r="J473" s="68">
        <v>0</v>
      </c>
      <c r="K473" s="78"/>
      <c r="L473" s="68">
        <v>0</v>
      </c>
      <c r="M473" s="78"/>
      <c r="N473" s="68">
        <v>0</v>
      </c>
      <c r="O473" s="78"/>
      <c r="P473" s="68">
        <v>960040.88</v>
      </c>
      <c r="Q473" s="78"/>
      <c r="R473" s="68">
        <v>960040.88000000024</v>
      </c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</row>
    <row r="474" spans="1:48" ht="14.1" customHeight="1" x14ac:dyDescent="0.2">
      <c r="A474" s="84">
        <v>15</v>
      </c>
      <c r="C474" s="237">
        <v>11403</v>
      </c>
      <c r="D474" s="84" t="s">
        <v>294</v>
      </c>
      <c r="F474" s="87">
        <v>2.6490072809495331</v>
      </c>
      <c r="G474" s="88"/>
      <c r="H474" s="68">
        <v>341971.88</v>
      </c>
      <c r="I474" s="89"/>
      <c r="J474" s="68">
        <v>0</v>
      </c>
      <c r="K474" s="78"/>
      <c r="L474" s="68">
        <v>0</v>
      </c>
      <c r="M474" s="78"/>
      <c r="N474" s="68">
        <v>0</v>
      </c>
      <c r="O474" s="78"/>
      <c r="P474" s="68">
        <v>341971.88</v>
      </c>
      <c r="Q474" s="78"/>
      <c r="R474" s="68">
        <v>341971.87999999995</v>
      </c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</row>
    <row r="475" spans="1:48" ht="14.1" customHeight="1" x14ac:dyDescent="0.2">
      <c r="A475" s="84">
        <v>16</v>
      </c>
      <c r="D475" s="616" t="s">
        <v>179</v>
      </c>
      <c r="H475" s="90">
        <v>7484822.7599999998</v>
      </c>
      <c r="I475" s="93"/>
      <c r="J475" s="90">
        <v>0</v>
      </c>
      <c r="K475" s="93"/>
      <c r="L475" s="90">
        <v>0</v>
      </c>
      <c r="M475" s="93"/>
      <c r="N475" s="90">
        <v>0</v>
      </c>
      <c r="O475" s="93"/>
      <c r="P475" s="90">
        <v>7484822.7599999998</v>
      </c>
      <c r="Q475" s="93"/>
      <c r="R475" s="90">
        <v>7484822.7599999998</v>
      </c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</row>
    <row r="476" spans="1:48" ht="14.1" customHeight="1" x14ac:dyDescent="0.2">
      <c r="A476" s="84">
        <v>17</v>
      </c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</row>
    <row r="477" spans="1:48" ht="14.1" customHeight="1" x14ac:dyDescent="0.2">
      <c r="A477" s="84">
        <v>18</v>
      </c>
      <c r="C477" s="237">
        <v>10200</v>
      </c>
      <c r="D477" s="95" t="s">
        <v>181</v>
      </c>
      <c r="F477" s="87">
        <v>0</v>
      </c>
      <c r="G477" s="88"/>
      <c r="H477" s="68">
        <v>0</v>
      </c>
      <c r="I477" s="89"/>
      <c r="J477" s="68"/>
      <c r="K477" s="78"/>
      <c r="L477" s="68">
        <v>0</v>
      </c>
      <c r="M477" s="78"/>
      <c r="N477" s="68">
        <v>0</v>
      </c>
      <c r="O477" s="78"/>
      <c r="P477" s="68">
        <v>0</v>
      </c>
      <c r="Q477" s="78"/>
      <c r="R477" s="68">
        <v>0</v>
      </c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</row>
    <row r="478" spans="1:48" ht="14.1" customHeight="1" x14ac:dyDescent="0.2">
      <c r="A478" s="84">
        <v>19</v>
      </c>
      <c r="B478" s="59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</row>
    <row r="479" spans="1:48" ht="14.1" customHeight="1" x14ac:dyDescent="0.2">
      <c r="A479" s="84">
        <v>20</v>
      </c>
      <c r="B479" s="596"/>
      <c r="C479" s="237">
        <v>10501</v>
      </c>
      <c r="D479" s="107" t="s">
        <v>183</v>
      </c>
      <c r="F479" s="87">
        <v>0</v>
      </c>
      <c r="G479" s="88"/>
      <c r="H479" s="68">
        <v>50148105.039999999</v>
      </c>
      <c r="I479" s="89"/>
      <c r="J479" s="68">
        <v>1083615.2300000004</v>
      </c>
      <c r="K479" s="78"/>
      <c r="L479" s="68">
        <v>-22949.89</v>
      </c>
      <c r="M479" s="78"/>
      <c r="N479" s="68">
        <v>-6896409.1699999999</v>
      </c>
      <c r="O479" s="78"/>
      <c r="P479" s="68">
        <v>44312361.209999993</v>
      </c>
      <c r="Q479" s="78"/>
      <c r="R479" s="68">
        <v>44138301.870000005</v>
      </c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</row>
    <row r="480" spans="1:48" ht="14.1" customHeight="1" x14ac:dyDescent="0.2">
      <c r="A480" s="84">
        <v>21</v>
      </c>
      <c r="B480" s="596"/>
      <c r="C480" s="237"/>
      <c r="H480" s="90"/>
      <c r="I480" s="108"/>
      <c r="J480" s="90"/>
      <c r="K480" s="108"/>
      <c r="L480" s="90"/>
      <c r="M480" s="108"/>
      <c r="N480" s="90"/>
      <c r="O480" s="108"/>
      <c r="P480" s="90"/>
      <c r="Q480" s="108"/>
      <c r="R480" s="90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</row>
    <row r="481" spans="1:48" ht="14.1" customHeight="1" x14ac:dyDescent="0.2">
      <c r="A481" s="84">
        <v>22</v>
      </c>
      <c r="B481" s="59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</row>
    <row r="482" spans="1:48" ht="14.1" customHeight="1" thickBot="1" x14ac:dyDescent="0.25">
      <c r="A482" s="84">
        <v>23</v>
      </c>
      <c r="B482" s="596"/>
      <c r="D482" s="617" t="s">
        <v>184</v>
      </c>
      <c r="E482" s="617"/>
      <c r="H482" s="648">
        <v>8993440926.5300007</v>
      </c>
      <c r="I482" s="108"/>
      <c r="J482" s="648">
        <v>755599458.08000004</v>
      </c>
      <c r="K482" s="108"/>
      <c r="L482" s="648">
        <v>-88769738.299999997</v>
      </c>
      <c r="M482" s="108"/>
      <c r="N482" s="648">
        <v>-2845608.91</v>
      </c>
      <c r="O482" s="108"/>
      <c r="P482" s="648">
        <v>9657425037.3999977</v>
      </c>
      <c r="Q482" s="108"/>
      <c r="R482" s="648">
        <v>9441873934.2738476</v>
      </c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</row>
    <row r="483" spans="1:48" ht="14.1" customHeight="1" thickTop="1" x14ac:dyDescent="0.2">
      <c r="A483" s="84">
        <v>24</v>
      </c>
      <c r="B483" s="59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</row>
    <row r="484" spans="1:48" ht="14.1" customHeight="1" x14ac:dyDescent="0.2">
      <c r="A484" s="84">
        <v>25</v>
      </c>
      <c r="B484" s="59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</row>
    <row r="485" spans="1:48" ht="14.1" customHeight="1" x14ac:dyDescent="0.2">
      <c r="A485" s="84">
        <v>26</v>
      </c>
      <c r="B485" s="59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</row>
    <row r="486" spans="1:48" ht="14.1" customHeight="1" x14ac:dyDescent="0.2">
      <c r="A486" s="84">
        <v>27</v>
      </c>
      <c r="B486" s="59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</row>
    <row r="487" spans="1:48" ht="14.1" customHeight="1" x14ac:dyDescent="0.2">
      <c r="A487" s="84">
        <v>28</v>
      </c>
      <c r="B487" s="59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</row>
    <row r="488" spans="1:48" ht="14.1" customHeight="1" x14ac:dyDescent="0.2">
      <c r="A488" s="84">
        <v>29</v>
      </c>
      <c r="B488" s="59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</row>
    <row r="489" spans="1:48" ht="14.1" customHeight="1" x14ac:dyDescent="0.2">
      <c r="A489" s="84">
        <v>30</v>
      </c>
      <c r="B489" s="59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</row>
    <row r="490" spans="1:48" ht="14.1" customHeight="1" x14ac:dyDescent="0.2">
      <c r="A490" s="84">
        <v>31</v>
      </c>
      <c r="B490" s="59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</row>
    <row r="491" spans="1:48" ht="14.1" customHeight="1" x14ac:dyDescent="0.2">
      <c r="A491" s="84">
        <v>32</v>
      </c>
      <c r="B491" s="59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</row>
    <row r="492" spans="1:48" ht="14.1" customHeight="1" x14ac:dyDescent="0.2">
      <c r="A492" s="84">
        <v>33</v>
      </c>
      <c r="B492" s="59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</row>
    <row r="493" spans="1:48" ht="14.1" customHeight="1" x14ac:dyDescent="0.2">
      <c r="A493" s="84">
        <v>34</v>
      </c>
      <c r="B493" s="59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</row>
    <row r="494" spans="1:48" ht="14.1" customHeight="1" x14ac:dyDescent="0.2">
      <c r="A494" s="84">
        <v>35</v>
      </c>
      <c r="B494" s="59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</row>
    <row r="495" spans="1:48" ht="14.1" customHeight="1" x14ac:dyDescent="0.2">
      <c r="A495" s="84">
        <v>36</v>
      </c>
      <c r="B495" s="59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</row>
    <row r="496" spans="1:48" ht="14.1" customHeight="1" x14ac:dyDescent="0.2">
      <c r="A496" s="84">
        <v>37</v>
      </c>
      <c r="B496" s="59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</row>
    <row r="497" spans="1:48" ht="14.1" customHeight="1" x14ac:dyDescent="0.2">
      <c r="A497" s="84">
        <v>38</v>
      </c>
      <c r="B497" s="59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</row>
    <row r="498" spans="1:48" ht="14.1" customHeight="1" x14ac:dyDescent="0.2">
      <c r="A498" s="84">
        <v>39</v>
      </c>
      <c r="B498" s="59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</row>
    <row r="499" spans="1:48" ht="14.1" customHeight="1" x14ac:dyDescent="0.2">
      <c r="A499" s="84">
        <v>40</v>
      </c>
      <c r="B499" s="59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</row>
    <row r="500" spans="1:48" ht="14.1" customHeight="1" x14ac:dyDescent="0.2">
      <c r="A500" s="84">
        <v>41</v>
      </c>
      <c r="B500" s="59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</row>
    <row r="501" spans="1:48" ht="14.1" customHeight="1" x14ac:dyDescent="0.2">
      <c r="A501" s="84">
        <v>42</v>
      </c>
      <c r="B501" s="59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</row>
    <row r="502" spans="1:48" ht="14.1" customHeight="1" x14ac:dyDescent="0.2">
      <c r="A502" s="84">
        <v>43</v>
      </c>
      <c r="B502" s="651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</row>
    <row r="503" spans="1:48" ht="14.1" customHeight="1" thickBot="1" x14ac:dyDescent="0.25">
      <c r="A503" s="114">
        <v>44</v>
      </c>
      <c r="B503" s="343" t="s">
        <v>186</v>
      </c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</row>
    <row r="504" spans="1:48" ht="14.1" customHeight="1" x14ac:dyDescent="0.2">
      <c r="A504" s="84" t="s">
        <v>60</v>
      </c>
      <c r="P504" s="84" t="s">
        <v>60</v>
      </c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</row>
    <row r="505" spans="1:48" ht="14.1" customHeight="1" x14ac:dyDescent="0.2">
      <c r="D505" s="249" t="s">
        <v>295</v>
      </c>
      <c r="H505" s="240">
        <v>1.0907649993896484E-5</v>
      </c>
      <c r="I505" s="240"/>
      <c r="J505" s="240">
        <v>4.7218054533004761E-7</v>
      </c>
      <c r="K505" s="240"/>
      <c r="L505" s="240">
        <v>0</v>
      </c>
      <c r="M505" s="240"/>
      <c r="N505" s="240">
        <v>4.6566128730773926E-10</v>
      </c>
      <c r="O505" s="240"/>
      <c r="P505" s="240">
        <v>-1.3746321201324463E-6</v>
      </c>
      <c r="Q505" s="240"/>
      <c r="R505" s="240">
        <v>1.385807991027832E-6</v>
      </c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</row>
    <row r="506" spans="1:48" ht="14.1" customHeight="1" x14ac:dyDescent="0.2">
      <c r="D506" s="249" t="s">
        <v>296</v>
      </c>
      <c r="H506" s="329">
        <v>8935807998.7299976</v>
      </c>
      <c r="I506" s="329"/>
      <c r="J506" s="329">
        <v>754515842.85000002</v>
      </c>
      <c r="K506" s="329"/>
      <c r="L506" s="329">
        <v>-88746788.409999996</v>
      </c>
      <c r="M506" s="329"/>
      <c r="N506" s="329">
        <v>4050800.2599999993</v>
      </c>
      <c r="O506" s="329"/>
      <c r="P506" s="329">
        <v>9605627853.4300022</v>
      </c>
      <c r="Q506" s="329"/>
      <c r="R506" s="329">
        <v>9390250809.6438446</v>
      </c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</row>
    <row r="507" spans="1:48" ht="14.1" customHeight="1" x14ac:dyDescent="0.2">
      <c r="D507" s="249" t="s">
        <v>297</v>
      </c>
      <c r="H507" s="329">
        <v>0</v>
      </c>
      <c r="J507" s="329"/>
      <c r="L507" s="329">
        <v>0</v>
      </c>
      <c r="N507" s="329">
        <v>0</v>
      </c>
      <c r="P507" s="329">
        <v>0</v>
      </c>
      <c r="R507" s="329">
        <v>0</v>
      </c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</row>
    <row r="508" spans="1:48" ht="14.1" customHeight="1" x14ac:dyDescent="0.2">
      <c r="D508" s="88" t="s">
        <v>298</v>
      </c>
      <c r="H508" s="329">
        <v>50148105.039999999</v>
      </c>
      <c r="I508" s="329"/>
      <c r="J508" s="329">
        <v>1083615.2300000004</v>
      </c>
      <c r="K508" s="329"/>
      <c r="L508" s="329">
        <v>-22949.89</v>
      </c>
      <c r="M508" s="329"/>
      <c r="N508" s="329">
        <v>-6896409.1699999999</v>
      </c>
      <c r="O508" s="329"/>
      <c r="P508" s="329">
        <v>44312361.209999993</v>
      </c>
      <c r="Q508" s="329"/>
      <c r="R508" s="329">
        <v>44138301.870000005</v>
      </c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</row>
    <row r="509" spans="1:48" ht="14.1" customHeight="1" x14ac:dyDescent="0.2">
      <c r="D509" s="88" t="s">
        <v>299</v>
      </c>
      <c r="H509" s="330">
        <v>7484822.759999997</v>
      </c>
      <c r="I509" s="330"/>
      <c r="J509" s="330">
        <v>0</v>
      </c>
      <c r="K509" s="330"/>
      <c r="L509" s="330">
        <v>0</v>
      </c>
      <c r="M509" s="330"/>
      <c r="N509" s="330">
        <v>0</v>
      </c>
      <c r="O509" s="330"/>
      <c r="P509" s="330">
        <v>7484822.759999997</v>
      </c>
      <c r="Q509" s="329"/>
      <c r="R509" s="330">
        <v>7484822.7599999905</v>
      </c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</row>
    <row r="510" spans="1:48" ht="14.1" customHeight="1" thickBot="1" x14ac:dyDescent="0.25">
      <c r="H510" s="242">
        <v>8993440926.5299988</v>
      </c>
      <c r="I510" s="243"/>
      <c r="J510" s="242">
        <v>755599458.08000004</v>
      </c>
      <c r="K510" s="242"/>
      <c r="L510" s="242">
        <v>-88769738.299999997</v>
      </c>
      <c r="M510" s="242"/>
      <c r="N510" s="242">
        <v>-2845608.9100000006</v>
      </c>
      <c r="O510" s="242"/>
      <c r="P510" s="242">
        <v>9657425037.4000015</v>
      </c>
      <c r="Q510" s="242"/>
      <c r="R510" s="242">
        <v>9441873934.2738457</v>
      </c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</row>
    <row r="511" spans="1:48" ht="14.1" customHeight="1" thickTop="1" x14ac:dyDescent="0.2"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</row>
    <row r="512" spans="1:48" ht="14.1" customHeight="1" x14ac:dyDescent="0.2"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</row>
    <row r="513" spans="20:48" ht="14.1" customHeight="1" x14ac:dyDescent="0.2"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</row>
    <row r="514" spans="20:48" ht="14.1" customHeight="1" x14ac:dyDescent="0.2"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</row>
    <row r="515" spans="20:48" x14ac:dyDescent="0.2"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</row>
    <row r="516" spans="20:48" x14ac:dyDescent="0.2"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</row>
    <row r="517" spans="20:48" x14ac:dyDescent="0.2"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</row>
    <row r="518" spans="20:48" x14ac:dyDescent="0.2"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</row>
    <row r="519" spans="20:48" x14ac:dyDescent="0.2"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</row>
    <row r="520" spans="20:48" x14ac:dyDescent="0.2"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</row>
    <row r="521" spans="20:48" x14ac:dyDescent="0.2"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</row>
    <row r="522" spans="20:48" x14ac:dyDescent="0.2"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</row>
    <row r="523" spans="20:48" x14ac:dyDescent="0.2"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</row>
    <row r="524" spans="20:48" x14ac:dyDescent="0.2"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</row>
    <row r="525" spans="20:48" x14ac:dyDescent="0.2"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</row>
    <row r="526" spans="20:48" x14ac:dyDescent="0.2"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</row>
    <row r="527" spans="20:48" x14ac:dyDescent="0.2"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</row>
    <row r="528" spans="20:48" x14ac:dyDescent="0.2"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</row>
    <row r="529" spans="20:48" x14ac:dyDescent="0.2"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</row>
    <row r="530" spans="20:48" x14ac:dyDescent="0.2"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</row>
    <row r="531" spans="20:48" x14ac:dyDescent="0.2"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</row>
    <row r="532" spans="20:48" x14ac:dyDescent="0.2"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</row>
    <row r="533" spans="20:48" x14ac:dyDescent="0.2"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</row>
    <row r="534" spans="20:48" x14ac:dyDescent="0.2"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</row>
    <row r="535" spans="20:48" x14ac:dyDescent="0.2"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</row>
    <row r="536" spans="20:48" x14ac:dyDescent="0.2"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</row>
    <row r="537" spans="20:48" x14ac:dyDescent="0.2"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</row>
    <row r="538" spans="20:48" x14ac:dyDescent="0.2"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</row>
    <row r="539" spans="20:48" x14ac:dyDescent="0.2"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</row>
    <row r="540" spans="20:48" x14ac:dyDescent="0.2"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</row>
    <row r="541" spans="20:48" x14ac:dyDescent="0.2"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</row>
    <row r="542" spans="20:48" x14ac:dyDescent="0.2"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</row>
    <row r="543" spans="20:48" x14ac:dyDescent="0.2"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</row>
    <row r="544" spans="20:48" x14ac:dyDescent="0.2"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</row>
    <row r="545" spans="20:48" x14ac:dyDescent="0.2"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</row>
    <row r="546" spans="20:48" x14ac:dyDescent="0.2"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</row>
    <row r="547" spans="20:48" x14ac:dyDescent="0.2"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</row>
    <row r="548" spans="20:48" x14ac:dyDescent="0.2"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</row>
    <row r="549" spans="20:48" x14ac:dyDescent="0.2"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</row>
    <row r="550" spans="20:48" x14ac:dyDescent="0.2"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</row>
    <row r="551" spans="20:48" x14ac:dyDescent="0.2"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</row>
    <row r="552" spans="20:48" x14ac:dyDescent="0.2"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</row>
    <row r="553" spans="20:48" x14ac:dyDescent="0.2"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</row>
    <row r="554" spans="20:48" x14ac:dyDescent="0.2"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</row>
    <row r="555" spans="20:48" x14ac:dyDescent="0.2"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</row>
    <row r="556" spans="20:48" x14ac:dyDescent="0.2"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</row>
    <row r="557" spans="20:48" x14ac:dyDescent="0.2"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</row>
    <row r="558" spans="20:48" x14ac:dyDescent="0.2"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</row>
    <row r="559" spans="20:48" x14ac:dyDescent="0.2"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</row>
    <row r="560" spans="20:48" x14ac:dyDescent="0.2"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</row>
    <row r="561" spans="20:48" x14ac:dyDescent="0.2"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</row>
    <row r="562" spans="20:48" x14ac:dyDescent="0.2"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</row>
    <row r="563" spans="20:48" x14ac:dyDescent="0.2"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</row>
    <row r="564" spans="20:48" x14ac:dyDescent="0.2"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</row>
    <row r="565" spans="20:48" x14ac:dyDescent="0.2"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</row>
    <row r="566" spans="20:48" x14ac:dyDescent="0.2"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</row>
    <row r="567" spans="20:48" x14ac:dyDescent="0.2"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</row>
    <row r="568" spans="20:48" x14ac:dyDescent="0.2"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</row>
    <row r="569" spans="20:48" x14ac:dyDescent="0.2"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</row>
    <row r="570" spans="20:48" x14ac:dyDescent="0.2"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</row>
    <row r="571" spans="20:48" x14ac:dyDescent="0.2"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</row>
    <row r="572" spans="20:48" x14ac:dyDescent="0.2"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</row>
    <row r="573" spans="20:48" x14ac:dyDescent="0.2"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</row>
    <row r="574" spans="20:48" x14ac:dyDescent="0.2"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</row>
    <row r="575" spans="20:48" x14ac:dyDescent="0.2"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</row>
    <row r="576" spans="20:48" x14ac:dyDescent="0.2"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</row>
    <row r="577" spans="20:48" x14ac:dyDescent="0.2"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</row>
    <row r="578" spans="20:48" x14ac:dyDescent="0.2"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</row>
    <row r="579" spans="20:48" x14ac:dyDescent="0.2"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</row>
    <row r="580" spans="20:48" x14ac:dyDescent="0.2"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</row>
    <row r="581" spans="20:48" x14ac:dyDescent="0.2"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</row>
    <row r="582" spans="20:48" x14ac:dyDescent="0.2"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</row>
    <row r="583" spans="20:48" x14ac:dyDescent="0.2"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</row>
    <row r="584" spans="20:48" x14ac:dyDescent="0.2"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</row>
    <row r="585" spans="20:48" x14ac:dyDescent="0.2"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</row>
    <row r="586" spans="20:48" x14ac:dyDescent="0.2"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</row>
    <row r="587" spans="20:48" x14ac:dyDescent="0.2"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</row>
    <row r="588" spans="20:48" x14ac:dyDescent="0.2"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</row>
    <row r="589" spans="20:48" x14ac:dyDescent="0.2"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</row>
    <row r="590" spans="20:48" x14ac:dyDescent="0.2"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</row>
    <row r="591" spans="20:48" x14ac:dyDescent="0.2"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</row>
    <row r="592" spans="20:48" x14ac:dyDescent="0.2"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</row>
    <row r="593" spans="20:48" x14ac:dyDescent="0.2"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</row>
    <row r="594" spans="20:48" x14ac:dyDescent="0.2"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</row>
    <row r="595" spans="20:48" x14ac:dyDescent="0.2"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</row>
    <row r="596" spans="20:48" x14ac:dyDescent="0.2"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</row>
    <row r="597" spans="20:48" x14ac:dyDescent="0.2"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</row>
    <row r="598" spans="20:48" x14ac:dyDescent="0.2"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</row>
    <row r="599" spans="20:48" x14ac:dyDescent="0.2"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</row>
    <row r="600" spans="20:48" x14ac:dyDescent="0.2"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</row>
    <row r="601" spans="20:48" x14ac:dyDescent="0.2"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</row>
    <row r="602" spans="20:48" x14ac:dyDescent="0.2"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</row>
    <row r="603" spans="20:48" x14ac:dyDescent="0.2"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</row>
    <row r="604" spans="20:48" x14ac:dyDescent="0.2"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</row>
    <row r="605" spans="20:48" x14ac:dyDescent="0.2"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</row>
    <row r="606" spans="20:48" x14ac:dyDescent="0.2"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</row>
    <row r="607" spans="20:48" x14ac:dyDescent="0.2"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</row>
    <row r="608" spans="20:48" x14ac:dyDescent="0.2"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</row>
    <row r="609" spans="20:48" x14ac:dyDescent="0.2"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</row>
    <row r="610" spans="20:48" x14ac:dyDescent="0.2"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</row>
    <row r="611" spans="20:48" x14ac:dyDescent="0.2"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</row>
    <row r="612" spans="20:48" x14ac:dyDescent="0.2"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</row>
    <row r="613" spans="20:48" x14ac:dyDescent="0.2"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</row>
    <row r="614" spans="20:48" x14ac:dyDescent="0.2"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</row>
    <row r="615" spans="20:48" x14ac:dyDescent="0.2"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</row>
    <row r="616" spans="20:48" x14ac:dyDescent="0.2"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</row>
    <row r="617" spans="20:48" x14ac:dyDescent="0.2"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</row>
    <row r="618" spans="20:48" x14ac:dyDescent="0.2"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</row>
    <row r="619" spans="20:48" x14ac:dyDescent="0.2"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</row>
    <row r="620" spans="20:48" x14ac:dyDescent="0.2"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</row>
    <row r="621" spans="20:48" x14ac:dyDescent="0.2"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</row>
    <row r="622" spans="20:48" x14ac:dyDescent="0.2"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</row>
    <row r="623" spans="20:48" x14ac:dyDescent="0.2"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</row>
    <row r="624" spans="20:48" x14ac:dyDescent="0.2"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</row>
    <row r="625" spans="20:48" x14ac:dyDescent="0.2"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</row>
    <row r="626" spans="20:48" x14ac:dyDescent="0.2"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</row>
    <row r="627" spans="20:48" x14ac:dyDescent="0.2"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</row>
    <row r="628" spans="20:48" x14ac:dyDescent="0.2"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</row>
    <row r="629" spans="20:48" x14ac:dyDescent="0.2"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</row>
    <row r="630" spans="20:48" x14ac:dyDescent="0.2"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</row>
    <row r="631" spans="20:48" x14ac:dyDescent="0.2"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</row>
    <row r="632" spans="20:48" x14ac:dyDescent="0.2"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</row>
    <row r="633" spans="20:48" x14ac:dyDescent="0.2"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</row>
    <row r="634" spans="20:48" x14ac:dyDescent="0.2"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</row>
    <row r="635" spans="20:48" x14ac:dyDescent="0.2"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</row>
    <row r="636" spans="20:48" x14ac:dyDescent="0.2"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</row>
    <row r="637" spans="20:48" x14ac:dyDescent="0.2"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</row>
    <row r="638" spans="20:48" x14ac:dyDescent="0.2"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</row>
    <row r="639" spans="20:48" x14ac:dyDescent="0.2"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</row>
    <row r="640" spans="20:48" x14ac:dyDescent="0.2"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</row>
    <row r="641" spans="20:48" x14ac:dyDescent="0.2"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</row>
    <row r="642" spans="20:48" x14ac:dyDescent="0.2"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</row>
    <row r="643" spans="20:48" x14ac:dyDescent="0.2"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</row>
    <row r="644" spans="20:48" x14ac:dyDescent="0.2"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</row>
    <row r="645" spans="20:48" x14ac:dyDescent="0.2"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</row>
    <row r="646" spans="20:48" x14ac:dyDescent="0.2"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</row>
    <row r="647" spans="20:48" x14ac:dyDescent="0.2"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</row>
    <row r="648" spans="20:48" x14ac:dyDescent="0.2"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</row>
    <row r="649" spans="20:48" x14ac:dyDescent="0.2"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</row>
    <row r="650" spans="20:48" x14ac:dyDescent="0.2"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</row>
    <row r="651" spans="20:48" x14ac:dyDescent="0.2"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</row>
    <row r="652" spans="20:48" x14ac:dyDescent="0.2"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</row>
    <row r="653" spans="20:48" x14ac:dyDescent="0.2"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</row>
    <row r="654" spans="20:48" x14ac:dyDescent="0.2"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</row>
    <row r="655" spans="20:48" x14ac:dyDescent="0.2"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</row>
    <row r="656" spans="20:48" x14ac:dyDescent="0.2"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</row>
    <row r="657" spans="20:48" x14ac:dyDescent="0.2"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</row>
    <row r="658" spans="20:48" x14ac:dyDescent="0.2"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</row>
    <row r="659" spans="20:48" x14ac:dyDescent="0.2"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</row>
    <row r="660" spans="20:48" x14ac:dyDescent="0.2"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</row>
    <row r="661" spans="20:48" x14ac:dyDescent="0.2"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</row>
    <row r="662" spans="20:48" x14ac:dyDescent="0.2"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</row>
    <row r="663" spans="20:48" x14ac:dyDescent="0.2"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</row>
    <row r="664" spans="20:48" x14ac:dyDescent="0.2"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</row>
    <row r="665" spans="20:48" x14ac:dyDescent="0.2"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</row>
    <row r="666" spans="20:48" x14ac:dyDescent="0.2"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</row>
    <row r="667" spans="20:48" x14ac:dyDescent="0.2"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</row>
    <row r="668" spans="20:48" x14ac:dyDescent="0.2"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</row>
    <row r="669" spans="20:48" x14ac:dyDescent="0.2"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</row>
    <row r="670" spans="20:48" x14ac:dyDescent="0.2"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</row>
    <row r="671" spans="20:48" x14ac:dyDescent="0.2"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</row>
    <row r="672" spans="20:48" x14ac:dyDescent="0.2"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</row>
    <row r="673" spans="20:48" x14ac:dyDescent="0.2"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</row>
    <row r="674" spans="20:48" x14ac:dyDescent="0.2"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</row>
    <row r="675" spans="20:48" x14ac:dyDescent="0.2"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</row>
    <row r="676" spans="20:48" x14ac:dyDescent="0.2"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</row>
    <row r="677" spans="20:48" x14ac:dyDescent="0.2"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</row>
    <row r="678" spans="20:48" x14ac:dyDescent="0.2"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</row>
    <row r="679" spans="20:48" x14ac:dyDescent="0.2"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</row>
    <row r="680" spans="20:48" x14ac:dyDescent="0.2"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</row>
    <row r="681" spans="20:48" x14ac:dyDescent="0.2"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</row>
    <row r="682" spans="20:48" x14ac:dyDescent="0.2"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</row>
    <row r="683" spans="20:48" x14ac:dyDescent="0.2"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</row>
    <row r="684" spans="20:48" x14ac:dyDescent="0.2"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</row>
    <row r="685" spans="20:48" x14ac:dyDescent="0.2"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</row>
    <row r="686" spans="20:48" x14ac:dyDescent="0.2"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</row>
    <row r="687" spans="20:48" x14ac:dyDescent="0.2"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</row>
    <row r="688" spans="20:48" x14ac:dyDescent="0.2"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</row>
    <row r="689" spans="20:48" x14ac:dyDescent="0.2"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</row>
    <row r="690" spans="20:48" x14ac:dyDescent="0.2"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</row>
    <row r="691" spans="20:48" x14ac:dyDescent="0.2"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</row>
    <row r="692" spans="20:48" x14ac:dyDescent="0.2"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</row>
    <row r="693" spans="20:48" x14ac:dyDescent="0.2"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</row>
    <row r="694" spans="20:48" x14ac:dyDescent="0.2"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</row>
    <row r="695" spans="20:48" x14ac:dyDescent="0.2"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</row>
    <row r="696" spans="20:48" x14ac:dyDescent="0.2"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</row>
    <row r="697" spans="20:48" x14ac:dyDescent="0.2"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</row>
    <row r="698" spans="20:48" x14ac:dyDescent="0.2"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</row>
    <row r="699" spans="20:48" x14ac:dyDescent="0.2"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</row>
    <row r="700" spans="20:48" x14ac:dyDescent="0.2"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</row>
    <row r="701" spans="20:48" x14ac:dyDescent="0.2"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</row>
    <row r="702" spans="20:48" x14ac:dyDescent="0.2"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</row>
    <row r="703" spans="20:48" x14ac:dyDescent="0.2"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</row>
    <row r="704" spans="20:48" x14ac:dyDescent="0.2"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</row>
    <row r="705" spans="20:48" x14ac:dyDescent="0.2"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</row>
    <row r="706" spans="20:48" x14ac:dyDescent="0.2"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</row>
    <row r="707" spans="20:48" x14ac:dyDescent="0.2"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</row>
    <row r="708" spans="20:48" x14ac:dyDescent="0.2"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</row>
    <row r="709" spans="20:48" x14ac:dyDescent="0.2"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</row>
    <row r="710" spans="20:48" x14ac:dyDescent="0.2"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</row>
    <row r="711" spans="20:48" x14ac:dyDescent="0.2"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</row>
    <row r="712" spans="20:48" x14ac:dyDescent="0.2"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</row>
    <row r="713" spans="20:48" x14ac:dyDescent="0.2"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</row>
    <row r="714" spans="20:48" x14ac:dyDescent="0.2"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</row>
    <row r="715" spans="20:48" x14ac:dyDescent="0.2"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</row>
    <row r="716" spans="20:48" x14ac:dyDescent="0.2"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</row>
    <row r="717" spans="20:48" x14ac:dyDescent="0.2"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</row>
    <row r="718" spans="20:48" x14ac:dyDescent="0.2"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</row>
    <row r="719" spans="20:48" x14ac:dyDescent="0.2"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</row>
    <row r="720" spans="20:48" x14ac:dyDescent="0.2"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</row>
    <row r="721" spans="20:48" x14ac:dyDescent="0.2"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</row>
    <row r="722" spans="20:48" x14ac:dyDescent="0.2"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</row>
    <row r="723" spans="20:48" x14ac:dyDescent="0.2"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</row>
    <row r="724" spans="20:48" x14ac:dyDescent="0.2"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</row>
    <row r="725" spans="20:48" x14ac:dyDescent="0.2"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</row>
    <row r="726" spans="20:48" x14ac:dyDescent="0.2"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</row>
    <row r="727" spans="20:48" x14ac:dyDescent="0.2"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</row>
    <row r="728" spans="20:48" x14ac:dyDescent="0.2"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</row>
    <row r="729" spans="20:48" x14ac:dyDescent="0.2"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</row>
    <row r="730" spans="20:48" x14ac:dyDescent="0.2"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</row>
    <row r="731" spans="20:48" x14ac:dyDescent="0.2"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</row>
    <row r="732" spans="20:48" x14ac:dyDescent="0.2"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</row>
    <row r="733" spans="20:48" x14ac:dyDescent="0.2"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</row>
    <row r="734" spans="20:48" x14ac:dyDescent="0.2"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</row>
    <row r="735" spans="20:48" x14ac:dyDescent="0.2"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</row>
    <row r="736" spans="20:48" x14ac:dyDescent="0.2"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</row>
    <row r="737" spans="20:48" x14ac:dyDescent="0.2"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</row>
    <row r="738" spans="20:48" x14ac:dyDescent="0.2"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</row>
    <row r="739" spans="20:48" x14ac:dyDescent="0.2"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</row>
    <row r="740" spans="20:48" x14ac:dyDescent="0.2"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</row>
    <row r="741" spans="20:48" x14ac:dyDescent="0.2"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</row>
    <row r="742" spans="20:48" x14ac:dyDescent="0.2"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</row>
    <row r="743" spans="20:48" x14ac:dyDescent="0.2"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</row>
    <row r="744" spans="20:48" x14ac:dyDescent="0.2"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</row>
    <row r="745" spans="20:48" x14ac:dyDescent="0.2"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</row>
    <row r="746" spans="20:48" x14ac:dyDescent="0.2"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</row>
    <row r="747" spans="20:48" x14ac:dyDescent="0.2"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</row>
    <row r="748" spans="20:48" x14ac:dyDescent="0.2"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</row>
    <row r="749" spans="20:48" x14ac:dyDescent="0.2"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</row>
    <row r="750" spans="20:48" x14ac:dyDescent="0.2"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</row>
    <row r="751" spans="20:48" x14ac:dyDescent="0.2"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</row>
    <row r="752" spans="20:48" x14ac:dyDescent="0.2"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</row>
    <row r="753" spans="20:48" x14ac:dyDescent="0.2"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</row>
    <row r="754" spans="20:48" x14ac:dyDescent="0.2"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</row>
    <row r="755" spans="20:48" x14ac:dyDescent="0.2"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</row>
    <row r="756" spans="20:48" x14ac:dyDescent="0.2"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</row>
    <row r="757" spans="20:48" x14ac:dyDescent="0.2"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</row>
    <row r="758" spans="20:48" x14ac:dyDescent="0.2"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</row>
    <row r="759" spans="20:48" x14ac:dyDescent="0.2"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</row>
    <row r="760" spans="20:48" x14ac:dyDescent="0.2"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</row>
    <row r="761" spans="20:48" x14ac:dyDescent="0.2"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</row>
    <row r="762" spans="20:48" x14ac:dyDescent="0.2"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</row>
    <row r="763" spans="20:48" x14ac:dyDescent="0.2"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</row>
    <row r="764" spans="20:48" x14ac:dyDescent="0.2"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</row>
    <row r="765" spans="20:48" x14ac:dyDescent="0.2"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</row>
    <row r="766" spans="20:48" x14ac:dyDescent="0.2"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</row>
    <row r="767" spans="20:48" x14ac:dyDescent="0.2"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</row>
    <row r="768" spans="20:48" x14ac:dyDescent="0.2"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</row>
    <row r="769" spans="20:48" x14ac:dyDescent="0.2"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</row>
    <row r="770" spans="20:48" x14ac:dyDescent="0.2"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</row>
    <row r="771" spans="20:48" x14ac:dyDescent="0.2"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</row>
    <row r="772" spans="20:48" x14ac:dyDescent="0.2"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</row>
    <row r="773" spans="20:48" x14ac:dyDescent="0.2"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</row>
    <row r="774" spans="20:48" x14ac:dyDescent="0.2"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</row>
    <row r="775" spans="20:48" x14ac:dyDescent="0.2"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</row>
    <row r="776" spans="20:48" x14ac:dyDescent="0.2"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</row>
    <row r="777" spans="20:48" x14ac:dyDescent="0.2"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</row>
    <row r="778" spans="20:48" x14ac:dyDescent="0.2"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</row>
    <row r="779" spans="20:48" x14ac:dyDescent="0.2"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</row>
    <row r="780" spans="20:48" x14ac:dyDescent="0.2"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</row>
    <row r="781" spans="20:48" x14ac:dyDescent="0.2"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</row>
    <row r="782" spans="20:48" x14ac:dyDescent="0.2"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</row>
    <row r="783" spans="20:48" x14ac:dyDescent="0.2"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</row>
    <row r="784" spans="20:48" x14ac:dyDescent="0.2"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</row>
    <row r="785" spans="20:48" x14ac:dyDescent="0.2"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</row>
    <row r="786" spans="20:48" x14ac:dyDescent="0.2"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</row>
    <row r="787" spans="20:48" x14ac:dyDescent="0.2"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</row>
    <row r="788" spans="20:48" x14ac:dyDescent="0.2"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</row>
    <row r="789" spans="20:48" x14ac:dyDescent="0.2"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</row>
    <row r="790" spans="20:48" x14ac:dyDescent="0.2"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</row>
    <row r="791" spans="20:48" x14ac:dyDescent="0.2"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</row>
    <row r="792" spans="20:48" x14ac:dyDescent="0.2"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</row>
    <row r="793" spans="20:48" x14ac:dyDescent="0.2"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</row>
    <row r="794" spans="20:48" x14ac:dyDescent="0.2"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</row>
    <row r="795" spans="20:48" x14ac:dyDescent="0.2"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</row>
    <row r="796" spans="20:48" x14ac:dyDescent="0.2"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</row>
    <row r="797" spans="20:48" x14ac:dyDescent="0.2"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</row>
    <row r="798" spans="20:48" x14ac:dyDescent="0.2"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</row>
    <row r="799" spans="20:48" x14ac:dyDescent="0.2"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</row>
    <row r="800" spans="20:48" x14ac:dyDescent="0.2"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</row>
    <row r="801" spans="20:48" x14ac:dyDescent="0.2"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</row>
    <row r="802" spans="20:48" x14ac:dyDescent="0.2"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</row>
    <row r="803" spans="20:48" x14ac:dyDescent="0.2"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</row>
    <row r="804" spans="20:48" x14ac:dyDescent="0.2"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</row>
    <row r="805" spans="20:48" x14ac:dyDescent="0.2"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</row>
    <row r="806" spans="20:48" x14ac:dyDescent="0.2"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</row>
    <row r="807" spans="20:48" x14ac:dyDescent="0.2"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</row>
    <row r="808" spans="20:48" x14ac:dyDescent="0.2"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</row>
    <row r="809" spans="20:48" x14ac:dyDescent="0.2"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</row>
    <row r="810" spans="20:48" x14ac:dyDescent="0.2"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</row>
    <row r="811" spans="20:48" x14ac:dyDescent="0.2"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</row>
    <row r="812" spans="20:48" x14ac:dyDescent="0.2"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</row>
    <row r="813" spans="20:48" x14ac:dyDescent="0.2"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</row>
    <row r="814" spans="20:48" x14ac:dyDescent="0.2"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</row>
    <row r="815" spans="20:48" x14ac:dyDescent="0.2"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</row>
    <row r="816" spans="20:48" x14ac:dyDescent="0.2"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</row>
    <row r="817" spans="20:48" x14ac:dyDescent="0.2"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</row>
    <row r="818" spans="20:48" x14ac:dyDescent="0.2"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</row>
    <row r="819" spans="20:48" x14ac:dyDescent="0.2"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</row>
    <row r="820" spans="20:48" x14ac:dyDescent="0.2"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</row>
    <row r="821" spans="20:48" x14ac:dyDescent="0.2"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</row>
    <row r="822" spans="20:48" x14ac:dyDescent="0.2"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</row>
    <row r="823" spans="20:48" x14ac:dyDescent="0.2"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</row>
    <row r="824" spans="20:48" x14ac:dyDescent="0.2"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</row>
    <row r="825" spans="20:48" x14ac:dyDescent="0.2"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</row>
    <row r="826" spans="20:48" x14ac:dyDescent="0.2"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</row>
    <row r="827" spans="20:48" x14ac:dyDescent="0.2"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</row>
    <row r="828" spans="20:48" x14ac:dyDescent="0.2"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</row>
    <row r="829" spans="20:48" x14ac:dyDescent="0.2"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</row>
    <row r="830" spans="20:48" x14ac:dyDescent="0.2"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</row>
    <row r="831" spans="20:48" x14ac:dyDescent="0.2"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</row>
    <row r="832" spans="20:48" x14ac:dyDescent="0.2"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</row>
    <row r="833" spans="20:48" x14ac:dyDescent="0.2"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</row>
    <row r="834" spans="20:48" x14ac:dyDescent="0.2"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</row>
    <row r="835" spans="20:48" x14ac:dyDescent="0.2"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</row>
    <row r="836" spans="20:48" x14ac:dyDescent="0.2"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</row>
    <row r="837" spans="20:48" x14ac:dyDescent="0.2"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</row>
    <row r="838" spans="20:48" x14ac:dyDescent="0.2"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</row>
    <row r="839" spans="20:48" x14ac:dyDescent="0.2"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</row>
    <row r="840" spans="20:48" x14ac:dyDescent="0.2"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</row>
    <row r="841" spans="20:48" x14ac:dyDescent="0.2"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</row>
    <row r="842" spans="20:48" x14ac:dyDescent="0.2"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</row>
    <row r="843" spans="20:48" x14ac:dyDescent="0.2"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</row>
    <row r="844" spans="20:48" x14ac:dyDescent="0.2"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</row>
    <row r="845" spans="20:48" x14ac:dyDescent="0.2"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</row>
    <row r="846" spans="20:48" x14ac:dyDescent="0.2"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</row>
    <row r="847" spans="20:48" x14ac:dyDescent="0.2"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</row>
    <row r="848" spans="20:48" x14ac:dyDescent="0.2"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</row>
    <row r="849" spans="20:48" x14ac:dyDescent="0.2"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</row>
    <row r="850" spans="20:48" x14ac:dyDescent="0.2"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</row>
    <row r="851" spans="20:48" x14ac:dyDescent="0.2"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</row>
    <row r="852" spans="20:48" x14ac:dyDescent="0.2"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</row>
    <row r="853" spans="20:48" x14ac:dyDescent="0.2"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</row>
    <row r="854" spans="20:48" x14ac:dyDescent="0.2"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</row>
    <row r="855" spans="20:48" x14ac:dyDescent="0.2"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</row>
    <row r="856" spans="20:48" x14ac:dyDescent="0.2"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</row>
    <row r="857" spans="20:48" x14ac:dyDescent="0.2"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</row>
    <row r="858" spans="20:48" x14ac:dyDescent="0.2"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</row>
    <row r="859" spans="20:48" x14ac:dyDescent="0.2"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</row>
    <row r="860" spans="20:48" x14ac:dyDescent="0.2"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</row>
    <row r="861" spans="20:48" x14ac:dyDescent="0.2"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</row>
    <row r="862" spans="20:48" x14ac:dyDescent="0.2"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</row>
    <row r="863" spans="20:48" x14ac:dyDescent="0.2"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</row>
    <row r="864" spans="20:48" x14ac:dyDescent="0.2"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</row>
    <row r="865" spans="20:48" x14ac:dyDescent="0.2"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</row>
    <row r="866" spans="20:48" x14ac:dyDescent="0.2"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</row>
    <row r="867" spans="20:48" x14ac:dyDescent="0.2"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</row>
    <row r="868" spans="20:48" x14ac:dyDescent="0.2"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</row>
    <row r="869" spans="20:48" x14ac:dyDescent="0.2"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</row>
    <row r="870" spans="20:48" x14ac:dyDescent="0.2"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</row>
    <row r="871" spans="20:48" x14ac:dyDescent="0.2"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</row>
    <row r="872" spans="20:48" x14ac:dyDescent="0.2"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</row>
    <row r="873" spans="20:48" x14ac:dyDescent="0.2"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</row>
    <row r="874" spans="20:48" x14ac:dyDescent="0.2"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</row>
    <row r="875" spans="20:48" x14ac:dyDescent="0.2"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</row>
    <row r="876" spans="20:48" x14ac:dyDescent="0.2"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</row>
    <row r="877" spans="20:48" x14ac:dyDescent="0.2"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</row>
    <row r="878" spans="20:48" x14ac:dyDescent="0.2"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</row>
    <row r="879" spans="20:48" x14ac:dyDescent="0.2"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</row>
    <row r="880" spans="20:48" x14ac:dyDescent="0.2"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</row>
    <row r="881" spans="20:48" x14ac:dyDescent="0.2"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</row>
    <row r="882" spans="20:48" x14ac:dyDescent="0.2"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</row>
    <row r="883" spans="20:48" x14ac:dyDescent="0.2"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</row>
    <row r="884" spans="20:48" x14ac:dyDescent="0.2"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</row>
    <row r="885" spans="20:48" x14ac:dyDescent="0.2"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</row>
    <row r="886" spans="20:48" x14ac:dyDescent="0.2"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</row>
    <row r="887" spans="20:48" x14ac:dyDescent="0.2"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</row>
    <row r="888" spans="20:48" x14ac:dyDescent="0.2"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</row>
    <row r="889" spans="20:48" x14ac:dyDescent="0.2"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</row>
    <row r="890" spans="20:48" x14ac:dyDescent="0.2"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</row>
    <row r="891" spans="20:48" x14ac:dyDescent="0.2"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</row>
    <row r="892" spans="20:48" x14ac:dyDescent="0.2"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</row>
    <row r="893" spans="20:48" x14ac:dyDescent="0.2"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</row>
    <row r="894" spans="20:48" x14ac:dyDescent="0.2"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</row>
    <row r="895" spans="20:48" x14ac:dyDescent="0.2"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</row>
    <row r="896" spans="20:48" x14ac:dyDescent="0.2"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</row>
    <row r="897" spans="20:48" x14ac:dyDescent="0.2"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</row>
    <row r="898" spans="20:48" x14ac:dyDescent="0.2"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</row>
    <row r="899" spans="20:48" x14ac:dyDescent="0.2"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</row>
    <row r="900" spans="20:48" x14ac:dyDescent="0.2"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</row>
    <row r="901" spans="20:48" x14ac:dyDescent="0.2"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</row>
    <row r="902" spans="20:48" x14ac:dyDescent="0.2"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</row>
    <row r="903" spans="20:48" x14ac:dyDescent="0.2"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</row>
    <row r="904" spans="20:48" x14ac:dyDescent="0.2"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</row>
    <row r="905" spans="20:48" x14ac:dyDescent="0.2"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</row>
    <row r="906" spans="20:48" x14ac:dyDescent="0.2"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</row>
    <row r="907" spans="20:48" x14ac:dyDescent="0.2"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</row>
    <row r="908" spans="20:48" x14ac:dyDescent="0.2"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</row>
    <row r="909" spans="20:48" x14ac:dyDescent="0.2"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</row>
    <row r="910" spans="20:48" x14ac:dyDescent="0.2"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</row>
    <row r="911" spans="20:48" x14ac:dyDescent="0.2"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</row>
    <row r="912" spans="20:48" x14ac:dyDescent="0.2"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</row>
    <row r="913" spans="20:48" x14ac:dyDescent="0.2"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</row>
    <row r="914" spans="20:48" x14ac:dyDescent="0.2"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</row>
    <row r="915" spans="20:48" x14ac:dyDescent="0.2"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</row>
    <row r="916" spans="20:48" x14ac:dyDescent="0.2"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</row>
    <row r="917" spans="20:48" x14ac:dyDescent="0.2"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</row>
    <row r="918" spans="20:48" x14ac:dyDescent="0.2"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</row>
    <row r="919" spans="20:48" x14ac:dyDescent="0.2"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</row>
    <row r="920" spans="20:48" x14ac:dyDescent="0.2"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</row>
    <row r="921" spans="20:48" x14ac:dyDescent="0.2"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</row>
    <row r="922" spans="20:48" x14ac:dyDescent="0.2"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</row>
    <row r="923" spans="20:48" x14ac:dyDescent="0.2"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</row>
    <row r="924" spans="20:48" x14ac:dyDescent="0.2"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</row>
    <row r="925" spans="20:48" x14ac:dyDescent="0.2"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</row>
    <row r="926" spans="20:48" x14ac:dyDescent="0.2"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</row>
    <row r="927" spans="20:48" x14ac:dyDescent="0.2"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</row>
    <row r="928" spans="20:48" x14ac:dyDescent="0.2"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</row>
    <row r="929" spans="20:48" x14ac:dyDescent="0.2"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</row>
    <row r="930" spans="20:48" x14ac:dyDescent="0.2"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</row>
    <row r="931" spans="20:48" x14ac:dyDescent="0.2"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</row>
    <row r="932" spans="20:48" x14ac:dyDescent="0.2"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</row>
    <row r="933" spans="20:48" x14ac:dyDescent="0.2"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</row>
    <row r="934" spans="20:48" x14ac:dyDescent="0.2"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</row>
    <row r="935" spans="20:48" x14ac:dyDescent="0.2"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</row>
    <row r="936" spans="20:48" x14ac:dyDescent="0.2"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</row>
    <row r="937" spans="20:48" x14ac:dyDescent="0.2"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</row>
    <row r="938" spans="20:48" x14ac:dyDescent="0.2"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</row>
    <row r="939" spans="20:48" x14ac:dyDescent="0.2"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</row>
    <row r="940" spans="20:48" x14ac:dyDescent="0.2"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</row>
    <row r="941" spans="20:48" x14ac:dyDescent="0.2"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</row>
    <row r="942" spans="20:48" x14ac:dyDescent="0.2"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</row>
    <row r="943" spans="20:48" x14ac:dyDescent="0.2"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</row>
    <row r="944" spans="20:48" x14ac:dyDescent="0.2"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</row>
    <row r="945" spans="20:48" x14ac:dyDescent="0.2"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</row>
    <row r="946" spans="20:48" x14ac:dyDescent="0.2"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</row>
    <row r="947" spans="20:48" x14ac:dyDescent="0.2"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</row>
    <row r="948" spans="20:48" x14ac:dyDescent="0.2"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</row>
    <row r="949" spans="20:48" x14ac:dyDescent="0.2"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</row>
    <row r="950" spans="20:48" x14ac:dyDescent="0.2"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</row>
    <row r="951" spans="20:48" x14ac:dyDescent="0.2"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</row>
    <row r="952" spans="20:48" x14ac:dyDescent="0.2"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</row>
    <row r="953" spans="20:48" x14ac:dyDescent="0.2"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</row>
    <row r="954" spans="20:48" x14ac:dyDescent="0.2"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</row>
    <row r="955" spans="20:48" x14ac:dyDescent="0.2"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</row>
    <row r="956" spans="20:48" x14ac:dyDescent="0.2"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</row>
    <row r="957" spans="20:48" x14ac:dyDescent="0.2"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</row>
    <row r="958" spans="20:48" x14ac:dyDescent="0.2"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</row>
    <row r="959" spans="20:48" x14ac:dyDescent="0.2"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</row>
    <row r="960" spans="20:48" x14ac:dyDescent="0.2"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</row>
    <row r="961" spans="20:48" x14ac:dyDescent="0.2"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</row>
    <row r="962" spans="20:48" x14ac:dyDescent="0.2"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</row>
    <row r="963" spans="20:48" x14ac:dyDescent="0.2"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</row>
    <row r="964" spans="20:48" x14ac:dyDescent="0.2"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</row>
    <row r="965" spans="20:48" x14ac:dyDescent="0.2"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</row>
    <row r="966" spans="20:48" x14ac:dyDescent="0.2"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</row>
    <row r="967" spans="20:48" x14ac:dyDescent="0.2"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</row>
    <row r="968" spans="20:48" x14ac:dyDescent="0.2"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</row>
    <row r="969" spans="20:48" x14ac:dyDescent="0.2"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</row>
    <row r="970" spans="20:48" x14ac:dyDescent="0.2"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</row>
    <row r="971" spans="20:48" x14ac:dyDescent="0.2"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</row>
    <row r="972" spans="20:48" x14ac:dyDescent="0.2"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</row>
    <row r="973" spans="20:48" x14ac:dyDescent="0.2"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</row>
    <row r="974" spans="20:48" x14ac:dyDescent="0.2"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</row>
    <row r="975" spans="20:48" x14ac:dyDescent="0.2"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</row>
    <row r="976" spans="20:48" x14ac:dyDescent="0.2"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</row>
    <row r="977" spans="20:48" x14ac:dyDescent="0.2"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</row>
    <row r="978" spans="20:48" x14ac:dyDescent="0.2"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</row>
    <row r="979" spans="20:48" x14ac:dyDescent="0.2"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</row>
    <row r="980" spans="20:48" x14ac:dyDescent="0.2"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</row>
    <row r="981" spans="20:48" x14ac:dyDescent="0.2"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</row>
    <row r="982" spans="20:48" x14ac:dyDescent="0.2"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</row>
    <row r="983" spans="20:48" x14ac:dyDescent="0.2"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</row>
    <row r="984" spans="20:48" x14ac:dyDescent="0.2"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</row>
    <row r="985" spans="20:48" x14ac:dyDescent="0.2"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</row>
    <row r="986" spans="20:48" x14ac:dyDescent="0.2"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</row>
    <row r="987" spans="20:48" x14ac:dyDescent="0.2"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</row>
    <row r="988" spans="20:48" x14ac:dyDescent="0.2"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</row>
    <row r="989" spans="20:48" x14ac:dyDescent="0.2"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</row>
    <row r="990" spans="20:48" x14ac:dyDescent="0.2"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</row>
    <row r="991" spans="20:48" x14ac:dyDescent="0.2"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</row>
    <row r="992" spans="20:48" x14ac:dyDescent="0.2"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</row>
    <row r="993" spans="20:48" x14ac:dyDescent="0.2"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</row>
    <row r="994" spans="20:48" x14ac:dyDescent="0.2"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</row>
    <row r="995" spans="20:48" x14ac:dyDescent="0.2"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</row>
    <row r="996" spans="20:48" x14ac:dyDescent="0.2"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</row>
    <row r="997" spans="20:48" x14ac:dyDescent="0.2"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</row>
    <row r="998" spans="20:48" x14ac:dyDescent="0.2"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</row>
    <row r="999" spans="20:48" x14ac:dyDescent="0.2"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</row>
    <row r="1000" spans="20:48" x14ac:dyDescent="0.2"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</row>
    <row r="1001" spans="20:48" x14ac:dyDescent="0.2">
      <c r="T1001" s="76"/>
      <c r="U1001" s="76"/>
      <c r="V1001" s="76"/>
      <c r="W1001" s="76"/>
      <c r="X1001" s="76"/>
      <c r="Y1001" s="76"/>
      <c r="Z1001" s="76"/>
      <c r="AA1001" s="76"/>
      <c r="AB1001" s="76"/>
      <c r="AC1001" s="76"/>
      <c r="AD1001" s="76"/>
      <c r="AE1001" s="76"/>
      <c r="AF1001" s="76"/>
      <c r="AG1001" s="76"/>
      <c r="AH1001" s="76"/>
      <c r="AI1001" s="76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6"/>
      <c r="AU1001" s="76"/>
      <c r="AV1001" s="76"/>
    </row>
    <row r="1002" spans="20:48" x14ac:dyDescent="0.2">
      <c r="T1002" s="76"/>
      <c r="U1002" s="76"/>
      <c r="V1002" s="76"/>
      <c r="W1002" s="76"/>
      <c r="X1002" s="76"/>
      <c r="Y1002" s="76"/>
      <c r="Z1002" s="76"/>
      <c r="AA1002" s="76"/>
      <c r="AB1002" s="76"/>
      <c r="AC1002" s="76"/>
      <c r="AD1002" s="76"/>
      <c r="AE1002" s="76"/>
      <c r="AF1002" s="76"/>
      <c r="AG1002" s="76"/>
      <c r="AH1002" s="76"/>
      <c r="AI1002" s="76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6"/>
      <c r="AU1002" s="76"/>
      <c r="AV1002" s="76"/>
    </row>
    <row r="1003" spans="20:48" x14ac:dyDescent="0.2">
      <c r="T1003" s="76"/>
      <c r="U1003" s="76"/>
      <c r="V1003" s="76"/>
      <c r="W1003" s="76"/>
      <c r="X1003" s="76"/>
      <c r="Y1003" s="76"/>
      <c r="Z1003" s="76"/>
      <c r="AA1003" s="76"/>
      <c r="AB1003" s="76"/>
      <c r="AC1003" s="76"/>
      <c r="AD1003" s="76"/>
      <c r="AE1003" s="76"/>
      <c r="AF1003" s="76"/>
      <c r="AG1003" s="76"/>
      <c r="AH1003" s="76"/>
      <c r="AI1003" s="76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6"/>
      <c r="AU1003" s="76"/>
      <c r="AV1003" s="76"/>
    </row>
    <row r="1004" spans="20:48" x14ac:dyDescent="0.2">
      <c r="T1004" s="76"/>
      <c r="U1004" s="76"/>
      <c r="V1004" s="76"/>
      <c r="W1004" s="76"/>
      <c r="X1004" s="76"/>
      <c r="Y1004" s="76"/>
      <c r="Z1004" s="76"/>
      <c r="AA1004" s="76"/>
      <c r="AB1004" s="76"/>
      <c r="AC1004" s="76"/>
      <c r="AD1004" s="76"/>
      <c r="AE1004" s="76"/>
      <c r="AF1004" s="76"/>
      <c r="AG1004" s="76"/>
      <c r="AH1004" s="76"/>
      <c r="AI1004" s="76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6"/>
      <c r="AU1004" s="76"/>
      <c r="AV1004" s="76"/>
    </row>
    <row r="1005" spans="20:48" x14ac:dyDescent="0.2">
      <c r="T1005" s="76"/>
      <c r="U1005" s="76"/>
      <c r="V1005" s="76"/>
      <c r="W1005" s="76"/>
      <c r="X1005" s="76"/>
      <c r="Y1005" s="76"/>
      <c r="Z1005" s="76"/>
      <c r="AA1005" s="76"/>
      <c r="AB1005" s="76"/>
      <c r="AC1005" s="76"/>
      <c r="AD1005" s="76"/>
      <c r="AE1005" s="76"/>
      <c r="AF1005" s="76"/>
      <c r="AG1005" s="76"/>
      <c r="AH1005" s="76"/>
      <c r="AI1005" s="76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6"/>
      <c r="AU1005" s="76"/>
      <c r="AV1005" s="76"/>
    </row>
    <row r="1006" spans="20:48" x14ac:dyDescent="0.2">
      <c r="T1006" s="76"/>
      <c r="U1006" s="76"/>
      <c r="V1006" s="76"/>
      <c r="W1006" s="76"/>
      <c r="X1006" s="76"/>
      <c r="Y1006" s="76"/>
      <c r="Z1006" s="76"/>
      <c r="AA1006" s="76"/>
      <c r="AB1006" s="76"/>
      <c r="AC1006" s="76"/>
      <c r="AD1006" s="76"/>
      <c r="AE1006" s="76"/>
      <c r="AF1006" s="76"/>
      <c r="AG1006" s="76"/>
      <c r="AH1006" s="76"/>
      <c r="AI1006" s="76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6"/>
      <c r="AU1006" s="76"/>
      <c r="AV1006" s="76"/>
    </row>
    <row r="1007" spans="20:48" x14ac:dyDescent="0.2">
      <c r="T1007" s="76"/>
      <c r="U1007" s="76"/>
      <c r="V1007" s="76"/>
      <c r="W1007" s="76"/>
      <c r="X1007" s="76"/>
      <c r="Y1007" s="76"/>
      <c r="Z1007" s="76"/>
      <c r="AA1007" s="76"/>
      <c r="AB1007" s="76"/>
      <c r="AC1007" s="76"/>
      <c r="AD1007" s="76"/>
      <c r="AE1007" s="76"/>
      <c r="AF1007" s="76"/>
      <c r="AG1007" s="76"/>
      <c r="AH1007" s="76"/>
      <c r="AI1007" s="76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6"/>
      <c r="AU1007" s="76"/>
      <c r="AV1007" s="76"/>
    </row>
    <row r="1008" spans="20:48" x14ac:dyDescent="0.2">
      <c r="T1008" s="76"/>
      <c r="U1008" s="76"/>
      <c r="V1008" s="76"/>
      <c r="W1008" s="76"/>
      <c r="X1008" s="76"/>
      <c r="Y1008" s="76"/>
      <c r="Z1008" s="76"/>
      <c r="AA1008" s="76"/>
      <c r="AB1008" s="76"/>
      <c r="AC1008" s="76"/>
      <c r="AD1008" s="76"/>
      <c r="AE1008" s="76"/>
      <c r="AF1008" s="76"/>
      <c r="AG1008" s="76"/>
      <c r="AH1008" s="76"/>
      <c r="AI1008" s="76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6"/>
      <c r="AU1008" s="76"/>
      <c r="AV1008" s="76"/>
    </row>
    <row r="1009" spans="20:48" x14ac:dyDescent="0.2">
      <c r="T1009" s="76"/>
      <c r="U1009" s="76"/>
      <c r="V1009" s="76"/>
      <c r="W1009" s="76"/>
      <c r="X1009" s="76"/>
      <c r="Y1009" s="76"/>
      <c r="Z1009" s="76"/>
      <c r="AA1009" s="76"/>
      <c r="AB1009" s="76"/>
      <c r="AC1009" s="76"/>
      <c r="AD1009" s="76"/>
      <c r="AE1009" s="76"/>
      <c r="AF1009" s="76"/>
      <c r="AG1009" s="76"/>
      <c r="AH1009" s="76"/>
      <c r="AI1009" s="76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6"/>
      <c r="AU1009" s="76"/>
      <c r="AV1009" s="76"/>
    </row>
    <row r="1010" spans="20:48" x14ac:dyDescent="0.2">
      <c r="T1010" s="76"/>
      <c r="U1010" s="76"/>
      <c r="V1010" s="76"/>
      <c r="W1010" s="76"/>
      <c r="X1010" s="76"/>
      <c r="Y1010" s="76"/>
      <c r="Z1010" s="76"/>
      <c r="AA1010" s="76"/>
      <c r="AB1010" s="76"/>
      <c r="AC1010" s="76"/>
      <c r="AD1010" s="76"/>
      <c r="AE1010" s="76"/>
      <c r="AF1010" s="76"/>
      <c r="AG1010" s="76"/>
      <c r="AH1010" s="76"/>
      <c r="AI1010" s="76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6"/>
      <c r="AU1010" s="76"/>
      <c r="AV1010" s="76"/>
    </row>
    <row r="1011" spans="20:48" x14ac:dyDescent="0.2">
      <c r="T1011" s="76"/>
      <c r="U1011" s="76"/>
      <c r="V1011" s="76"/>
      <c r="W1011" s="76"/>
      <c r="X1011" s="76"/>
      <c r="Y1011" s="76"/>
      <c r="Z1011" s="76"/>
      <c r="AA1011" s="76"/>
      <c r="AB1011" s="76"/>
      <c r="AC1011" s="76"/>
      <c r="AD1011" s="76"/>
      <c r="AE1011" s="76"/>
      <c r="AF1011" s="76"/>
      <c r="AG1011" s="76"/>
      <c r="AH1011" s="76"/>
      <c r="AI1011" s="76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6"/>
      <c r="AU1011" s="76"/>
      <c r="AV1011" s="76"/>
    </row>
    <row r="1012" spans="20:48" x14ac:dyDescent="0.2">
      <c r="T1012" s="76"/>
      <c r="U1012" s="76"/>
      <c r="V1012" s="76"/>
      <c r="W1012" s="76"/>
      <c r="X1012" s="76"/>
      <c r="Y1012" s="76"/>
      <c r="Z1012" s="76"/>
      <c r="AA1012" s="76"/>
      <c r="AB1012" s="76"/>
      <c r="AC1012" s="76"/>
      <c r="AD1012" s="76"/>
      <c r="AE1012" s="76"/>
      <c r="AF1012" s="76"/>
      <c r="AG1012" s="76"/>
      <c r="AH1012" s="76"/>
      <c r="AI1012" s="76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6"/>
      <c r="AU1012" s="76"/>
      <c r="AV1012" s="76"/>
    </row>
    <row r="1013" spans="20:48" x14ac:dyDescent="0.2">
      <c r="T1013" s="76"/>
      <c r="U1013" s="76"/>
      <c r="V1013" s="76"/>
      <c r="W1013" s="76"/>
      <c r="X1013" s="76"/>
      <c r="Y1013" s="76"/>
      <c r="Z1013" s="76"/>
      <c r="AA1013" s="76"/>
      <c r="AB1013" s="76"/>
      <c r="AC1013" s="76"/>
      <c r="AD1013" s="76"/>
      <c r="AE1013" s="76"/>
      <c r="AF1013" s="76"/>
      <c r="AG1013" s="76"/>
      <c r="AH1013" s="76"/>
      <c r="AI1013" s="76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6"/>
      <c r="AU1013" s="76"/>
      <c r="AV1013" s="76"/>
    </row>
    <row r="1014" spans="20:48" x14ac:dyDescent="0.2">
      <c r="T1014" s="76"/>
      <c r="U1014" s="76"/>
      <c r="V1014" s="76"/>
      <c r="W1014" s="76"/>
      <c r="X1014" s="76"/>
      <c r="Y1014" s="76"/>
      <c r="Z1014" s="76"/>
      <c r="AA1014" s="76"/>
      <c r="AB1014" s="76"/>
      <c r="AC1014" s="76"/>
      <c r="AD1014" s="76"/>
      <c r="AE1014" s="76"/>
      <c r="AF1014" s="76"/>
      <c r="AG1014" s="76"/>
      <c r="AH1014" s="76"/>
      <c r="AI1014" s="76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6"/>
      <c r="AU1014" s="76"/>
      <c r="AV1014" s="76"/>
    </row>
    <row r="1015" spans="20:48" x14ac:dyDescent="0.2">
      <c r="T1015" s="76"/>
      <c r="U1015" s="76"/>
      <c r="V1015" s="76"/>
      <c r="W1015" s="76"/>
      <c r="X1015" s="76"/>
      <c r="Y1015" s="76"/>
      <c r="Z1015" s="76"/>
      <c r="AA1015" s="76"/>
      <c r="AB1015" s="76"/>
      <c r="AC1015" s="76"/>
      <c r="AD1015" s="76"/>
      <c r="AE1015" s="76"/>
      <c r="AF1015" s="76"/>
      <c r="AG1015" s="76"/>
      <c r="AH1015" s="76"/>
      <c r="AI1015" s="76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6"/>
      <c r="AU1015" s="76"/>
      <c r="AV1015" s="76"/>
    </row>
    <row r="1016" spans="20:48" x14ac:dyDescent="0.2">
      <c r="T1016" s="76"/>
      <c r="U1016" s="76"/>
      <c r="V1016" s="76"/>
      <c r="W1016" s="76"/>
      <c r="X1016" s="76"/>
      <c r="Y1016" s="76"/>
      <c r="Z1016" s="76"/>
      <c r="AA1016" s="76"/>
      <c r="AB1016" s="76"/>
      <c r="AC1016" s="76"/>
      <c r="AD1016" s="76"/>
      <c r="AE1016" s="76"/>
      <c r="AF1016" s="76"/>
      <c r="AG1016" s="76"/>
      <c r="AH1016" s="76"/>
      <c r="AI1016" s="76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6"/>
      <c r="AU1016" s="76"/>
      <c r="AV1016" s="76"/>
    </row>
    <row r="1017" spans="20:48" x14ac:dyDescent="0.2">
      <c r="T1017" s="76"/>
      <c r="U1017" s="76"/>
      <c r="V1017" s="76"/>
      <c r="W1017" s="76"/>
      <c r="X1017" s="76"/>
      <c r="Y1017" s="76"/>
      <c r="Z1017" s="76"/>
      <c r="AA1017" s="76"/>
      <c r="AB1017" s="76"/>
      <c r="AC1017" s="76"/>
      <c r="AD1017" s="76"/>
      <c r="AE1017" s="76"/>
      <c r="AF1017" s="76"/>
      <c r="AG1017" s="76"/>
      <c r="AH1017" s="76"/>
      <c r="AI1017" s="76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6"/>
      <c r="AU1017" s="76"/>
      <c r="AV1017" s="76"/>
    </row>
    <row r="1018" spans="20:48" x14ac:dyDescent="0.2">
      <c r="T1018" s="76"/>
      <c r="U1018" s="76"/>
      <c r="V1018" s="76"/>
      <c r="W1018" s="76"/>
      <c r="X1018" s="76"/>
      <c r="Y1018" s="76"/>
      <c r="Z1018" s="76"/>
      <c r="AA1018" s="76"/>
      <c r="AB1018" s="76"/>
      <c r="AC1018" s="76"/>
      <c r="AD1018" s="76"/>
      <c r="AE1018" s="76"/>
      <c r="AF1018" s="76"/>
      <c r="AG1018" s="76"/>
      <c r="AH1018" s="76"/>
      <c r="AI1018" s="76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6"/>
      <c r="AU1018" s="76"/>
      <c r="AV1018" s="76"/>
    </row>
    <row r="1019" spans="20:48" x14ac:dyDescent="0.2">
      <c r="T1019" s="76"/>
      <c r="U1019" s="76"/>
      <c r="V1019" s="76"/>
      <c r="W1019" s="76"/>
      <c r="X1019" s="76"/>
      <c r="Y1019" s="76"/>
      <c r="Z1019" s="76"/>
      <c r="AA1019" s="76"/>
      <c r="AB1019" s="76"/>
      <c r="AC1019" s="76"/>
      <c r="AD1019" s="76"/>
      <c r="AE1019" s="76"/>
      <c r="AF1019" s="76"/>
      <c r="AG1019" s="76"/>
      <c r="AH1019" s="76"/>
      <c r="AI1019" s="76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6"/>
      <c r="AU1019" s="76"/>
      <c r="AV1019" s="76"/>
    </row>
    <row r="1020" spans="20:48" x14ac:dyDescent="0.2">
      <c r="T1020" s="76"/>
      <c r="U1020" s="76"/>
      <c r="V1020" s="76"/>
      <c r="W1020" s="76"/>
      <c r="X1020" s="76"/>
      <c r="Y1020" s="76"/>
      <c r="Z1020" s="76"/>
      <c r="AA1020" s="76"/>
      <c r="AB1020" s="76"/>
      <c r="AC1020" s="76"/>
      <c r="AD1020" s="76"/>
      <c r="AE1020" s="76"/>
      <c r="AF1020" s="76"/>
      <c r="AG1020" s="76"/>
      <c r="AH1020" s="76"/>
      <c r="AI1020" s="76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6"/>
      <c r="AU1020" s="76"/>
      <c r="AV1020" s="76"/>
    </row>
    <row r="1021" spans="20:48" x14ac:dyDescent="0.2">
      <c r="T1021" s="76"/>
      <c r="U1021" s="76"/>
      <c r="V1021" s="76"/>
      <c r="W1021" s="76"/>
      <c r="X1021" s="76"/>
      <c r="Y1021" s="76"/>
      <c r="Z1021" s="76"/>
      <c r="AA1021" s="76"/>
      <c r="AB1021" s="76"/>
      <c r="AC1021" s="76"/>
      <c r="AD1021" s="76"/>
      <c r="AE1021" s="76"/>
      <c r="AF1021" s="76"/>
      <c r="AG1021" s="76"/>
      <c r="AH1021" s="76"/>
      <c r="AI1021" s="76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6"/>
      <c r="AU1021" s="76"/>
      <c r="AV1021" s="76"/>
    </row>
    <row r="1022" spans="20:48" x14ac:dyDescent="0.2">
      <c r="T1022" s="76"/>
      <c r="U1022" s="76"/>
      <c r="V1022" s="76"/>
      <c r="W1022" s="76"/>
      <c r="X1022" s="76"/>
      <c r="Y1022" s="76"/>
      <c r="Z1022" s="76"/>
      <c r="AA1022" s="76"/>
      <c r="AB1022" s="76"/>
      <c r="AC1022" s="76"/>
      <c r="AD1022" s="76"/>
      <c r="AE1022" s="76"/>
      <c r="AF1022" s="76"/>
      <c r="AG1022" s="76"/>
      <c r="AH1022" s="76"/>
      <c r="AI1022" s="76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6"/>
      <c r="AU1022" s="76"/>
      <c r="AV1022" s="76"/>
    </row>
    <row r="1023" spans="20:48" x14ac:dyDescent="0.2">
      <c r="T1023" s="76"/>
      <c r="U1023" s="76"/>
      <c r="V1023" s="76"/>
      <c r="W1023" s="76"/>
      <c r="X1023" s="76"/>
      <c r="Y1023" s="76"/>
      <c r="Z1023" s="76"/>
      <c r="AA1023" s="76"/>
      <c r="AB1023" s="76"/>
      <c r="AC1023" s="76"/>
      <c r="AD1023" s="76"/>
      <c r="AE1023" s="76"/>
      <c r="AF1023" s="76"/>
      <c r="AG1023" s="76"/>
      <c r="AH1023" s="76"/>
      <c r="AI1023" s="76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6"/>
      <c r="AU1023" s="76"/>
      <c r="AV1023" s="76"/>
    </row>
    <row r="1024" spans="20:48" x14ac:dyDescent="0.2">
      <c r="T1024" s="76"/>
      <c r="U1024" s="76"/>
      <c r="V1024" s="76"/>
      <c r="W1024" s="76"/>
      <c r="X1024" s="76"/>
      <c r="Y1024" s="76"/>
      <c r="Z1024" s="76"/>
      <c r="AA1024" s="76"/>
      <c r="AB1024" s="76"/>
      <c r="AC1024" s="76"/>
      <c r="AD1024" s="76"/>
      <c r="AE1024" s="76"/>
      <c r="AF1024" s="76"/>
      <c r="AG1024" s="76"/>
      <c r="AH1024" s="76"/>
      <c r="AI1024" s="76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6"/>
      <c r="AU1024" s="76"/>
      <c r="AV1024" s="76"/>
    </row>
    <row r="1025" spans="20:48" x14ac:dyDescent="0.2">
      <c r="T1025" s="76"/>
      <c r="U1025" s="76"/>
      <c r="V1025" s="76"/>
      <c r="W1025" s="76"/>
      <c r="X1025" s="76"/>
      <c r="Y1025" s="76"/>
      <c r="Z1025" s="76"/>
      <c r="AA1025" s="76"/>
      <c r="AB1025" s="76"/>
      <c r="AC1025" s="76"/>
      <c r="AD1025" s="76"/>
      <c r="AE1025" s="76"/>
      <c r="AF1025" s="76"/>
      <c r="AG1025" s="76"/>
      <c r="AH1025" s="76"/>
      <c r="AI1025" s="76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6"/>
      <c r="AU1025" s="76"/>
      <c r="AV1025" s="76"/>
    </row>
    <row r="1026" spans="20:48" x14ac:dyDescent="0.2">
      <c r="T1026" s="76"/>
      <c r="U1026" s="76"/>
      <c r="V1026" s="76"/>
      <c r="W1026" s="76"/>
      <c r="X1026" s="76"/>
      <c r="Y1026" s="76"/>
      <c r="Z1026" s="76"/>
      <c r="AA1026" s="76"/>
      <c r="AB1026" s="76"/>
      <c r="AC1026" s="76"/>
      <c r="AD1026" s="76"/>
      <c r="AE1026" s="76"/>
      <c r="AF1026" s="76"/>
      <c r="AG1026" s="76"/>
      <c r="AH1026" s="76"/>
      <c r="AI1026" s="76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6"/>
      <c r="AU1026" s="76"/>
      <c r="AV1026" s="76"/>
    </row>
    <row r="1027" spans="20:48" x14ac:dyDescent="0.2">
      <c r="T1027" s="76"/>
      <c r="U1027" s="76"/>
      <c r="V1027" s="76"/>
      <c r="W1027" s="76"/>
      <c r="X1027" s="76"/>
      <c r="Y1027" s="76"/>
      <c r="Z1027" s="76"/>
      <c r="AA1027" s="76"/>
      <c r="AB1027" s="76"/>
      <c r="AC1027" s="76"/>
      <c r="AD1027" s="76"/>
      <c r="AE1027" s="76"/>
      <c r="AF1027" s="76"/>
      <c r="AG1027" s="76"/>
      <c r="AH1027" s="76"/>
      <c r="AI1027" s="76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6"/>
      <c r="AU1027" s="76"/>
      <c r="AV1027" s="76"/>
    </row>
    <row r="1028" spans="20:48" x14ac:dyDescent="0.2">
      <c r="T1028" s="76"/>
      <c r="U1028" s="76"/>
      <c r="V1028" s="76"/>
      <c r="W1028" s="76"/>
      <c r="X1028" s="76"/>
      <c r="Y1028" s="76"/>
      <c r="Z1028" s="76"/>
      <c r="AA1028" s="76"/>
      <c r="AB1028" s="76"/>
      <c r="AC1028" s="76"/>
      <c r="AD1028" s="76"/>
      <c r="AE1028" s="76"/>
      <c r="AF1028" s="76"/>
      <c r="AG1028" s="76"/>
      <c r="AH1028" s="76"/>
      <c r="AI1028" s="76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6"/>
      <c r="AU1028" s="76"/>
      <c r="AV1028" s="76"/>
    </row>
    <row r="1029" spans="20:48" x14ac:dyDescent="0.2"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6"/>
      <c r="AU1029" s="76"/>
      <c r="AV1029" s="76"/>
    </row>
    <row r="1030" spans="20:48" x14ac:dyDescent="0.2">
      <c r="T1030" s="76"/>
      <c r="U1030" s="76"/>
      <c r="V1030" s="76"/>
      <c r="W1030" s="76"/>
      <c r="X1030" s="76"/>
      <c r="Y1030" s="76"/>
      <c r="Z1030" s="76"/>
      <c r="AA1030" s="76"/>
      <c r="AB1030" s="76"/>
      <c r="AC1030" s="76"/>
      <c r="AD1030" s="76"/>
      <c r="AE1030" s="76"/>
      <c r="AF1030" s="76"/>
      <c r="AG1030" s="76"/>
      <c r="AH1030" s="76"/>
      <c r="AI1030" s="76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6"/>
      <c r="AU1030" s="76"/>
      <c r="AV1030" s="76"/>
    </row>
    <row r="1031" spans="20:48" x14ac:dyDescent="0.2">
      <c r="T1031" s="76"/>
      <c r="U1031" s="76"/>
      <c r="V1031" s="76"/>
      <c r="W1031" s="76"/>
      <c r="X1031" s="76"/>
      <c r="Y1031" s="76"/>
      <c r="Z1031" s="76"/>
      <c r="AA1031" s="76"/>
      <c r="AB1031" s="76"/>
      <c r="AC1031" s="76"/>
      <c r="AD1031" s="76"/>
      <c r="AE1031" s="76"/>
      <c r="AF1031" s="76"/>
      <c r="AG1031" s="76"/>
      <c r="AH1031" s="76"/>
      <c r="AI1031" s="76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6"/>
      <c r="AU1031" s="76"/>
      <c r="AV1031" s="76"/>
    </row>
    <row r="1032" spans="20:48" x14ac:dyDescent="0.2">
      <c r="T1032" s="76"/>
      <c r="U1032" s="76"/>
      <c r="V1032" s="76"/>
      <c r="W1032" s="76"/>
      <c r="X1032" s="76"/>
      <c r="Y1032" s="76"/>
      <c r="Z1032" s="76"/>
      <c r="AA1032" s="76"/>
      <c r="AB1032" s="76"/>
      <c r="AC1032" s="76"/>
      <c r="AD1032" s="76"/>
      <c r="AE1032" s="76"/>
      <c r="AF1032" s="76"/>
      <c r="AG1032" s="76"/>
      <c r="AH1032" s="76"/>
      <c r="AI1032" s="76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6"/>
      <c r="AU1032" s="76"/>
      <c r="AV1032" s="76"/>
    </row>
    <row r="1033" spans="20:48" x14ac:dyDescent="0.2">
      <c r="T1033" s="76"/>
      <c r="U1033" s="76"/>
      <c r="V1033" s="76"/>
      <c r="W1033" s="76"/>
      <c r="X1033" s="76"/>
      <c r="Y1033" s="76"/>
      <c r="Z1033" s="76"/>
      <c r="AA1033" s="76"/>
      <c r="AB1033" s="76"/>
      <c r="AC1033" s="76"/>
      <c r="AD1033" s="76"/>
      <c r="AE1033" s="76"/>
      <c r="AF1033" s="76"/>
      <c r="AG1033" s="76"/>
      <c r="AH1033" s="76"/>
      <c r="AI1033" s="76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6"/>
      <c r="AU1033" s="76"/>
      <c r="AV1033" s="76"/>
    </row>
    <row r="1034" spans="20:48" x14ac:dyDescent="0.2">
      <c r="T1034" s="76"/>
      <c r="U1034" s="76"/>
      <c r="V1034" s="76"/>
      <c r="W1034" s="76"/>
      <c r="X1034" s="76"/>
      <c r="Y1034" s="76"/>
      <c r="Z1034" s="76"/>
      <c r="AA1034" s="76"/>
      <c r="AB1034" s="76"/>
      <c r="AC1034" s="76"/>
      <c r="AD1034" s="76"/>
      <c r="AE1034" s="76"/>
      <c r="AF1034" s="76"/>
      <c r="AG1034" s="76"/>
      <c r="AH1034" s="76"/>
      <c r="AI1034" s="76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6"/>
      <c r="AU1034" s="76"/>
      <c r="AV1034" s="76"/>
    </row>
    <row r="1035" spans="20:48" x14ac:dyDescent="0.2">
      <c r="T1035" s="76"/>
      <c r="U1035" s="76"/>
      <c r="V1035" s="76"/>
      <c r="W1035" s="76"/>
      <c r="X1035" s="76"/>
      <c r="Y1035" s="76"/>
      <c r="Z1035" s="76"/>
      <c r="AA1035" s="76"/>
      <c r="AB1035" s="76"/>
      <c r="AC1035" s="76"/>
      <c r="AD1035" s="76"/>
      <c r="AE1035" s="76"/>
      <c r="AF1035" s="76"/>
      <c r="AG1035" s="76"/>
      <c r="AH1035" s="76"/>
      <c r="AI1035" s="76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6"/>
      <c r="AU1035" s="76"/>
      <c r="AV1035" s="76"/>
    </row>
    <row r="1036" spans="20:48" x14ac:dyDescent="0.2">
      <c r="T1036" s="76"/>
      <c r="U1036" s="76"/>
      <c r="V1036" s="76"/>
      <c r="W1036" s="76"/>
      <c r="X1036" s="76"/>
      <c r="Y1036" s="76"/>
      <c r="Z1036" s="76"/>
      <c r="AA1036" s="76"/>
      <c r="AB1036" s="76"/>
      <c r="AC1036" s="76"/>
      <c r="AD1036" s="76"/>
      <c r="AE1036" s="76"/>
      <c r="AF1036" s="76"/>
      <c r="AG1036" s="76"/>
      <c r="AH1036" s="76"/>
      <c r="AI1036" s="76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6"/>
      <c r="AU1036" s="76"/>
      <c r="AV1036" s="76"/>
    </row>
    <row r="1037" spans="20:48" x14ac:dyDescent="0.2">
      <c r="T1037" s="76"/>
      <c r="U1037" s="76"/>
      <c r="V1037" s="76"/>
      <c r="W1037" s="76"/>
      <c r="X1037" s="76"/>
      <c r="Y1037" s="76"/>
      <c r="Z1037" s="76"/>
      <c r="AA1037" s="76"/>
      <c r="AB1037" s="76"/>
      <c r="AC1037" s="76"/>
      <c r="AD1037" s="76"/>
      <c r="AE1037" s="76"/>
      <c r="AF1037" s="76"/>
      <c r="AG1037" s="76"/>
      <c r="AH1037" s="76"/>
      <c r="AI1037" s="76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6"/>
      <c r="AU1037" s="76"/>
      <c r="AV1037" s="76"/>
    </row>
    <row r="1038" spans="20:48" x14ac:dyDescent="0.2">
      <c r="T1038" s="76"/>
      <c r="U1038" s="76"/>
      <c r="V1038" s="76"/>
      <c r="W1038" s="76"/>
      <c r="X1038" s="76"/>
      <c r="Y1038" s="76"/>
      <c r="Z1038" s="76"/>
      <c r="AA1038" s="76"/>
      <c r="AB1038" s="76"/>
      <c r="AC1038" s="76"/>
      <c r="AD1038" s="76"/>
      <c r="AE1038" s="76"/>
      <c r="AF1038" s="76"/>
      <c r="AG1038" s="76"/>
      <c r="AH1038" s="76"/>
      <c r="AI1038" s="76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6"/>
      <c r="AU1038" s="76"/>
      <c r="AV1038" s="76"/>
    </row>
    <row r="1039" spans="20:48" x14ac:dyDescent="0.2">
      <c r="T1039" s="76"/>
      <c r="U1039" s="76"/>
      <c r="V1039" s="76"/>
      <c r="W1039" s="76"/>
      <c r="X1039" s="76"/>
      <c r="Y1039" s="76"/>
      <c r="Z1039" s="76"/>
      <c r="AA1039" s="76"/>
      <c r="AB1039" s="76"/>
      <c r="AC1039" s="76"/>
      <c r="AD1039" s="76"/>
      <c r="AE1039" s="76"/>
      <c r="AF1039" s="76"/>
      <c r="AG1039" s="76"/>
      <c r="AH1039" s="76"/>
      <c r="AI1039" s="76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6"/>
      <c r="AU1039" s="76"/>
      <c r="AV1039" s="76"/>
    </row>
    <row r="1040" spans="20:48" x14ac:dyDescent="0.2">
      <c r="T1040" s="76"/>
      <c r="U1040" s="76"/>
      <c r="V1040" s="76"/>
      <c r="W1040" s="76"/>
      <c r="X1040" s="76"/>
      <c r="Y1040" s="76"/>
      <c r="Z1040" s="76"/>
      <c r="AA1040" s="76"/>
      <c r="AB1040" s="76"/>
      <c r="AC1040" s="76"/>
      <c r="AD1040" s="76"/>
      <c r="AE1040" s="76"/>
      <c r="AF1040" s="76"/>
      <c r="AG1040" s="76"/>
      <c r="AH1040" s="76"/>
      <c r="AI1040" s="76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6"/>
      <c r="AU1040" s="76"/>
      <c r="AV1040" s="76"/>
    </row>
    <row r="1041" spans="20:48" x14ac:dyDescent="0.2">
      <c r="T1041" s="76"/>
      <c r="U1041" s="76"/>
      <c r="V1041" s="76"/>
      <c r="W1041" s="76"/>
      <c r="X1041" s="76"/>
      <c r="Y1041" s="76"/>
      <c r="Z1041" s="76"/>
      <c r="AA1041" s="76"/>
      <c r="AB1041" s="76"/>
      <c r="AC1041" s="76"/>
      <c r="AD1041" s="76"/>
      <c r="AE1041" s="76"/>
      <c r="AF1041" s="76"/>
      <c r="AG1041" s="76"/>
      <c r="AH1041" s="76"/>
      <c r="AI1041" s="76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6"/>
      <c r="AU1041" s="76"/>
      <c r="AV1041" s="76"/>
    </row>
    <row r="1042" spans="20:48" x14ac:dyDescent="0.2">
      <c r="T1042" s="76"/>
      <c r="U1042" s="76"/>
      <c r="V1042" s="76"/>
      <c r="W1042" s="76"/>
      <c r="X1042" s="76"/>
      <c r="Y1042" s="76"/>
      <c r="Z1042" s="76"/>
      <c r="AA1042" s="76"/>
      <c r="AB1042" s="76"/>
      <c r="AC1042" s="76"/>
      <c r="AD1042" s="76"/>
      <c r="AE1042" s="76"/>
      <c r="AF1042" s="76"/>
      <c r="AG1042" s="76"/>
      <c r="AH1042" s="76"/>
      <c r="AI1042" s="76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6"/>
      <c r="AU1042" s="76"/>
      <c r="AV1042" s="76"/>
    </row>
    <row r="1043" spans="20:48" x14ac:dyDescent="0.2">
      <c r="T1043" s="76"/>
      <c r="U1043" s="76"/>
      <c r="V1043" s="76"/>
      <c r="W1043" s="76"/>
      <c r="X1043" s="76"/>
      <c r="Y1043" s="76"/>
      <c r="Z1043" s="76"/>
      <c r="AA1043" s="76"/>
      <c r="AB1043" s="76"/>
      <c r="AC1043" s="76"/>
      <c r="AD1043" s="76"/>
      <c r="AE1043" s="76"/>
      <c r="AF1043" s="76"/>
      <c r="AG1043" s="76"/>
      <c r="AH1043" s="76"/>
      <c r="AI1043" s="76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6"/>
      <c r="AU1043" s="76"/>
      <c r="AV1043" s="76"/>
    </row>
    <row r="1044" spans="20:48" x14ac:dyDescent="0.2">
      <c r="T1044" s="76"/>
      <c r="U1044" s="76"/>
      <c r="V1044" s="76"/>
      <c r="W1044" s="76"/>
      <c r="X1044" s="76"/>
      <c r="Y1044" s="76"/>
      <c r="Z1044" s="76"/>
      <c r="AA1044" s="76"/>
      <c r="AB1044" s="76"/>
      <c r="AC1044" s="76"/>
      <c r="AD1044" s="76"/>
      <c r="AE1044" s="76"/>
      <c r="AF1044" s="76"/>
      <c r="AG1044" s="76"/>
      <c r="AH1044" s="76"/>
      <c r="AI1044" s="76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6"/>
      <c r="AU1044" s="76"/>
      <c r="AV1044" s="76"/>
    </row>
    <row r="1045" spans="20:48" x14ac:dyDescent="0.2">
      <c r="T1045" s="76"/>
      <c r="U1045" s="76"/>
      <c r="V1045" s="76"/>
      <c r="W1045" s="76"/>
      <c r="X1045" s="76"/>
      <c r="Y1045" s="76"/>
      <c r="Z1045" s="76"/>
      <c r="AA1045" s="76"/>
      <c r="AB1045" s="76"/>
      <c r="AC1045" s="76"/>
      <c r="AD1045" s="76"/>
      <c r="AE1045" s="76"/>
      <c r="AF1045" s="76"/>
      <c r="AG1045" s="76"/>
      <c r="AH1045" s="76"/>
      <c r="AI1045" s="76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6"/>
      <c r="AU1045" s="76"/>
      <c r="AV1045" s="76"/>
    </row>
    <row r="1046" spans="20:48" x14ac:dyDescent="0.2">
      <c r="T1046" s="76"/>
      <c r="U1046" s="76"/>
      <c r="V1046" s="76"/>
      <c r="W1046" s="76"/>
      <c r="X1046" s="76"/>
      <c r="Y1046" s="76"/>
      <c r="Z1046" s="76"/>
      <c r="AA1046" s="76"/>
      <c r="AB1046" s="76"/>
      <c r="AC1046" s="76"/>
      <c r="AD1046" s="76"/>
      <c r="AE1046" s="76"/>
      <c r="AF1046" s="76"/>
      <c r="AG1046" s="76"/>
      <c r="AH1046" s="76"/>
      <c r="AI1046" s="76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6"/>
      <c r="AU1046" s="76"/>
      <c r="AV1046" s="76"/>
    </row>
    <row r="1047" spans="20:48" x14ac:dyDescent="0.2">
      <c r="T1047" s="76"/>
      <c r="U1047" s="76"/>
      <c r="V1047" s="76"/>
      <c r="W1047" s="76"/>
      <c r="X1047" s="76"/>
      <c r="Y1047" s="76"/>
      <c r="Z1047" s="76"/>
      <c r="AA1047" s="76"/>
      <c r="AB1047" s="76"/>
      <c r="AC1047" s="76"/>
      <c r="AD1047" s="76"/>
      <c r="AE1047" s="76"/>
      <c r="AF1047" s="76"/>
      <c r="AG1047" s="76"/>
      <c r="AH1047" s="76"/>
      <c r="AI1047" s="76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6"/>
      <c r="AU1047" s="76"/>
      <c r="AV1047" s="76"/>
    </row>
    <row r="1048" spans="20:48" x14ac:dyDescent="0.2">
      <c r="T1048" s="76"/>
      <c r="U1048" s="76"/>
      <c r="V1048" s="76"/>
      <c r="W1048" s="76"/>
      <c r="X1048" s="76"/>
      <c r="Y1048" s="76"/>
      <c r="Z1048" s="76"/>
      <c r="AA1048" s="76"/>
      <c r="AB1048" s="76"/>
      <c r="AC1048" s="76"/>
      <c r="AD1048" s="76"/>
      <c r="AE1048" s="76"/>
      <c r="AF1048" s="76"/>
      <c r="AG1048" s="76"/>
      <c r="AH1048" s="76"/>
      <c r="AI1048" s="76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6"/>
      <c r="AU1048" s="76"/>
      <c r="AV1048" s="76"/>
    </row>
    <row r="1049" spans="20:48" x14ac:dyDescent="0.2">
      <c r="T1049" s="76"/>
      <c r="U1049" s="76"/>
      <c r="V1049" s="76"/>
      <c r="W1049" s="76"/>
      <c r="X1049" s="76"/>
      <c r="Y1049" s="76"/>
      <c r="Z1049" s="76"/>
      <c r="AA1049" s="76"/>
      <c r="AB1049" s="76"/>
      <c r="AC1049" s="76"/>
      <c r="AD1049" s="76"/>
      <c r="AE1049" s="76"/>
      <c r="AF1049" s="76"/>
      <c r="AG1049" s="76"/>
      <c r="AH1049" s="76"/>
      <c r="AI1049" s="76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6"/>
      <c r="AU1049" s="76"/>
      <c r="AV1049" s="76"/>
    </row>
    <row r="1050" spans="20:48" x14ac:dyDescent="0.2">
      <c r="T1050" s="76"/>
      <c r="U1050" s="76"/>
      <c r="V1050" s="76"/>
      <c r="W1050" s="76"/>
      <c r="X1050" s="76"/>
      <c r="Y1050" s="76"/>
      <c r="Z1050" s="76"/>
      <c r="AA1050" s="76"/>
      <c r="AB1050" s="76"/>
      <c r="AC1050" s="76"/>
      <c r="AD1050" s="76"/>
      <c r="AE1050" s="76"/>
      <c r="AF1050" s="76"/>
      <c r="AG1050" s="76"/>
      <c r="AH1050" s="76"/>
      <c r="AI1050" s="76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6"/>
      <c r="AU1050" s="76"/>
      <c r="AV1050" s="76"/>
    </row>
    <row r="1051" spans="20:48" x14ac:dyDescent="0.2">
      <c r="T1051" s="76"/>
      <c r="U1051" s="76"/>
      <c r="V1051" s="76"/>
      <c r="W1051" s="76"/>
      <c r="X1051" s="76"/>
      <c r="Y1051" s="76"/>
      <c r="Z1051" s="76"/>
      <c r="AA1051" s="76"/>
      <c r="AB1051" s="76"/>
      <c r="AC1051" s="76"/>
      <c r="AD1051" s="76"/>
      <c r="AE1051" s="76"/>
      <c r="AF1051" s="76"/>
      <c r="AG1051" s="76"/>
      <c r="AH1051" s="76"/>
      <c r="AI1051" s="76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6"/>
      <c r="AU1051" s="76"/>
      <c r="AV1051" s="76"/>
    </row>
    <row r="1052" spans="20:48" x14ac:dyDescent="0.2">
      <c r="T1052" s="76"/>
      <c r="U1052" s="76"/>
      <c r="V1052" s="76"/>
      <c r="W1052" s="76"/>
      <c r="X1052" s="76"/>
      <c r="Y1052" s="76"/>
      <c r="Z1052" s="76"/>
      <c r="AA1052" s="76"/>
      <c r="AB1052" s="76"/>
      <c r="AC1052" s="76"/>
      <c r="AD1052" s="76"/>
      <c r="AE1052" s="76"/>
      <c r="AF1052" s="76"/>
      <c r="AG1052" s="76"/>
      <c r="AH1052" s="76"/>
      <c r="AI1052" s="76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6"/>
      <c r="AU1052" s="76"/>
      <c r="AV1052" s="76"/>
    </row>
    <row r="1053" spans="20:48" x14ac:dyDescent="0.2">
      <c r="T1053" s="76"/>
      <c r="U1053" s="76"/>
      <c r="V1053" s="76"/>
      <c r="W1053" s="76"/>
      <c r="X1053" s="76"/>
      <c r="Y1053" s="76"/>
      <c r="Z1053" s="76"/>
      <c r="AA1053" s="76"/>
      <c r="AB1053" s="76"/>
      <c r="AC1053" s="76"/>
      <c r="AD1053" s="76"/>
      <c r="AE1053" s="76"/>
      <c r="AF1053" s="76"/>
      <c r="AG1053" s="76"/>
      <c r="AH1053" s="76"/>
      <c r="AI1053" s="76"/>
      <c r="AJ1053" s="76"/>
      <c r="AK1053" s="76"/>
      <c r="AL1053" s="76"/>
      <c r="AM1053" s="76"/>
      <c r="AN1053" s="76"/>
      <c r="AO1053" s="76"/>
      <c r="AP1053" s="76"/>
      <c r="AQ1053" s="76"/>
      <c r="AR1053" s="76"/>
      <c r="AS1053" s="76"/>
      <c r="AT1053" s="76"/>
      <c r="AU1053" s="76"/>
      <c r="AV1053" s="76"/>
    </row>
    <row r="1054" spans="20:48" x14ac:dyDescent="0.2">
      <c r="T1054" s="76"/>
      <c r="U1054" s="76"/>
      <c r="V1054" s="76"/>
      <c r="W1054" s="76"/>
      <c r="X1054" s="76"/>
      <c r="Y1054" s="76"/>
      <c r="Z1054" s="76"/>
      <c r="AA1054" s="76"/>
      <c r="AB1054" s="76"/>
      <c r="AC1054" s="76"/>
      <c r="AD1054" s="76"/>
      <c r="AE1054" s="76"/>
      <c r="AF1054" s="76"/>
      <c r="AG1054" s="76"/>
      <c r="AH1054" s="76"/>
      <c r="AI1054" s="76"/>
      <c r="AJ1054" s="76"/>
      <c r="AK1054" s="76"/>
      <c r="AL1054" s="76"/>
      <c r="AM1054" s="76"/>
      <c r="AN1054" s="76"/>
      <c r="AO1054" s="76"/>
      <c r="AP1054" s="76"/>
      <c r="AQ1054" s="76"/>
      <c r="AR1054" s="76"/>
      <c r="AS1054" s="76"/>
      <c r="AT1054" s="76"/>
      <c r="AU1054" s="76"/>
      <c r="AV1054" s="76"/>
    </row>
    <row r="1055" spans="20:48" x14ac:dyDescent="0.2">
      <c r="T1055" s="76"/>
      <c r="U1055" s="76"/>
      <c r="V1055" s="76"/>
      <c r="W1055" s="76"/>
      <c r="X1055" s="76"/>
      <c r="Y1055" s="76"/>
      <c r="Z1055" s="76"/>
      <c r="AA1055" s="76"/>
      <c r="AB1055" s="76"/>
      <c r="AC1055" s="76"/>
      <c r="AD1055" s="76"/>
      <c r="AE1055" s="76"/>
      <c r="AF1055" s="76"/>
      <c r="AG1055" s="76"/>
      <c r="AH1055" s="76"/>
      <c r="AI1055" s="76"/>
      <c r="AJ1055" s="76"/>
      <c r="AK1055" s="76"/>
      <c r="AL1055" s="76"/>
      <c r="AM1055" s="76"/>
      <c r="AN1055" s="76"/>
      <c r="AO1055" s="76"/>
      <c r="AP1055" s="76"/>
      <c r="AQ1055" s="76"/>
      <c r="AR1055" s="76"/>
      <c r="AS1055" s="76"/>
      <c r="AT1055" s="76"/>
      <c r="AU1055" s="76"/>
      <c r="AV1055" s="76"/>
    </row>
    <row r="1056" spans="20:48" x14ac:dyDescent="0.2">
      <c r="T1056" s="76"/>
      <c r="U1056" s="76"/>
      <c r="V1056" s="76"/>
      <c r="W1056" s="76"/>
      <c r="X1056" s="76"/>
      <c r="Y1056" s="76"/>
      <c r="Z1056" s="76"/>
      <c r="AA1056" s="76"/>
      <c r="AB1056" s="76"/>
      <c r="AC1056" s="76"/>
      <c r="AD1056" s="76"/>
      <c r="AE1056" s="76"/>
      <c r="AF1056" s="76"/>
      <c r="AG1056" s="76"/>
      <c r="AH1056" s="76"/>
      <c r="AI1056" s="76"/>
      <c r="AJ1056" s="76"/>
      <c r="AK1056" s="76"/>
      <c r="AL1056" s="76"/>
      <c r="AM1056" s="76"/>
      <c r="AN1056" s="76"/>
      <c r="AO1056" s="76"/>
      <c r="AP1056" s="76"/>
      <c r="AQ1056" s="76"/>
      <c r="AR1056" s="76"/>
      <c r="AS1056" s="76"/>
      <c r="AT1056" s="76"/>
      <c r="AU1056" s="76"/>
      <c r="AV1056" s="76"/>
    </row>
    <row r="1057" spans="20:48" x14ac:dyDescent="0.2">
      <c r="T1057" s="76"/>
      <c r="U1057" s="76"/>
      <c r="V1057" s="76"/>
      <c r="W1057" s="76"/>
      <c r="X1057" s="76"/>
      <c r="Y1057" s="76"/>
      <c r="Z1057" s="76"/>
      <c r="AA1057" s="76"/>
      <c r="AB1057" s="76"/>
      <c r="AC1057" s="76"/>
      <c r="AD1057" s="76"/>
      <c r="AE1057" s="76"/>
      <c r="AF1057" s="76"/>
      <c r="AG1057" s="76"/>
      <c r="AH1057" s="76"/>
      <c r="AI1057" s="76"/>
      <c r="AJ1057" s="76"/>
      <c r="AK1057" s="76"/>
      <c r="AL1057" s="76"/>
      <c r="AM1057" s="76"/>
      <c r="AN1057" s="76"/>
      <c r="AO1057" s="76"/>
      <c r="AP1057" s="76"/>
      <c r="AQ1057" s="76"/>
      <c r="AR1057" s="76"/>
      <c r="AS1057" s="76"/>
      <c r="AT1057" s="76"/>
      <c r="AU1057" s="76"/>
      <c r="AV1057" s="76"/>
    </row>
    <row r="1058" spans="20:48" x14ac:dyDescent="0.2">
      <c r="T1058" s="76"/>
      <c r="U1058" s="76"/>
      <c r="V1058" s="76"/>
      <c r="W1058" s="76"/>
      <c r="X1058" s="76"/>
      <c r="Y1058" s="76"/>
      <c r="Z1058" s="76"/>
      <c r="AA1058" s="76"/>
      <c r="AB1058" s="76"/>
      <c r="AC1058" s="76"/>
      <c r="AD1058" s="76"/>
      <c r="AE1058" s="76"/>
      <c r="AF1058" s="76"/>
      <c r="AG1058" s="76"/>
      <c r="AH1058" s="76"/>
      <c r="AI1058" s="76"/>
      <c r="AJ1058" s="76"/>
      <c r="AK1058" s="76"/>
      <c r="AL1058" s="76"/>
      <c r="AM1058" s="76"/>
      <c r="AN1058" s="76"/>
      <c r="AO1058" s="76"/>
      <c r="AP1058" s="76"/>
      <c r="AQ1058" s="76"/>
      <c r="AR1058" s="76"/>
      <c r="AS1058" s="76"/>
      <c r="AT1058" s="76"/>
      <c r="AU1058" s="76"/>
      <c r="AV1058" s="76"/>
    </row>
    <row r="1059" spans="20:48" x14ac:dyDescent="0.2">
      <c r="T1059" s="76"/>
      <c r="U1059" s="76"/>
      <c r="V1059" s="76"/>
      <c r="W1059" s="76"/>
      <c r="X1059" s="76"/>
      <c r="Y1059" s="76"/>
      <c r="Z1059" s="76"/>
      <c r="AA1059" s="76"/>
      <c r="AB1059" s="76"/>
      <c r="AC1059" s="76"/>
      <c r="AD1059" s="76"/>
      <c r="AE1059" s="76"/>
      <c r="AF1059" s="76"/>
      <c r="AG1059" s="76"/>
      <c r="AH1059" s="76"/>
      <c r="AI1059" s="76"/>
      <c r="AJ1059" s="76"/>
      <c r="AK1059" s="76"/>
      <c r="AL1059" s="76"/>
      <c r="AM1059" s="76"/>
      <c r="AN1059" s="76"/>
      <c r="AO1059" s="76"/>
      <c r="AP1059" s="76"/>
      <c r="AQ1059" s="76"/>
      <c r="AR1059" s="76"/>
      <c r="AS1059" s="76"/>
      <c r="AT1059" s="76"/>
      <c r="AU1059" s="76"/>
      <c r="AV1059" s="76"/>
    </row>
    <row r="1060" spans="20:48" x14ac:dyDescent="0.2">
      <c r="T1060" s="76"/>
      <c r="U1060" s="76"/>
      <c r="V1060" s="76"/>
      <c r="W1060" s="76"/>
      <c r="X1060" s="76"/>
      <c r="Y1060" s="76"/>
      <c r="Z1060" s="76"/>
      <c r="AA1060" s="76"/>
      <c r="AB1060" s="76"/>
      <c r="AC1060" s="76"/>
      <c r="AD1060" s="76"/>
      <c r="AE1060" s="76"/>
      <c r="AF1060" s="76"/>
      <c r="AG1060" s="76"/>
      <c r="AH1060" s="76"/>
      <c r="AI1060" s="76"/>
      <c r="AJ1060" s="76"/>
      <c r="AK1060" s="76"/>
      <c r="AL1060" s="76"/>
      <c r="AM1060" s="76"/>
      <c r="AN1060" s="76"/>
      <c r="AO1060" s="76"/>
      <c r="AP1060" s="76"/>
      <c r="AQ1060" s="76"/>
      <c r="AR1060" s="76"/>
      <c r="AS1060" s="76"/>
      <c r="AT1060" s="76"/>
      <c r="AU1060" s="76"/>
      <c r="AV1060" s="76"/>
    </row>
    <row r="1061" spans="20:48" x14ac:dyDescent="0.2">
      <c r="T1061" s="76"/>
      <c r="U1061" s="76"/>
      <c r="V1061" s="76"/>
      <c r="W1061" s="76"/>
      <c r="X1061" s="76"/>
      <c r="Y1061" s="76"/>
      <c r="Z1061" s="76"/>
      <c r="AA1061" s="76"/>
      <c r="AB1061" s="76"/>
      <c r="AC1061" s="76"/>
      <c r="AD1061" s="76"/>
      <c r="AE1061" s="76"/>
      <c r="AF1061" s="76"/>
      <c r="AG1061" s="76"/>
      <c r="AH1061" s="76"/>
      <c r="AI1061" s="76"/>
      <c r="AJ1061" s="76"/>
      <c r="AK1061" s="76"/>
      <c r="AL1061" s="76"/>
      <c r="AM1061" s="76"/>
      <c r="AN1061" s="76"/>
      <c r="AO1061" s="76"/>
      <c r="AP1061" s="76"/>
      <c r="AQ1061" s="76"/>
      <c r="AR1061" s="76"/>
      <c r="AS1061" s="76"/>
      <c r="AT1061" s="76"/>
      <c r="AU1061" s="76"/>
      <c r="AV1061" s="76"/>
    </row>
    <row r="1062" spans="20:48" x14ac:dyDescent="0.2">
      <c r="T1062" s="76"/>
      <c r="U1062" s="76"/>
      <c r="V1062" s="76"/>
      <c r="W1062" s="76"/>
      <c r="X1062" s="76"/>
      <c r="Y1062" s="76"/>
      <c r="Z1062" s="76"/>
      <c r="AA1062" s="76"/>
      <c r="AB1062" s="76"/>
      <c r="AC1062" s="76"/>
      <c r="AD1062" s="76"/>
      <c r="AE1062" s="76"/>
      <c r="AF1062" s="76"/>
      <c r="AG1062" s="76"/>
      <c r="AH1062" s="76"/>
      <c r="AI1062" s="76"/>
      <c r="AJ1062" s="76"/>
      <c r="AK1062" s="76"/>
      <c r="AL1062" s="76"/>
      <c r="AM1062" s="76"/>
      <c r="AN1062" s="76"/>
      <c r="AO1062" s="76"/>
      <c r="AP1062" s="76"/>
      <c r="AQ1062" s="76"/>
      <c r="AR1062" s="76"/>
      <c r="AS1062" s="76"/>
      <c r="AT1062" s="76"/>
      <c r="AU1062" s="76"/>
      <c r="AV1062" s="76"/>
    </row>
    <row r="1063" spans="20:48" x14ac:dyDescent="0.2">
      <c r="T1063" s="76"/>
      <c r="U1063" s="76"/>
      <c r="V1063" s="76"/>
      <c r="W1063" s="76"/>
      <c r="X1063" s="76"/>
      <c r="Y1063" s="76"/>
      <c r="Z1063" s="76"/>
      <c r="AA1063" s="76"/>
      <c r="AB1063" s="76"/>
      <c r="AC1063" s="76"/>
      <c r="AD1063" s="76"/>
      <c r="AE1063" s="76"/>
      <c r="AF1063" s="76"/>
      <c r="AG1063" s="76"/>
      <c r="AH1063" s="76"/>
      <c r="AI1063" s="76"/>
      <c r="AJ1063" s="76"/>
      <c r="AK1063" s="76"/>
      <c r="AL1063" s="76"/>
      <c r="AM1063" s="76"/>
      <c r="AN1063" s="76"/>
      <c r="AO1063" s="76"/>
      <c r="AP1063" s="76"/>
      <c r="AQ1063" s="76"/>
      <c r="AR1063" s="76"/>
      <c r="AS1063" s="76"/>
      <c r="AT1063" s="76"/>
      <c r="AU1063" s="76"/>
      <c r="AV1063" s="76"/>
    </row>
    <row r="1064" spans="20:48" x14ac:dyDescent="0.2">
      <c r="T1064" s="76"/>
      <c r="U1064" s="76"/>
      <c r="V1064" s="76"/>
      <c r="W1064" s="76"/>
      <c r="X1064" s="76"/>
      <c r="Y1064" s="76"/>
      <c r="Z1064" s="76"/>
      <c r="AA1064" s="76"/>
      <c r="AB1064" s="76"/>
      <c r="AC1064" s="76"/>
      <c r="AD1064" s="76"/>
      <c r="AE1064" s="76"/>
      <c r="AF1064" s="76"/>
      <c r="AG1064" s="76"/>
      <c r="AH1064" s="76"/>
      <c r="AI1064" s="76"/>
      <c r="AJ1064" s="76"/>
      <c r="AK1064" s="76"/>
      <c r="AL1064" s="76"/>
      <c r="AM1064" s="76"/>
      <c r="AN1064" s="76"/>
      <c r="AO1064" s="76"/>
      <c r="AP1064" s="76"/>
      <c r="AQ1064" s="76"/>
      <c r="AR1064" s="76"/>
      <c r="AS1064" s="76"/>
      <c r="AT1064" s="76"/>
      <c r="AU1064" s="76"/>
      <c r="AV1064" s="76"/>
    </row>
    <row r="1065" spans="20:48" x14ac:dyDescent="0.2">
      <c r="T1065" s="76"/>
      <c r="U1065" s="76"/>
      <c r="V1065" s="76"/>
      <c r="W1065" s="76"/>
      <c r="X1065" s="76"/>
      <c r="Y1065" s="76"/>
      <c r="Z1065" s="76"/>
      <c r="AA1065" s="76"/>
      <c r="AB1065" s="76"/>
      <c r="AC1065" s="76"/>
      <c r="AD1065" s="76"/>
      <c r="AE1065" s="76"/>
      <c r="AF1065" s="76"/>
      <c r="AG1065" s="76"/>
      <c r="AH1065" s="76"/>
      <c r="AI1065" s="76"/>
      <c r="AJ1065" s="76"/>
      <c r="AK1065" s="76"/>
      <c r="AL1065" s="76"/>
      <c r="AM1065" s="76"/>
      <c r="AN1065" s="76"/>
      <c r="AO1065" s="76"/>
      <c r="AP1065" s="76"/>
      <c r="AQ1065" s="76"/>
      <c r="AR1065" s="76"/>
      <c r="AS1065" s="76"/>
      <c r="AT1065" s="76"/>
      <c r="AU1065" s="76"/>
      <c r="AV1065" s="76"/>
    </row>
    <row r="1066" spans="20:48" x14ac:dyDescent="0.2">
      <c r="T1066" s="76"/>
      <c r="U1066" s="76"/>
      <c r="V1066" s="76"/>
      <c r="W1066" s="76"/>
      <c r="X1066" s="76"/>
      <c r="Y1066" s="76"/>
      <c r="Z1066" s="76"/>
      <c r="AA1066" s="76"/>
      <c r="AB1066" s="76"/>
      <c r="AC1066" s="76"/>
      <c r="AD1066" s="76"/>
      <c r="AE1066" s="76"/>
      <c r="AF1066" s="76"/>
      <c r="AG1066" s="76"/>
      <c r="AH1066" s="76"/>
      <c r="AI1066" s="76"/>
      <c r="AJ1066" s="76"/>
      <c r="AK1066" s="76"/>
      <c r="AL1066" s="76"/>
      <c r="AM1066" s="76"/>
      <c r="AN1066" s="76"/>
      <c r="AO1066" s="76"/>
      <c r="AP1066" s="76"/>
      <c r="AQ1066" s="76"/>
      <c r="AR1066" s="76"/>
      <c r="AS1066" s="76"/>
      <c r="AT1066" s="76"/>
      <c r="AU1066" s="76"/>
      <c r="AV1066" s="76"/>
    </row>
    <row r="1067" spans="20:48" x14ac:dyDescent="0.2">
      <c r="T1067" s="76"/>
      <c r="U1067" s="76"/>
      <c r="V1067" s="76"/>
      <c r="W1067" s="76"/>
      <c r="X1067" s="76"/>
      <c r="Y1067" s="76"/>
      <c r="Z1067" s="76"/>
      <c r="AA1067" s="76"/>
      <c r="AB1067" s="76"/>
      <c r="AC1067" s="76"/>
      <c r="AD1067" s="76"/>
      <c r="AE1067" s="76"/>
      <c r="AF1067" s="76"/>
      <c r="AG1067" s="76"/>
      <c r="AH1067" s="76"/>
      <c r="AI1067" s="76"/>
      <c r="AJ1067" s="76"/>
      <c r="AK1067" s="76"/>
      <c r="AL1067" s="76"/>
      <c r="AM1067" s="76"/>
      <c r="AN1067" s="76"/>
      <c r="AO1067" s="76"/>
      <c r="AP1067" s="76"/>
      <c r="AQ1067" s="76"/>
      <c r="AR1067" s="76"/>
      <c r="AS1067" s="76"/>
      <c r="AT1067" s="76"/>
      <c r="AU1067" s="76"/>
      <c r="AV1067" s="76"/>
    </row>
    <row r="1068" spans="20:48" x14ac:dyDescent="0.2">
      <c r="T1068" s="76"/>
      <c r="U1068" s="76"/>
      <c r="V1068" s="76"/>
      <c r="W1068" s="76"/>
      <c r="X1068" s="76"/>
      <c r="Y1068" s="76"/>
      <c r="Z1068" s="76"/>
      <c r="AA1068" s="76"/>
      <c r="AB1068" s="76"/>
      <c r="AC1068" s="76"/>
      <c r="AD1068" s="76"/>
      <c r="AE1068" s="76"/>
      <c r="AF1068" s="76"/>
      <c r="AG1068" s="76"/>
      <c r="AH1068" s="76"/>
      <c r="AI1068" s="76"/>
      <c r="AJ1068" s="76"/>
      <c r="AK1068" s="76"/>
      <c r="AL1068" s="76"/>
      <c r="AM1068" s="76"/>
      <c r="AN1068" s="76"/>
      <c r="AO1068" s="76"/>
      <c r="AP1068" s="76"/>
      <c r="AQ1068" s="76"/>
      <c r="AR1068" s="76"/>
      <c r="AS1068" s="76"/>
      <c r="AT1068" s="76"/>
      <c r="AU1068" s="76"/>
      <c r="AV1068" s="76"/>
    </row>
    <row r="1069" spans="20:48" x14ac:dyDescent="0.2">
      <c r="T1069" s="76"/>
      <c r="U1069" s="76"/>
      <c r="V1069" s="76"/>
      <c r="W1069" s="76"/>
      <c r="X1069" s="76"/>
      <c r="Y1069" s="76"/>
      <c r="Z1069" s="76"/>
      <c r="AA1069" s="76"/>
      <c r="AB1069" s="76"/>
      <c r="AC1069" s="76"/>
      <c r="AD1069" s="76"/>
      <c r="AE1069" s="76"/>
      <c r="AF1069" s="76"/>
      <c r="AG1069" s="76"/>
      <c r="AH1069" s="76"/>
      <c r="AI1069" s="76"/>
      <c r="AJ1069" s="76"/>
      <c r="AK1069" s="76"/>
      <c r="AL1069" s="76"/>
      <c r="AM1069" s="76"/>
      <c r="AN1069" s="76"/>
      <c r="AO1069" s="76"/>
      <c r="AP1069" s="76"/>
      <c r="AQ1069" s="76"/>
      <c r="AR1069" s="76"/>
      <c r="AS1069" s="76"/>
      <c r="AT1069" s="76"/>
      <c r="AU1069" s="76"/>
      <c r="AV1069" s="76"/>
    </row>
    <row r="1070" spans="20:48" x14ac:dyDescent="0.2">
      <c r="T1070" s="76"/>
      <c r="U1070" s="76"/>
      <c r="V1070" s="76"/>
      <c r="W1070" s="76"/>
      <c r="X1070" s="76"/>
      <c r="Y1070" s="76"/>
      <c r="Z1070" s="76"/>
      <c r="AA1070" s="76"/>
      <c r="AB1070" s="76"/>
      <c r="AC1070" s="76"/>
      <c r="AD1070" s="76"/>
      <c r="AE1070" s="76"/>
      <c r="AF1070" s="76"/>
      <c r="AG1070" s="76"/>
      <c r="AH1070" s="76"/>
      <c r="AI1070" s="76"/>
      <c r="AJ1070" s="76"/>
      <c r="AK1070" s="76"/>
      <c r="AL1070" s="76"/>
      <c r="AM1070" s="76"/>
      <c r="AN1070" s="76"/>
      <c r="AO1070" s="76"/>
      <c r="AP1070" s="76"/>
      <c r="AQ1070" s="76"/>
      <c r="AR1070" s="76"/>
      <c r="AS1070" s="76"/>
      <c r="AT1070" s="76"/>
      <c r="AU1070" s="76"/>
      <c r="AV1070" s="76"/>
    </row>
    <row r="1071" spans="20:48" x14ac:dyDescent="0.2">
      <c r="T1071" s="76"/>
      <c r="U1071" s="76"/>
      <c r="V1071" s="76"/>
      <c r="W1071" s="76"/>
      <c r="X1071" s="76"/>
      <c r="Y1071" s="76"/>
      <c r="Z1071" s="76"/>
      <c r="AA1071" s="76"/>
      <c r="AB1071" s="76"/>
      <c r="AC1071" s="76"/>
      <c r="AD1071" s="76"/>
      <c r="AE1071" s="76"/>
      <c r="AF1071" s="76"/>
      <c r="AG1071" s="76"/>
      <c r="AH1071" s="76"/>
      <c r="AI1071" s="76"/>
      <c r="AJ1071" s="76"/>
      <c r="AK1071" s="76"/>
      <c r="AL1071" s="76"/>
      <c r="AM1071" s="76"/>
      <c r="AN1071" s="76"/>
      <c r="AO1071" s="76"/>
      <c r="AP1071" s="76"/>
      <c r="AQ1071" s="76"/>
      <c r="AR1071" s="76"/>
      <c r="AS1071" s="76"/>
      <c r="AT1071" s="76"/>
      <c r="AU1071" s="76"/>
      <c r="AV1071" s="76"/>
    </row>
    <row r="1072" spans="20:48" x14ac:dyDescent="0.2">
      <c r="T1072" s="76"/>
      <c r="U1072" s="76"/>
      <c r="V1072" s="76"/>
      <c r="W1072" s="76"/>
      <c r="X1072" s="76"/>
      <c r="Y1072" s="76"/>
      <c r="Z1072" s="76"/>
      <c r="AA1072" s="76"/>
      <c r="AB1072" s="76"/>
      <c r="AC1072" s="76"/>
      <c r="AD1072" s="76"/>
      <c r="AE1072" s="76"/>
      <c r="AF1072" s="76"/>
      <c r="AG1072" s="76"/>
      <c r="AH1072" s="76"/>
      <c r="AI1072" s="76"/>
      <c r="AJ1072" s="76"/>
      <c r="AK1072" s="76"/>
      <c r="AL1072" s="76"/>
      <c r="AM1072" s="76"/>
      <c r="AN1072" s="76"/>
      <c r="AO1072" s="76"/>
      <c r="AP1072" s="76"/>
      <c r="AQ1072" s="76"/>
      <c r="AR1072" s="76"/>
      <c r="AS1072" s="76"/>
      <c r="AT1072" s="76"/>
      <c r="AU1072" s="76"/>
      <c r="AV1072" s="76"/>
    </row>
    <row r="1073" spans="20:48" x14ac:dyDescent="0.2">
      <c r="T1073" s="76"/>
      <c r="U1073" s="76"/>
      <c r="V1073" s="76"/>
      <c r="W1073" s="76"/>
      <c r="X1073" s="76"/>
      <c r="Y1073" s="76"/>
      <c r="Z1073" s="76"/>
      <c r="AA1073" s="76"/>
      <c r="AB1073" s="76"/>
      <c r="AC1073" s="76"/>
      <c r="AD1073" s="76"/>
      <c r="AE1073" s="76"/>
      <c r="AF1073" s="76"/>
      <c r="AG1073" s="76"/>
      <c r="AH1073" s="76"/>
      <c r="AI1073" s="76"/>
      <c r="AJ1073" s="76"/>
      <c r="AK1073" s="76"/>
      <c r="AL1073" s="76"/>
      <c r="AM1073" s="76"/>
      <c r="AN1073" s="76"/>
      <c r="AO1073" s="76"/>
      <c r="AP1073" s="76"/>
      <c r="AQ1073" s="76"/>
      <c r="AR1073" s="76"/>
      <c r="AS1073" s="76"/>
      <c r="AT1073" s="76"/>
      <c r="AU1073" s="76"/>
      <c r="AV1073" s="76"/>
    </row>
    <row r="1074" spans="20:48" x14ac:dyDescent="0.2">
      <c r="T1074" s="76"/>
      <c r="U1074" s="76"/>
      <c r="V1074" s="76"/>
      <c r="W1074" s="76"/>
      <c r="X1074" s="76"/>
      <c r="Y1074" s="76"/>
      <c r="Z1074" s="76"/>
      <c r="AA1074" s="76"/>
      <c r="AB1074" s="76"/>
      <c r="AC1074" s="76"/>
      <c r="AD1074" s="76"/>
      <c r="AE1074" s="76"/>
      <c r="AF1074" s="76"/>
      <c r="AG1074" s="76"/>
      <c r="AH1074" s="76"/>
      <c r="AI1074" s="76"/>
      <c r="AJ1074" s="76"/>
      <c r="AK1074" s="76"/>
      <c r="AL1074" s="76"/>
      <c r="AM1074" s="76"/>
      <c r="AN1074" s="76"/>
      <c r="AO1074" s="76"/>
      <c r="AP1074" s="76"/>
      <c r="AQ1074" s="76"/>
      <c r="AR1074" s="76"/>
      <c r="AS1074" s="76"/>
      <c r="AT1074" s="76"/>
      <c r="AU1074" s="76"/>
      <c r="AV1074" s="76"/>
    </row>
    <row r="1075" spans="20:48" x14ac:dyDescent="0.2">
      <c r="T1075" s="76"/>
      <c r="U1075" s="76"/>
      <c r="V1075" s="76"/>
      <c r="W1075" s="76"/>
      <c r="X1075" s="76"/>
      <c r="Y1075" s="76"/>
      <c r="Z1075" s="76"/>
      <c r="AA1075" s="76"/>
      <c r="AB1075" s="76"/>
      <c r="AC1075" s="76"/>
      <c r="AD1075" s="76"/>
      <c r="AE1075" s="76"/>
      <c r="AF1075" s="76"/>
      <c r="AG1075" s="76"/>
      <c r="AH1075" s="76"/>
      <c r="AI1075" s="76"/>
      <c r="AJ1075" s="76"/>
      <c r="AK1075" s="76"/>
      <c r="AL1075" s="76"/>
      <c r="AM1075" s="76"/>
      <c r="AN1075" s="76"/>
      <c r="AO1075" s="76"/>
      <c r="AP1075" s="76"/>
      <c r="AQ1075" s="76"/>
      <c r="AR1075" s="76"/>
      <c r="AS1075" s="76"/>
      <c r="AT1075" s="76"/>
      <c r="AU1075" s="76"/>
      <c r="AV1075" s="76"/>
    </row>
    <row r="1076" spans="20:48" x14ac:dyDescent="0.2">
      <c r="T1076" s="76"/>
      <c r="U1076" s="76"/>
      <c r="V1076" s="76"/>
      <c r="W1076" s="76"/>
      <c r="X1076" s="76"/>
      <c r="Y1076" s="76"/>
      <c r="Z1076" s="76"/>
      <c r="AA1076" s="76"/>
      <c r="AB1076" s="76"/>
      <c r="AC1076" s="76"/>
      <c r="AD1076" s="76"/>
      <c r="AE1076" s="76"/>
      <c r="AF1076" s="76"/>
      <c r="AG1076" s="76"/>
      <c r="AH1076" s="76"/>
      <c r="AI1076" s="76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6"/>
      <c r="AU1076" s="76"/>
      <c r="AV1076" s="76"/>
    </row>
    <row r="1077" spans="20:48" x14ac:dyDescent="0.2">
      <c r="T1077" s="76"/>
      <c r="U1077" s="76"/>
      <c r="V1077" s="76"/>
      <c r="W1077" s="76"/>
      <c r="X1077" s="76"/>
      <c r="Y1077" s="76"/>
      <c r="Z1077" s="76"/>
      <c r="AA1077" s="76"/>
      <c r="AB1077" s="76"/>
      <c r="AC1077" s="76"/>
      <c r="AD1077" s="76"/>
      <c r="AE1077" s="76"/>
      <c r="AF1077" s="76"/>
      <c r="AG1077" s="76"/>
      <c r="AH1077" s="76"/>
      <c r="AI1077" s="76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6"/>
      <c r="AU1077" s="76"/>
      <c r="AV1077" s="76"/>
    </row>
    <row r="1078" spans="20:48" x14ac:dyDescent="0.2"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76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6"/>
      <c r="AU1078" s="76"/>
      <c r="AV1078" s="76"/>
    </row>
    <row r="1079" spans="20:48" x14ac:dyDescent="0.2">
      <c r="T1079" s="76"/>
      <c r="U1079" s="76"/>
      <c r="V1079" s="76"/>
      <c r="W1079" s="76"/>
      <c r="X1079" s="76"/>
      <c r="Y1079" s="76"/>
      <c r="Z1079" s="76"/>
      <c r="AA1079" s="76"/>
      <c r="AB1079" s="76"/>
      <c r="AC1079" s="76"/>
      <c r="AD1079" s="76"/>
      <c r="AE1079" s="76"/>
      <c r="AF1079" s="76"/>
      <c r="AG1079" s="76"/>
      <c r="AH1079" s="76"/>
      <c r="AI1079" s="76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6"/>
      <c r="AU1079" s="76"/>
      <c r="AV1079" s="76"/>
    </row>
    <row r="1080" spans="20:48" x14ac:dyDescent="0.2">
      <c r="T1080" s="76"/>
      <c r="U1080" s="76"/>
      <c r="V1080" s="76"/>
      <c r="W1080" s="76"/>
      <c r="X1080" s="76"/>
      <c r="Y1080" s="76"/>
      <c r="Z1080" s="76"/>
      <c r="AA1080" s="76"/>
      <c r="AB1080" s="76"/>
      <c r="AC1080" s="76"/>
      <c r="AD1080" s="76"/>
      <c r="AE1080" s="76"/>
      <c r="AF1080" s="76"/>
      <c r="AG1080" s="76"/>
      <c r="AH1080" s="76"/>
      <c r="AI1080" s="76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6"/>
      <c r="AU1080" s="76"/>
      <c r="AV1080" s="76"/>
    </row>
    <row r="1081" spans="20:48" x14ac:dyDescent="0.2">
      <c r="T1081" s="76"/>
      <c r="U1081" s="76"/>
      <c r="V1081" s="76"/>
      <c r="W1081" s="76"/>
      <c r="X1081" s="76"/>
      <c r="Y1081" s="76"/>
      <c r="Z1081" s="76"/>
      <c r="AA1081" s="76"/>
      <c r="AB1081" s="76"/>
      <c r="AC1081" s="76"/>
      <c r="AD1081" s="76"/>
      <c r="AE1081" s="76"/>
      <c r="AF1081" s="76"/>
      <c r="AG1081" s="76"/>
      <c r="AH1081" s="76"/>
      <c r="AI1081" s="76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6"/>
      <c r="AU1081" s="76"/>
      <c r="AV1081" s="76"/>
    </row>
    <row r="1082" spans="20:48" x14ac:dyDescent="0.2">
      <c r="T1082" s="76"/>
      <c r="U1082" s="76"/>
      <c r="V1082" s="76"/>
      <c r="W1082" s="76"/>
      <c r="X1082" s="76"/>
      <c r="Y1082" s="76"/>
      <c r="Z1082" s="76"/>
      <c r="AA1082" s="76"/>
      <c r="AB1082" s="76"/>
      <c r="AC1082" s="76"/>
      <c r="AD1082" s="76"/>
      <c r="AE1082" s="76"/>
      <c r="AF1082" s="76"/>
      <c r="AG1082" s="76"/>
      <c r="AH1082" s="76"/>
      <c r="AI1082" s="76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6"/>
      <c r="AU1082" s="76"/>
      <c r="AV1082" s="76"/>
    </row>
    <row r="1083" spans="20:48" x14ac:dyDescent="0.2">
      <c r="T1083" s="76"/>
      <c r="U1083" s="76"/>
      <c r="V1083" s="76"/>
      <c r="W1083" s="76"/>
      <c r="X1083" s="76"/>
      <c r="Y1083" s="76"/>
      <c r="Z1083" s="76"/>
      <c r="AA1083" s="76"/>
      <c r="AB1083" s="76"/>
      <c r="AC1083" s="76"/>
      <c r="AD1083" s="76"/>
      <c r="AE1083" s="76"/>
      <c r="AF1083" s="76"/>
      <c r="AG1083" s="76"/>
      <c r="AH1083" s="76"/>
      <c r="AI1083" s="76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6"/>
      <c r="AU1083" s="76"/>
      <c r="AV1083" s="76"/>
    </row>
    <row r="1084" spans="20:48" x14ac:dyDescent="0.2">
      <c r="T1084" s="76"/>
      <c r="U1084" s="76"/>
      <c r="V1084" s="76"/>
      <c r="W1084" s="76"/>
      <c r="X1084" s="76"/>
      <c r="Y1084" s="76"/>
      <c r="Z1084" s="76"/>
      <c r="AA1084" s="76"/>
      <c r="AB1084" s="76"/>
      <c r="AC1084" s="76"/>
      <c r="AD1084" s="76"/>
      <c r="AE1084" s="76"/>
      <c r="AF1084" s="76"/>
      <c r="AG1084" s="76"/>
      <c r="AH1084" s="76"/>
      <c r="AI1084" s="76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6"/>
      <c r="AU1084" s="76"/>
      <c r="AV1084" s="76"/>
    </row>
    <row r="1085" spans="20:48" x14ac:dyDescent="0.2">
      <c r="T1085" s="76"/>
      <c r="U1085" s="76"/>
      <c r="V1085" s="76"/>
      <c r="W1085" s="76"/>
      <c r="X1085" s="76"/>
      <c r="Y1085" s="76"/>
      <c r="Z1085" s="76"/>
      <c r="AA1085" s="76"/>
      <c r="AB1085" s="76"/>
      <c r="AC1085" s="76"/>
      <c r="AD1085" s="76"/>
      <c r="AE1085" s="76"/>
      <c r="AF1085" s="76"/>
      <c r="AG1085" s="76"/>
      <c r="AH1085" s="76"/>
      <c r="AI1085" s="76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6"/>
      <c r="AU1085" s="76"/>
      <c r="AV1085" s="76"/>
    </row>
    <row r="1086" spans="20:48" x14ac:dyDescent="0.2">
      <c r="T1086" s="76"/>
      <c r="U1086" s="76"/>
      <c r="V1086" s="76"/>
      <c r="W1086" s="76"/>
      <c r="X1086" s="76"/>
      <c r="Y1086" s="76"/>
      <c r="Z1086" s="76"/>
      <c r="AA1086" s="76"/>
      <c r="AB1086" s="76"/>
      <c r="AC1086" s="76"/>
      <c r="AD1086" s="76"/>
      <c r="AE1086" s="76"/>
      <c r="AF1086" s="76"/>
      <c r="AG1086" s="76"/>
      <c r="AH1086" s="76"/>
      <c r="AI1086" s="76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6"/>
      <c r="AU1086" s="76"/>
      <c r="AV1086" s="76"/>
    </row>
    <row r="1087" spans="20:48" x14ac:dyDescent="0.2">
      <c r="T1087" s="76"/>
      <c r="U1087" s="76"/>
      <c r="V1087" s="76"/>
      <c r="W1087" s="76"/>
      <c r="X1087" s="76"/>
      <c r="Y1087" s="76"/>
      <c r="Z1087" s="76"/>
      <c r="AA1087" s="76"/>
      <c r="AB1087" s="76"/>
      <c r="AC1087" s="76"/>
      <c r="AD1087" s="76"/>
      <c r="AE1087" s="76"/>
      <c r="AF1087" s="76"/>
      <c r="AG1087" s="76"/>
      <c r="AH1087" s="76"/>
      <c r="AI1087" s="76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6"/>
      <c r="AU1087" s="76"/>
      <c r="AV1087" s="76"/>
    </row>
    <row r="1088" spans="20:48" x14ac:dyDescent="0.2">
      <c r="T1088" s="76"/>
      <c r="U1088" s="76"/>
      <c r="V1088" s="76"/>
      <c r="W1088" s="76"/>
      <c r="X1088" s="76"/>
      <c r="Y1088" s="76"/>
      <c r="Z1088" s="76"/>
      <c r="AA1088" s="76"/>
      <c r="AB1088" s="76"/>
      <c r="AC1088" s="76"/>
      <c r="AD1088" s="76"/>
      <c r="AE1088" s="76"/>
      <c r="AF1088" s="76"/>
      <c r="AG1088" s="76"/>
      <c r="AH1088" s="76"/>
      <c r="AI1088" s="76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6"/>
      <c r="AU1088" s="76"/>
      <c r="AV1088" s="76"/>
    </row>
    <row r="1089" spans="20:48" x14ac:dyDescent="0.2">
      <c r="T1089" s="76"/>
      <c r="U1089" s="76"/>
      <c r="V1089" s="76"/>
      <c r="W1089" s="76"/>
      <c r="X1089" s="76"/>
      <c r="Y1089" s="76"/>
      <c r="Z1089" s="76"/>
      <c r="AA1089" s="76"/>
      <c r="AB1089" s="76"/>
      <c r="AC1089" s="76"/>
      <c r="AD1089" s="76"/>
      <c r="AE1089" s="76"/>
      <c r="AF1089" s="76"/>
      <c r="AG1089" s="76"/>
      <c r="AH1089" s="76"/>
      <c r="AI1089" s="76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6"/>
      <c r="AU1089" s="76"/>
      <c r="AV1089" s="76"/>
    </row>
    <row r="1090" spans="20:48" x14ac:dyDescent="0.2">
      <c r="T1090" s="76"/>
      <c r="U1090" s="76"/>
      <c r="V1090" s="76"/>
      <c r="W1090" s="76"/>
      <c r="X1090" s="76"/>
      <c r="Y1090" s="76"/>
      <c r="Z1090" s="76"/>
      <c r="AA1090" s="76"/>
      <c r="AB1090" s="76"/>
      <c r="AC1090" s="76"/>
      <c r="AD1090" s="76"/>
      <c r="AE1090" s="76"/>
      <c r="AF1090" s="76"/>
      <c r="AG1090" s="76"/>
      <c r="AH1090" s="76"/>
      <c r="AI1090" s="76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6"/>
      <c r="AU1090" s="76"/>
      <c r="AV1090" s="76"/>
    </row>
    <row r="1091" spans="20:48" x14ac:dyDescent="0.2">
      <c r="T1091" s="76"/>
      <c r="U1091" s="76"/>
      <c r="V1091" s="76"/>
      <c r="W1091" s="76"/>
      <c r="X1091" s="76"/>
      <c r="Y1091" s="76"/>
      <c r="Z1091" s="76"/>
      <c r="AA1091" s="76"/>
      <c r="AB1091" s="76"/>
      <c r="AC1091" s="76"/>
      <c r="AD1091" s="76"/>
      <c r="AE1091" s="76"/>
      <c r="AF1091" s="76"/>
      <c r="AG1091" s="76"/>
      <c r="AH1091" s="76"/>
      <c r="AI1091" s="76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6"/>
      <c r="AU1091" s="76"/>
      <c r="AV1091" s="76"/>
    </row>
    <row r="1092" spans="20:48" x14ac:dyDescent="0.2">
      <c r="T1092" s="76"/>
      <c r="U1092" s="76"/>
      <c r="V1092" s="76"/>
      <c r="W1092" s="76"/>
      <c r="X1092" s="76"/>
      <c r="Y1092" s="76"/>
      <c r="Z1092" s="76"/>
      <c r="AA1092" s="76"/>
      <c r="AB1092" s="76"/>
      <c r="AC1092" s="76"/>
      <c r="AD1092" s="76"/>
      <c r="AE1092" s="76"/>
      <c r="AF1092" s="76"/>
      <c r="AG1092" s="76"/>
      <c r="AH1092" s="76"/>
      <c r="AI1092" s="76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6"/>
      <c r="AU1092" s="76"/>
      <c r="AV1092" s="76"/>
    </row>
    <row r="1093" spans="20:48" x14ac:dyDescent="0.2">
      <c r="T1093" s="76"/>
      <c r="U1093" s="76"/>
      <c r="V1093" s="76"/>
      <c r="W1093" s="76"/>
      <c r="X1093" s="76"/>
      <c r="Y1093" s="76"/>
      <c r="Z1093" s="76"/>
      <c r="AA1093" s="76"/>
      <c r="AB1093" s="76"/>
      <c r="AC1093" s="76"/>
      <c r="AD1093" s="76"/>
      <c r="AE1093" s="76"/>
      <c r="AF1093" s="76"/>
      <c r="AG1093" s="76"/>
      <c r="AH1093" s="76"/>
      <c r="AI1093" s="76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6"/>
      <c r="AU1093" s="76"/>
      <c r="AV1093" s="76"/>
    </row>
    <row r="1094" spans="20:48" x14ac:dyDescent="0.2">
      <c r="T1094" s="76"/>
      <c r="U1094" s="76"/>
      <c r="V1094" s="76"/>
      <c r="W1094" s="76"/>
      <c r="X1094" s="76"/>
      <c r="Y1094" s="76"/>
      <c r="Z1094" s="76"/>
      <c r="AA1094" s="76"/>
      <c r="AB1094" s="76"/>
      <c r="AC1094" s="76"/>
      <c r="AD1094" s="76"/>
      <c r="AE1094" s="76"/>
      <c r="AF1094" s="76"/>
      <c r="AG1094" s="76"/>
      <c r="AH1094" s="76"/>
      <c r="AI1094" s="76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6"/>
      <c r="AU1094" s="76"/>
      <c r="AV1094" s="76"/>
    </row>
    <row r="1095" spans="20:48" x14ac:dyDescent="0.2">
      <c r="T1095" s="76"/>
      <c r="U1095" s="76"/>
      <c r="V1095" s="76"/>
      <c r="W1095" s="76"/>
      <c r="X1095" s="76"/>
      <c r="Y1095" s="76"/>
      <c r="Z1095" s="76"/>
      <c r="AA1095" s="76"/>
      <c r="AB1095" s="76"/>
      <c r="AC1095" s="76"/>
      <c r="AD1095" s="76"/>
      <c r="AE1095" s="76"/>
      <c r="AF1095" s="76"/>
      <c r="AG1095" s="76"/>
      <c r="AH1095" s="76"/>
      <c r="AI1095" s="76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6"/>
      <c r="AU1095" s="76"/>
      <c r="AV1095" s="76"/>
    </row>
    <row r="1096" spans="20:48" x14ac:dyDescent="0.2">
      <c r="T1096" s="76"/>
      <c r="U1096" s="76"/>
      <c r="V1096" s="76"/>
      <c r="W1096" s="76"/>
      <c r="X1096" s="76"/>
      <c r="Y1096" s="76"/>
      <c r="Z1096" s="76"/>
      <c r="AA1096" s="76"/>
      <c r="AB1096" s="76"/>
      <c r="AC1096" s="76"/>
      <c r="AD1096" s="76"/>
      <c r="AE1096" s="76"/>
      <c r="AF1096" s="76"/>
      <c r="AG1096" s="76"/>
      <c r="AH1096" s="76"/>
      <c r="AI1096" s="76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6"/>
      <c r="AU1096" s="76"/>
      <c r="AV1096" s="76"/>
    </row>
    <row r="1097" spans="20:48" x14ac:dyDescent="0.2">
      <c r="T1097" s="76"/>
      <c r="U1097" s="76"/>
      <c r="V1097" s="76"/>
      <c r="W1097" s="76"/>
      <c r="X1097" s="76"/>
      <c r="Y1097" s="76"/>
      <c r="Z1097" s="76"/>
      <c r="AA1097" s="76"/>
      <c r="AB1097" s="76"/>
      <c r="AC1097" s="76"/>
      <c r="AD1097" s="76"/>
      <c r="AE1097" s="76"/>
      <c r="AF1097" s="76"/>
      <c r="AG1097" s="76"/>
      <c r="AH1097" s="76"/>
      <c r="AI1097" s="76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6"/>
      <c r="AU1097" s="76"/>
      <c r="AV1097" s="76"/>
    </row>
    <row r="1098" spans="20:48" x14ac:dyDescent="0.2">
      <c r="T1098" s="76"/>
      <c r="U1098" s="76"/>
      <c r="V1098" s="76"/>
      <c r="W1098" s="76"/>
      <c r="X1098" s="76"/>
      <c r="Y1098" s="76"/>
      <c r="Z1098" s="76"/>
      <c r="AA1098" s="76"/>
      <c r="AB1098" s="76"/>
      <c r="AC1098" s="76"/>
      <c r="AD1098" s="76"/>
      <c r="AE1098" s="76"/>
      <c r="AF1098" s="76"/>
      <c r="AG1098" s="76"/>
      <c r="AH1098" s="76"/>
      <c r="AI1098" s="76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6"/>
      <c r="AU1098" s="76"/>
      <c r="AV1098" s="76"/>
    </row>
    <row r="1099" spans="20:48" x14ac:dyDescent="0.2">
      <c r="T1099" s="76"/>
      <c r="U1099" s="76"/>
      <c r="V1099" s="76"/>
      <c r="W1099" s="76"/>
      <c r="X1099" s="76"/>
      <c r="Y1099" s="76"/>
      <c r="Z1099" s="76"/>
      <c r="AA1099" s="76"/>
      <c r="AB1099" s="76"/>
      <c r="AC1099" s="76"/>
      <c r="AD1099" s="76"/>
      <c r="AE1099" s="76"/>
      <c r="AF1099" s="76"/>
      <c r="AG1099" s="76"/>
      <c r="AH1099" s="76"/>
      <c r="AI1099" s="76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6"/>
      <c r="AU1099" s="76"/>
      <c r="AV1099" s="76"/>
    </row>
    <row r="1100" spans="20:48" x14ac:dyDescent="0.2">
      <c r="T1100" s="76"/>
      <c r="U1100" s="76"/>
      <c r="V1100" s="76"/>
      <c r="W1100" s="76"/>
      <c r="X1100" s="76"/>
      <c r="Y1100" s="76"/>
      <c r="Z1100" s="76"/>
      <c r="AA1100" s="76"/>
      <c r="AB1100" s="76"/>
      <c r="AC1100" s="76"/>
      <c r="AD1100" s="76"/>
      <c r="AE1100" s="76"/>
      <c r="AF1100" s="76"/>
      <c r="AG1100" s="76"/>
      <c r="AH1100" s="76"/>
      <c r="AI1100" s="76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6"/>
      <c r="AU1100" s="76"/>
      <c r="AV1100" s="76"/>
    </row>
    <row r="1101" spans="20:48" x14ac:dyDescent="0.2">
      <c r="T1101" s="76"/>
      <c r="U1101" s="76"/>
      <c r="V1101" s="76"/>
      <c r="W1101" s="76"/>
      <c r="X1101" s="76"/>
      <c r="Y1101" s="76"/>
      <c r="Z1101" s="76"/>
      <c r="AA1101" s="76"/>
      <c r="AB1101" s="76"/>
      <c r="AC1101" s="76"/>
      <c r="AD1101" s="76"/>
      <c r="AE1101" s="76"/>
      <c r="AF1101" s="76"/>
      <c r="AG1101" s="76"/>
      <c r="AH1101" s="76"/>
      <c r="AI1101" s="76"/>
      <c r="AJ1101" s="76"/>
      <c r="AK1101" s="76"/>
      <c r="AL1101" s="76"/>
      <c r="AM1101" s="76"/>
      <c r="AN1101" s="76"/>
      <c r="AO1101" s="76"/>
      <c r="AP1101" s="76"/>
      <c r="AQ1101" s="76"/>
      <c r="AR1101" s="76"/>
      <c r="AS1101" s="76"/>
      <c r="AT1101" s="76"/>
      <c r="AU1101" s="76"/>
      <c r="AV1101" s="76"/>
    </row>
    <row r="1102" spans="20:48" x14ac:dyDescent="0.2">
      <c r="T1102" s="76"/>
      <c r="U1102" s="76"/>
      <c r="V1102" s="76"/>
      <c r="W1102" s="76"/>
      <c r="X1102" s="76"/>
      <c r="Y1102" s="76"/>
      <c r="Z1102" s="76"/>
      <c r="AA1102" s="76"/>
      <c r="AB1102" s="76"/>
      <c r="AC1102" s="76"/>
      <c r="AD1102" s="76"/>
      <c r="AE1102" s="76"/>
      <c r="AF1102" s="76"/>
      <c r="AG1102" s="76"/>
      <c r="AH1102" s="76"/>
      <c r="AI1102" s="76"/>
      <c r="AJ1102" s="76"/>
      <c r="AK1102" s="76"/>
      <c r="AL1102" s="76"/>
      <c r="AM1102" s="76"/>
      <c r="AN1102" s="76"/>
      <c r="AO1102" s="76"/>
      <c r="AP1102" s="76"/>
      <c r="AQ1102" s="76"/>
      <c r="AR1102" s="76"/>
      <c r="AS1102" s="76"/>
      <c r="AT1102" s="76"/>
      <c r="AU1102" s="76"/>
      <c r="AV1102" s="76"/>
    </row>
    <row r="1103" spans="20:48" x14ac:dyDescent="0.2">
      <c r="T1103" s="76"/>
      <c r="U1103" s="76"/>
      <c r="V1103" s="76"/>
      <c r="W1103" s="76"/>
      <c r="X1103" s="76"/>
      <c r="Y1103" s="76"/>
      <c r="Z1103" s="76"/>
      <c r="AA1103" s="76"/>
      <c r="AB1103" s="76"/>
      <c r="AC1103" s="76"/>
      <c r="AD1103" s="76"/>
      <c r="AE1103" s="76"/>
      <c r="AF1103" s="76"/>
      <c r="AG1103" s="76"/>
      <c r="AH1103" s="76"/>
      <c r="AI1103" s="76"/>
      <c r="AJ1103" s="76"/>
      <c r="AK1103" s="76"/>
      <c r="AL1103" s="76"/>
      <c r="AM1103" s="76"/>
      <c r="AN1103" s="76"/>
      <c r="AO1103" s="76"/>
      <c r="AP1103" s="76"/>
      <c r="AQ1103" s="76"/>
      <c r="AR1103" s="76"/>
      <c r="AS1103" s="76"/>
      <c r="AT1103" s="76"/>
      <c r="AU1103" s="76"/>
      <c r="AV1103" s="76"/>
    </row>
    <row r="1104" spans="20:48" x14ac:dyDescent="0.2">
      <c r="T1104" s="76"/>
      <c r="U1104" s="76"/>
      <c r="V1104" s="76"/>
      <c r="W1104" s="76"/>
      <c r="X1104" s="76"/>
      <c r="Y1104" s="76"/>
      <c r="Z1104" s="76"/>
      <c r="AA1104" s="76"/>
      <c r="AB1104" s="76"/>
      <c r="AC1104" s="76"/>
      <c r="AD1104" s="76"/>
      <c r="AE1104" s="76"/>
      <c r="AF1104" s="76"/>
      <c r="AG1104" s="76"/>
      <c r="AH1104" s="76"/>
      <c r="AI1104" s="76"/>
      <c r="AJ1104" s="76"/>
      <c r="AK1104" s="76"/>
      <c r="AL1104" s="76"/>
      <c r="AM1104" s="76"/>
      <c r="AN1104" s="76"/>
      <c r="AO1104" s="76"/>
      <c r="AP1104" s="76"/>
      <c r="AQ1104" s="76"/>
      <c r="AR1104" s="76"/>
      <c r="AS1104" s="76"/>
      <c r="AT1104" s="76"/>
      <c r="AU1104" s="76"/>
      <c r="AV1104" s="76"/>
    </row>
    <row r="1105" spans="20:48" x14ac:dyDescent="0.2">
      <c r="T1105" s="76"/>
      <c r="U1105" s="76"/>
      <c r="V1105" s="76"/>
      <c r="W1105" s="76"/>
      <c r="X1105" s="76"/>
      <c r="Y1105" s="76"/>
      <c r="Z1105" s="76"/>
      <c r="AA1105" s="76"/>
      <c r="AB1105" s="76"/>
      <c r="AC1105" s="76"/>
      <c r="AD1105" s="76"/>
      <c r="AE1105" s="76"/>
      <c r="AF1105" s="76"/>
      <c r="AG1105" s="76"/>
      <c r="AH1105" s="76"/>
      <c r="AI1105" s="76"/>
      <c r="AJ1105" s="76"/>
      <c r="AK1105" s="76"/>
      <c r="AL1105" s="76"/>
      <c r="AM1105" s="76"/>
      <c r="AN1105" s="76"/>
      <c r="AO1105" s="76"/>
      <c r="AP1105" s="76"/>
      <c r="AQ1105" s="76"/>
      <c r="AR1105" s="76"/>
      <c r="AS1105" s="76"/>
      <c r="AT1105" s="76"/>
      <c r="AU1105" s="76"/>
      <c r="AV1105" s="76"/>
    </row>
    <row r="1106" spans="20:48" x14ac:dyDescent="0.2">
      <c r="T1106" s="76"/>
      <c r="U1106" s="76"/>
      <c r="V1106" s="76"/>
      <c r="W1106" s="76"/>
      <c r="X1106" s="76"/>
      <c r="Y1106" s="76"/>
      <c r="Z1106" s="76"/>
      <c r="AA1106" s="76"/>
      <c r="AB1106" s="76"/>
      <c r="AC1106" s="76"/>
      <c r="AD1106" s="76"/>
      <c r="AE1106" s="76"/>
      <c r="AF1106" s="76"/>
      <c r="AG1106" s="76"/>
      <c r="AH1106" s="76"/>
      <c r="AI1106" s="76"/>
      <c r="AJ1106" s="76"/>
      <c r="AK1106" s="76"/>
      <c r="AL1106" s="76"/>
      <c r="AM1106" s="76"/>
      <c r="AN1106" s="76"/>
      <c r="AO1106" s="76"/>
      <c r="AP1106" s="76"/>
      <c r="AQ1106" s="76"/>
      <c r="AR1106" s="76"/>
      <c r="AS1106" s="76"/>
      <c r="AT1106" s="76"/>
      <c r="AU1106" s="76"/>
      <c r="AV1106" s="76"/>
    </row>
    <row r="1107" spans="20:48" x14ac:dyDescent="0.2">
      <c r="T1107" s="76"/>
      <c r="U1107" s="76"/>
      <c r="V1107" s="76"/>
      <c r="W1107" s="76"/>
      <c r="X1107" s="76"/>
      <c r="Y1107" s="76"/>
      <c r="Z1107" s="76"/>
      <c r="AA1107" s="76"/>
      <c r="AB1107" s="76"/>
      <c r="AC1107" s="76"/>
      <c r="AD1107" s="76"/>
      <c r="AE1107" s="76"/>
      <c r="AF1107" s="76"/>
      <c r="AG1107" s="76"/>
      <c r="AH1107" s="76"/>
      <c r="AI1107" s="76"/>
      <c r="AJ1107" s="76"/>
      <c r="AK1107" s="76"/>
      <c r="AL1107" s="76"/>
      <c r="AM1107" s="76"/>
      <c r="AN1107" s="76"/>
      <c r="AO1107" s="76"/>
      <c r="AP1107" s="76"/>
      <c r="AQ1107" s="76"/>
      <c r="AR1107" s="76"/>
      <c r="AS1107" s="76"/>
      <c r="AT1107" s="76"/>
      <c r="AU1107" s="76"/>
      <c r="AV1107" s="76"/>
    </row>
    <row r="1108" spans="20:48" x14ac:dyDescent="0.2">
      <c r="T1108" s="76"/>
      <c r="U1108" s="76"/>
      <c r="V1108" s="76"/>
      <c r="W1108" s="76"/>
      <c r="X1108" s="76"/>
      <c r="Y1108" s="76"/>
      <c r="Z1108" s="76"/>
      <c r="AA1108" s="76"/>
      <c r="AB1108" s="76"/>
      <c r="AC1108" s="76"/>
      <c r="AD1108" s="76"/>
      <c r="AE1108" s="76"/>
      <c r="AF1108" s="76"/>
      <c r="AG1108" s="76"/>
      <c r="AH1108" s="76"/>
      <c r="AI1108" s="76"/>
      <c r="AJ1108" s="76"/>
      <c r="AK1108" s="76"/>
      <c r="AL1108" s="76"/>
      <c r="AM1108" s="76"/>
      <c r="AN1108" s="76"/>
      <c r="AO1108" s="76"/>
      <c r="AP1108" s="76"/>
      <c r="AQ1108" s="76"/>
      <c r="AR1108" s="76"/>
      <c r="AS1108" s="76"/>
      <c r="AT1108" s="76"/>
      <c r="AU1108" s="76"/>
      <c r="AV1108" s="76"/>
    </row>
    <row r="1109" spans="20:48" x14ac:dyDescent="0.2">
      <c r="T1109" s="76"/>
      <c r="U1109" s="76"/>
      <c r="V1109" s="76"/>
      <c r="W1109" s="76"/>
      <c r="X1109" s="76"/>
      <c r="Y1109" s="76"/>
      <c r="Z1109" s="76"/>
      <c r="AA1109" s="76"/>
      <c r="AB1109" s="76"/>
      <c r="AC1109" s="76"/>
      <c r="AD1109" s="76"/>
      <c r="AE1109" s="76"/>
      <c r="AF1109" s="76"/>
      <c r="AG1109" s="76"/>
      <c r="AH1109" s="76"/>
      <c r="AI1109" s="76"/>
      <c r="AJ1109" s="76"/>
      <c r="AK1109" s="76"/>
      <c r="AL1109" s="76"/>
      <c r="AM1109" s="76"/>
      <c r="AN1109" s="76"/>
      <c r="AO1109" s="76"/>
      <c r="AP1109" s="76"/>
      <c r="AQ1109" s="76"/>
      <c r="AR1109" s="76"/>
      <c r="AS1109" s="76"/>
      <c r="AT1109" s="76"/>
      <c r="AU1109" s="76"/>
      <c r="AV1109" s="76"/>
    </row>
    <row r="1110" spans="20:48" x14ac:dyDescent="0.2">
      <c r="T1110" s="76"/>
      <c r="U1110" s="76"/>
      <c r="V1110" s="76"/>
      <c r="W1110" s="76"/>
      <c r="X1110" s="76"/>
      <c r="Y1110" s="76"/>
      <c r="Z1110" s="76"/>
      <c r="AA1110" s="76"/>
      <c r="AB1110" s="76"/>
      <c r="AC1110" s="76"/>
      <c r="AD1110" s="76"/>
      <c r="AE1110" s="76"/>
      <c r="AF1110" s="76"/>
      <c r="AG1110" s="76"/>
      <c r="AH1110" s="76"/>
      <c r="AI1110" s="76"/>
      <c r="AJ1110" s="76"/>
      <c r="AK1110" s="76"/>
      <c r="AL1110" s="76"/>
      <c r="AM1110" s="76"/>
      <c r="AN1110" s="76"/>
      <c r="AO1110" s="76"/>
      <c r="AP1110" s="76"/>
      <c r="AQ1110" s="76"/>
      <c r="AR1110" s="76"/>
      <c r="AS1110" s="76"/>
      <c r="AT1110" s="76"/>
      <c r="AU1110" s="76"/>
      <c r="AV1110" s="76"/>
    </row>
    <row r="1111" spans="20:48" x14ac:dyDescent="0.2">
      <c r="T1111" s="76"/>
      <c r="U1111" s="76"/>
      <c r="V1111" s="76"/>
      <c r="W1111" s="76"/>
      <c r="X1111" s="76"/>
      <c r="Y1111" s="76"/>
      <c r="Z1111" s="76"/>
      <c r="AA1111" s="76"/>
      <c r="AB1111" s="76"/>
      <c r="AC1111" s="76"/>
      <c r="AD1111" s="76"/>
      <c r="AE1111" s="76"/>
      <c r="AF1111" s="76"/>
      <c r="AG1111" s="76"/>
      <c r="AH1111" s="76"/>
      <c r="AI1111" s="76"/>
      <c r="AJ1111" s="76"/>
      <c r="AK1111" s="76"/>
      <c r="AL1111" s="76"/>
      <c r="AM1111" s="76"/>
      <c r="AN1111" s="76"/>
      <c r="AO1111" s="76"/>
      <c r="AP1111" s="76"/>
      <c r="AQ1111" s="76"/>
      <c r="AR1111" s="76"/>
      <c r="AS1111" s="76"/>
      <c r="AT1111" s="76"/>
      <c r="AU1111" s="76"/>
      <c r="AV1111" s="76"/>
    </row>
    <row r="1112" spans="20:48" x14ac:dyDescent="0.2">
      <c r="T1112" s="76"/>
      <c r="U1112" s="76"/>
      <c r="V1112" s="76"/>
      <c r="W1112" s="76"/>
      <c r="X1112" s="76"/>
      <c r="Y1112" s="76"/>
      <c r="Z1112" s="76"/>
      <c r="AA1112" s="76"/>
      <c r="AB1112" s="76"/>
      <c r="AC1112" s="76"/>
      <c r="AD1112" s="76"/>
      <c r="AE1112" s="76"/>
      <c r="AF1112" s="76"/>
      <c r="AG1112" s="76"/>
      <c r="AH1112" s="76"/>
      <c r="AI1112" s="76"/>
      <c r="AJ1112" s="76"/>
      <c r="AK1112" s="76"/>
      <c r="AL1112" s="76"/>
      <c r="AM1112" s="76"/>
      <c r="AN1112" s="76"/>
      <c r="AO1112" s="76"/>
      <c r="AP1112" s="76"/>
      <c r="AQ1112" s="76"/>
      <c r="AR1112" s="76"/>
      <c r="AS1112" s="76"/>
      <c r="AT1112" s="76"/>
      <c r="AU1112" s="76"/>
      <c r="AV1112" s="76"/>
    </row>
    <row r="1113" spans="20:48" x14ac:dyDescent="0.2">
      <c r="T1113" s="76"/>
      <c r="U1113" s="76"/>
      <c r="V1113" s="76"/>
      <c r="W1113" s="76"/>
      <c r="X1113" s="76"/>
      <c r="Y1113" s="76"/>
      <c r="Z1113" s="76"/>
      <c r="AA1113" s="76"/>
      <c r="AB1113" s="76"/>
      <c r="AC1113" s="76"/>
      <c r="AD1113" s="76"/>
      <c r="AE1113" s="76"/>
      <c r="AF1113" s="76"/>
      <c r="AG1113" s="76"/>
      <c r="AH1113" s="76"/>
      <c r="AI1113" s="76"/>
      <c r="AJ1113" s="76"/>
      <c r="AK1113" s="76"/>
      <c r="AL1113" s="76"/>
      <c r="AM1113" s="76"/>
      <c r="AN1113" s="76"/>
      <c r="AO1113" s="76"/>
      <c r="AP1113" s="76"/>
      <c r="AQ1113" s="76"/>
      <c r="AR1113" s="76"/>
      <c r="AS1113" s="76"/>
      <c r="AT1113" s="76"/>
      <c r="AU1113" s="76"/>
      <c r="AV1113" s="76"/>
    </row>
    <row r="1114" spans="20:48" x14ac:dyDescent="0.2">
      <c r="T1114" s="76"/>
      <c r="U1114" s="76"/>
      <c r="V1114" s="76"/>
      <c r="W1114" s="76"/>
      <c r="X1114" s="76"/>
      <c r="Y1114" s="76"/>
      <c r="Z1114" s="76"/>
      <c r="AA1114" s="76"/>
      <c r="AB1114" s="76"/>
      <c r="AC1114" s="76"/>
      <c r="AD1114" s="76"/>
      <c r="AE1114" s="76"/>
      <c r="AF1114" s="76"/>
      <c r="AG1114" s="76"/>
      <c r="AH1114" s="76"/>
      <c r="AI1114" s="76"/>
      <c r="AJ1114" s="76"/>
      <c r="AK1114" s="76"/>
      <c r="AL1114" s="76"/>
      <c r="AM1114" s="76"/>
      <c r="AN1114" s="76"/>
      <c r="AO1114" s="76"/>
      <c r="AP1114" s="76"/>
      <c r="AQ1114" s="76"/>
      <c r="AR1114" s="76"/>
      <c r="AS1114" s="76"/>
      <c r="AT1114" s="76"/>
      <c r="AU1114" s="76"/>
      <c r="AV1114" s="76"/>
    </row>
    <row r="1115" spans="20:48" x14ac:dyDescent="0.2">
      <c r="T1115" s="76"/>
      <c r="U1115" s="76"/>
      <c r="V1115" s="76"/>
      <c r="W1115" s="76"/>
      <c r="X1115" s="76"/>
      <c r="Y1115" s="76"/>
      <c r="Z1115" s="76"/>
      <c r="AA1115" s="76"/>
      <c r="AB1115" s="76"/>
      <c r="AC1115" s="76"/>
      <c r="AD1115" s="76"/>
      <c r="AE1115" s="76"/>
      <c r="AF1115" s="76"/>
      <c r="AG1115" s="76"/>
      <c r="AH1115" s="76"/>
      <c r="AI1115" s="76"/>
      <c r="AJ1115" s="76"/>
      <c r="AK1115" s="76"/>
      <c r="AL1115" s="76"/>
      <c r="AM1115" s="76"/>
      <c r="AN1115" s="76"/>
      <c r="AO1115" s="76"/>
      <c r="AP1115" s="76"/>
      <c r="AQ1115" s="76"/>
      <c r="AR1115" s="76"/>
      <c r="AS1115" s="76"/>
      <c r="AT1115" s="76"/>
      <c r="AU1115" s="76"/>
      <c r="AV1115" s="76"/>
    </row>
    <row r="1116" spans="20:48" x14ac:dyDescent="0.2">
      <c r="T1116" s="76"/>
      <c r="U1116" s="76"/>
      <c r="V1116" s="76"/>
      <c r="W1116" s="76"/>
      <c r="X1116" s="76"/>
      <c r="Y1116" s="76"/>
      <c r="Z1116" s="76"/>
      <c r="AA1116" s="76"/>
      <c r="AB1116" s="76"/>
      <c r="AC1116" s="76"/>
      <c r="AD1116" s="76"/>
      <c r="AE1116" s="76"/>
      <c r="AF1116" s="76"/>
      <c r="AG1116" s="76"/>
      <c r="AH1116" s="76"/>
      <c r="AI1116" s="76"/>
      <c r="AJ1116" s="76"/>
      <c r="AK1116" s="76"/>
      <c r="AL1116" s="76"/>
      <c r="AM1116" s="76"/>
      <c r="AN1116" s="76"/>
      <c r="AO1116" s="76"/>
      <c r="AP1116" s="76"/>
      <c r="AQ1116" s="76"/>
      <c r="AR1116" s="76"/>
      <c r="AS1116" s="76"/>
      <c r="AT1116" s="76"/>
      <c r="AU1116" s="76"/>
      <c r="AV1116" s="76"/>
    </row>
    <row r="1117" spans="20:48" x14ac:dyDescent="0.2">
      <c r="T1117" s="76"/>
      <c r="U1117" s="76"/>
      <c r="V1117" s="76"/>
      <c r="W1117" s="76"/>
      <c r="X1117" s="76"/>
      <c r="Y1117" s="76"/>
      <c r="Z1117" s="76"/>
      <c r="AA1117" s="76"/>
      <c r="AB1117" s="76"/>
      <c r="AC1117" s="76"/>
      <c r="AD1117" s="76"/>
      <c r="AE1117" s="76"/>
      <c r="AF1117" s="76"/>
      <c r="AG1117" s="76"/>
      <c r="AH1117" s="76"/>
      <c r="AI1117" s="76"/>
      <c r="AJ1117" s="76"/>
      <c r="AK1117" s="76"/>
      <c r="AL1117" s="76"/>
      <c r="AM1117" s="76"/>
      <c r="AN1117" s="76"/>
      <c r="AO1117" s="76"/>
      <c r="AP1117" s="76"/>
      <c r="AQ1117" s="76"/>
      <c r="AR1117" s="76"/>
      <c r="AS1117" s="76"/>
      <c r="AT1117" s="76"/>
      <c r="AU1117" s="76"/>
      <c r="AV1117" s="76"/>
    </row>
    <row r="1118" spans="20:48" x14ac:dyDescent="0.2">
      <c r="T1118" s="76"/>
      <c r="U1118" s="76"/>
      <c r="V1118" s="76"/>
      <c r="W1118" s="76"/>
      <c r="X1118" s="76"/>
      <c r="Y1118" s="76"/>
      <c r="Z1118" s="76"/>
      <c r="AA1118" s="76"/>
      <c r="AB1118" s="76"/>
      <c r="AC1118" s="76"/>
      <c r="AD1118" s="76"/>
      <c r="AE1118" s="76"/>
      <c r="AF1118" s="76"/>
      <c r="AG1118" s="76"/>
      <c r="AH1118" s="76"/>
      <c r="AI1118" s="76"/>
      <c r="AJ1118" s="76"/>
      <c r="AK1118" s="76"/>
      <c r="AL1118" s="76"/>
      <c r="AM1118" s="76"/>
      <c r="AN1118" s="76"/>
      <c r="AO1118" s="76"/>
      <c r="AP1118" s="76"/>
      <c r="AQ1118" s="76"/>
      <c r="AR1118" s="76"/>
      <c r="AS1118" s="76"/>
      <c r="AT1118" s="76"/>
      <c r="AU1118" s="76"/>
      <c r="AV1118" s="76"/>
    </row>
    <row r="1119" spans="20:48" x14ac:dyDescent="0.2">
      <c r="T1119" s="76"/>
      <c r="U1119" s="76"/>
      <c r="V1119" s="76"/>
      <c r="W1119" s="76"/>
      <c r="X1119" s="76"/>
      <c r="Y1119" s="76"/>
      <c r="Z1119" s="76"/>
      <c r="AA1119" s="76"/>
      <c r="AB1119" s="76"/>
      <c r="AC1119" s="76"/>
      <c r="AD1119" s="76"/>
      <c r="AE1119" s="76"/>
      <c r="AF1119" s="76"/>
      <c r="AG1119" s="76"/>
      <c r="AH1119" s="76"/>
      <c r="AI1119" s="76"/>
      <c r="AJ1119" s="76"/>
      <c r="AK1119" s="76"/>
      <c r="AL1119" s="76"/>
      <c r="AM1119" s="76"/>
      <c r="AN1119" s="76"/>
      <c r="AO1119" s="76"/>
      <c r="AP1119" s="76"/>
      <c r="AQ1119" s="76"/>
      <c r="AR1119" s="76"/>
      <c r="AS1119" s="76"/>
      <c r="AT1119" s="76"/>
      <c r="AU1119" s="76"/>
      <c r="AV1119" s="76"/>
    </row>
    <row r="1120" spans="20:48" x14ac:dyDescent="0.2">
      <c r="T1120" s="76"/>
      <c r="U1120" s="76"/>
      <c r="V1120" s="76"/>
      <c r="W1120" s="76"/>
      <c r="X1120" s="76"/>
      <c r="Y1120" s="76"/>
      <c r="Z1120" s="76"/>
      <c r="AA1120" s="76"/>
      <c r="AB1120" s="76"/>
      <c r="AC1120" s="76"/>
      <c r="AD1120" s="76"/>
      <c r="AE1120" s="76"/>
      <c r="AF1120" s="76"/>
      <c r="AG1120" s="76"/>
      <c r="AH1120" s="76"/>
      <c r="AI1120" s="76"/>
      <c r="AJ1120" s="76"/>
      <c r="AK1120" s="76"/>
      <c r="AL1120" s="76"/>
      <c r="AM1120" s="76"/>
      <c r="AN1120" s="76"/>
      <c r="AO1120" s="76"/>
      <c r="AP1120" s="76"/>
      <c r="AQ1120" s="76"/>
      <c r="AR1120" s="76"/>
      <c r="AS1120" s="76"/>
      <c r="AT1120" s="76"/>
      <c r="AU1120" s="76"/>
      <c r="AV1120" s="76"/>
    </row>
    <row r="1121" spans="20:48" x14ac:dyDescent="0.2">
      <c r="T1121" s="76"/>
      <c r="U1121" s="76"/>
      <c r="V1121" s="76"/>
      <c r="W1121" s="76"/>
      <c r="X1121" s="76"/>
      <c r="Y1121" s="76"/>
      <c r="Z1121" s="76"/>
      <c r="AA1121" s="76"/>
      <c r="AB1121" s="76"/>
      <c r="AC1121" s="76"/>
      <c r="AD1121" s="76"/>
      <c r="AE1121" s="76"/>
      <c r="AF1121" s="76"/>
      <c r="AG1121" s="76"/>
      <c r="AH1121" s="76"/>
      <c r="AI1121" s="76"/>
      <c r="AJ1121" s="76"/>
      <c r="AK1121" s="76"/>
      <c r="AL1121" s="76"/>
      <c r="AM1121" s="76"/>
      <c r="AN1121" s="76"/>
      <c r="AO1121" s="76"/>
      <c r="AP1121" s="76"/>
      <c r="AQ1121" s="76"/>
      <c r="AR1121" s="76"/>
      <c r="AS1121" s="76"/>
      <c r="AT1121" s="76"/>
      <c r="AU1121" s="76"/>
      <c r="AV1121" s="76"/>
    </row>
    <row r="1122" spans="20:48" x14ac:dyDescent="0.2">
      <c r="T1122" s="76"/>
      <c r="U1122" s="76"/>
      <c r="V1122" s="76"/>
      <c r="W1122" s="76"/>
      <c r="X1122" s="76"/>
      <c r="Y1122" s="76"/>
      <c r="Z1122" s="76"/>
      <c r="AA1122" s="76"/>
      <c r="AB1122" s="76"/>
      <c r="AC1122" s="76"/>
      <c r="AD1122" s="76"/>
      <c r="AE1122" s="76"/>
      <c r="AF1122" s="76"/>
      <c r="AG1122" s="76"/>
      <c r="AH1122" s="76"/>
      <c r="AI1122" s="76"/>
      <c r="AJ1122" s="76"/>
      <c r="AK1122" s="76"/>
      <c r="AL1122" s="76"/>
      <c r="AM1122" s="76"/>
      <c r="AN1122" s="76"/>
      <c r="AO1122" s="76"/>
      <c r="AP1122" s="76"/>
      <c r="AQ1122" s="76"/>
      <c r="AR1122" s="76"/>
      <c r="AS1122" s="76"/>
      <c r="AT1122" s="76"/>
      <c r="AU1122" s="76"/>
      <c r="AV1122" s="76"/>
    </row>
    <row r="1123" spans="20:48" x14ac:dyDescent="0.2">
      <c r="T1123" s="76"/>
      <c r="U1123" s="76"/>
      <c r="V1123" s="76"/>
      <c r="W1123" s="76"/>
      <c r="X1123" s="76"/>
      <c r="Y1123" s="76"/>
      <c r="Z1123" s="76"/>
      <c r="AA1123" s="76"/>
      <c r="AB1123" s="76"/>
      <c r="AC1123" s="76"/>
      <c r="AD1123" s="76"/>
      <c r="AE1123" s="76"/>
      <c r="AF1123" s="76"/>
      <c r="AG1123" s="76"/>
      <c r="AH1123" s="76"/>
      <c r="AI1123" s="76"/>
      <c r="AJ1123" s="76"/>
      <c r="AK1123" s="76"/>
      <c r="AL1123" s="76"/>
      <c r="AM1123" s="76"/>
      <c r="AN1123" s="76"/>
      <c r="AO1123" s="76"/>
      <c r="AP1123" s="76"/>
      <c r="AQ1123" s="76"/>
      <c r="AR1123" s="76"/>
      <c r="AS1123" s="76"/>
      <c r="AT1123" s="76"/>
      <c r="AU1123" s="76"/>
      <c r="AV1123" s="76"/>
    </row>
    <row r="1124" spans="20:48" x14ac:dyDescent="0.2">
      <c r="T1124" s="76"/>
      <c r="U1124" s="76"/>
      <c r="V1124" s="76"/>
      <c r="W1124" s="76"/>
      <c r="X1124" s="76"/>
      <c r="Y1124" s="76"/>
      <c r="Z1124" s="76"/>
      <c r="AA1124" s="76"/>
      <c r="AB1124" s="76"/>
      <c r="AC1124" s="76"/>
      <c r="AD1124" s="76"/>
      <c r="AE1124" s="76"/>
      <c r="AF1124" s="76"/>
      <c r="AG1124" s="76"/>
      <c r="AH1124" s="76"/>
      <c r="AI1124" s="76"/>
      <c r="AJ1124" s="76"/>
      <c r="AK1124" s="76"/>
      <c r="AL1124" s="76"/>
      <c r="AM1124" s="76"/>
      <c r="AN1124" s="76"/>
      <c r="AO1124" s="76"/>
      <c r="AP1124" s="76"/>
      <c r="AQ1124" s="76"/>
      <c r="AR1124" s="76"/>
      <c r="AS1124" s="76"/>
      <c r="AT1124" s="76"/>
      <c r="AU1124" s="76"/>
      <c r="AV1124" s="76"/>
    </row>
    <row r="1125" spans="20:48" x14ac:dyDescent="0.2">
      <c r="T1125" s="76"/>
      <c r="U1125" s="76"/>
      <c r="V1125" s="76"/>
      <c r="W1125" s="76"/>
      <c r="X1125" s="76"/>
      <c r="Y1125" s="76"/>
      <c r="Z1125" s="76"/>
      <c r="AA1125" s="76"/>
      <c r="AB1125" s="76"/>
      <c r="AC1125" s="76"/>
      <c r="AD1125" s="76"/>
      <c r="AE1125" s="76"/>
      <c r="AF1125" s="76"/>
      <c r="AG1125" s="76"/>
      <c r="AH1125" s="76"/>
      <c r="AI1125" s="76"/>
      <c r="AJ1125" s="76"/>
      <c r="AK1125" s="76"/>
      <c r="AL1125" s="76"/>
      <c r="AM1125" s="76"/>
      <c r="AN1125" s="76"/>
      <c r="AO1125" s="76"/>
      <c r="AP1125" s="76"/>
      <c r="AQ1125" s="76"/>
      <c r="AR1125" s="76"/>
      <c r="AS1125" s="76"/>
      <c r="AT1125" s="76"/>
      <c r="AU1125" s="76"/>
      <c r="AV1125" s="76"/>
    </row>
    <row r="1126" spans="20:48" x14ac:dyDescent="0.2">
      <c r="T1126" s="76"/>
      <c r="U1126" s="76"/>
      <c r="V1126" s="76"/>
      <c r="W1126" s="76"/>
      <c r="X1126" s="76"/>
      <c r="Y1126" s="76"/>
      <c r="Z1126" s="76"/>
      <c r="AA1126" s="76"/>
      <c r="AB1126" s="76"/>
      <c r="AC1126" s="76"/>
      <c r="AD1126" s="76"/>
      <c r="AE1126" s="76"/>
      <c r="AF1126" s="76"/>
      <c r="AG1126" s="76"/>
      <c r="AH1126" s="76"/>
      <c r="AI1126" s="76"/>
      <c r="AJ1126" s="76"/>
      <c r="AK1126" s="76"/>
      <c r="AL1126" s="76"/>
      <c r="AM1126" s="76"/>
      <c r="AN1126" s="76"/>
      <c r="AO1126" s="76"/>
      <c r="AP1126" s="76"/>
      <c r="AQ1126" s="76"/>
      <c r="AR1126" s="76"/>
      <c r="AS1126" s="76"/>
      <c r="AT1126" s="76"/>
      <c r="AU1126" s="76"/>
      <c r="AV1126" s="76"/>
    </row>
    <row r="1127" spans="20:48" x14ac:dyDescent="0.2">
      <c r="T1127" s="76"/>
      <c r="U1127" s="76"/>
      <c r="V1127" s="76"/>
      <c r="W1127" s="76"/>
      <c r="X1127" s="76"/>
      <c r="Y1127" s="76"/>
      <c r="Z1127" s="76"/>
      <c r="AA1127" s="76"/>
      <c r="AB1127" s="76"/>
      <c r="AC1127" s="76"/>
      <c r="AD1127" s="76"/>
      <c r="AE1127" s="76"/>
      <c r="AF1127" s="76"/>
      <c r="AG1127" s="76"/>
      <c r="AH1127" s="76"/>
      <c r="AI1127" s="76"/>
      <c r="AJ1127" s="76"/>
      <c r="AK1127" s="76"/>
      <c r="AL1127" s="76"/>
      <c r="AM1127" s="76"/>
      <c r="AN1127" s="76"/>
      <c r="AO1127" s="76"/>
      <c r="AP1127" s="76"/>
      <c r="AQ1127" s="76"/>
      <c r="AR1127" s="76"/>
      <c r="AS1127" s="76"/>
      <c r="AT1127" s="76"/>
      <c r="AU1127" s="76"/>
      <c r="AV1127" s="76"/>
    </row>
    <row r="1128" spans="20:48" x14ac:dyDescent="0.2">
      <c r="T1128" s="76"/>
      <c r="U1128" s="76"/>
      <c r="V1128" s="76"/>
      <c r="W1128" s="76"/>
      <c r="X1128" s="76"/>
      <c r="Y1128" s="76"/>
      <c r="Z1128" s="76"/>
      <c r="AA1128" s="76"/>
      <c r="AB1128" s="76"/>
      <c r="AC1128" s="76"/>
      <c r="AD1128" s="76"/>
      <c r="AE1128" s="76"/>
      <c r="AF1128" s="76"/>
      <c r="AG1128" s="76"/>
      <c r="AH1128" s="76"/>
      <c r="AI1128" s="76"/>
      <c r="AJ1128" s="76"/>
      <c r="AK1128" s="76"/>
      <c r="AL1128" s="76"/>
      <c r="AM1128" s="76"/>
      <c r="AN1128" s="76"/>
      <c r="AO1128" s="76"/>
      <c r="AP1128" s="76"/>
      <c r="AQ1128" s="76"/>
      <c r="AR1128" s="76"/>
      <c r="AS1128" s="76"/>
      <c r="AT1128" s="76"/>
      <c r="AU1128" s="76"/>
      <c r="AV1128" s="76"/>
    </row>
    <row r="1129" spans="20:48" x14ac:dyDescent="0.2">
      <c r="T1129" s="76"/>
      <c r="U1129" s="76"/>
      <c r="V1129" s="76"/>
      <c r="W1129" s="76"/>
      <c r="X1129" s="76"/>
      <c r="Y1129" s="76"/>
      <c r="Z1129" s="76"/>
      <c r="AA1129" s="76"/>
      <c r="AB1129" s="76"/>
      <c r="AC1129" s="76"/>
      <c r="AD1129" s="76"/>
      <c r="AE1129" s="76"/>
      <c r="AF1129" s="76"/>
      <c r="AG1129" s="76"/>
      <c r="AH1129" s="76"/>
      <c r="AI1129" s="76"/>
      <c r="AJ1129" s="76"/>
      <c r="AK1129" s="76"/>
      <c r="AL1129" s="76"/>
      <c r="AM1129" s="76"/>
      <c r="AN1129" s="76"/>
      <c r="AO1129" s="76"/>
      <c r="AP1129" s="76"/>
      <c r="AQ1129" s="76"/>
      <c r="AR1129" s="76"/>
      <c r="AS1129" s="76"/>
      <c r="AT1129" s="76"/>
      <c r="AU1129" s="76"/>
      <c r="AV1129" s="76"/>
    </row>
    <row r="1130" spans="20:48" x14ac:dyDescent="0.2">
      <c r="T1130" s="76"/>
      <c r="U1130" s="76"/>
      <c r="V1130" s="76"/>
      <c r="W1130" s="76"/>
      <c r="X1130" s="76"/>
      <c r="Y1130" s="76"/>
      <c r="Z1130" s="76"/>
      <c r="AA1130" s="76"/>
      <c r="AB1130" s="76"/>
      <c r="AC1130" s="76"/>
      <c r="AD1130" s="76"/>
      <c r="AE1130" s="76"/>
      <c r="AF1130" s="76"/>
      <c r="AG1130" s="76"/>
      <c r="AH1130" s="76"/>
      <c r="AI1130" s="76"/>
      <c r="AJ1130" s="76"/>
      <c r="AK1130" s="76"/>
      <c r="AL1130" s="76"/>
      <c r="AM1130" s="76"/>
      <c r="AN1130" s="76"/>
      <c r="AO1130" s="76"/>
      <c r="AP1130" s="76"/>
      <c r="AQ1130" s="76"/>
      <c r="AR1130" s="76"/>
      <c r="AS1130" s="76"/>
      <c r="AT1130" s="76"/>
      <c r="AU1130" s="76"/>
      <c r="AV1130" s="76"/>
    </row>
    <row r="1131" spans="20:48" x14ac:dyDescent="0.2">
      <c r="T1131" s="76"/>
      <c r="U1131" s="76"/>
      <c r="V1131" s="76"/>
      <c r="W1131" s="76"/>
      <c r="X1131" s="76"/>
      <c r="Y1131" s="76"/>
      <c r="Z1131" s="76"/>
      <c r="AA1131" s="76"/>
      <c r="AB1131" s="76"/>
      <c r="AC1131" s="76"/>
      <c r="AD1131" s="76"/>
      <c r="AE1131" s="76"/>
      <c r="AF1131" s="76"/>
      <c r="AG1131" s="76"/>
      <c r="AH1131" s="76"/>
      <c r="AI1131" s="76"/>
      <c r="AJ1131" s="76"/>
      <c r="AK1131" s="76"/>
      <c r="AL1131" s="76"/>
      <c r="AM1131" s="76"/>
      <c r="AN1131" s="76"/>
      <c r="AO1131" s="76"/>
      <c r="AP1131" s="76"/>
      <c r="AQ1131" s="76"/>
      <c r="AR1131" s="76"/>
      <c r="AS1131" s="76"/>
      <c r="AT1131" s="76"/>
      <c r="AU1131" s="76"/>
      <c r="AV1131" s="76"/>
    </row>
    <row r="1132" spans="20:48" x14ac:dyDescent="0.2">
      <c r="T1132" s="76"/>
      <c r="U1132" s="76"/>
      <c r="V1132" s="76"/>
      <c r="W1132" s="76"/>
      <c r="X1132" s="76"/>
      <c r="Y1132" s="76"/>
      <c r="Z1132" s="76"/>
      <c r="AA1132" s="76"/>
      <c r="AB1132" s="76"/>
      <c r="AC1132" s="76"/>
      <c r="AD1132" s="76"/>
      <c r="AE1132" s="76"/>
      <c r="AF1132" s="76"/>
      <c r="AG1132" s="76"/>
      <c r="AH1132" s="76"/>
      <c r="AI1132" s="76"/>
      <c r="AJ1132" s="76"/>
      <c r="AK1132" s="76"/>
      <c r="AL1132" s="76"/>
      <c r="AM1132" s="76"/>
      <c r="AN1132" s="76"/>
      <c r="AO1132" s="76"/>
      <c r="AP1132" s="76"/>
      <c r="AQ1132" s="76"/>
      <c r="AR1132" s="76"/>
      <c r="AS1132" s="76"/>
      <c r="AT1132" s="76"/>
      <c r="AU1132" s="76"/>
      <c r="AV1132" s="76"/>
    </row>
    <row r="1133" spans="20:48" x14ac:dyDescent="0.2">
      <c r="T1133" s="76"/>
      <c r="U1133" s="76"/>
      <c r="V1133" s="76"/>
      <c r="W1133" s="76"/>
      <c r="X1133" s="76"/>
      <c r="Y1133" s="76"/>
      <c r="Z1133" s="76"/>
      <c r="AA1133" s="76"/>
      <c r="AB1133" s="76"/>
      <c r="AC1133" s="76"/>
      <c r="AD1133" s="76"/>
      <c r="AE1133" s="76"/>
      <c r="AF1133" s="76"/>
      <c r="AG1133" s="76"/>
      <c r="AH1133" s="76"/>
      <c r="AI1133" s="76"/>
      <c r="AJ1133" s="76"/>
      <c r="AK1133" s="76"/>
      <c r="AL1133" s="76"/>
      <c r="AM1133" s="76"/>
      <c r="AN1133" s="76"/>
      <c r="AO1133" s="76"/>
      <c r="AP1133" s="76"/>
      <c r="AQ1133" s="76"/>
      <c r="AR1133" s="76"/>
      <c r="AS1133" s="76"/>
      <c r="AT1133" s="76"/>
      <c r="AU1133" s="76"/>
      <c r="AV1133" s="76"/>
    </row>
    <row r="1134" spans="20:48" x14ac:dyDescent="0.2">
      <c r="T1134" s="76"/>
      <c r="U1134" s="76"/>
      <c r="V1134" s="76"/>
      <c r="W1134" s="76"/>
      <c r="X1134" s="76"/>
      <c r="Y1134" s="76"/>
      <c r="Z1134" s="76"/>
      <c r="AA1134" s="76"/>
      <c r="AB1134" s="76"/>
      <c r="AC1134" s="76"/>
      <c r="AD1134" s="76"/>
      <c r="AE1134" s="76"/>
      <c r="AF1134" s="76"/>
      <c r="AG1134" s="76"/>
      <c r="AH1134" s="76"/>
      <c r="AI1134" s="76"/>
      <c r="AJ1134" s="76"/>
      <c r="AK1134" s="76"/>
      <c r="AL1134" s="76"/>
      <c r="AM1134" s="76"/>
      <c r="AN1134" s="76"/>
      <c r="AO1134" s="76"/>
      <c r="AP1134" s="76"/>
      <c r="AQ1134" s="76"/>
      <c r="AR1134" s="76"/>
      <c r="AS1134" s="76"/>
      <c r="AT1134" s="76"/>
      <c r="AU1134" s="76"/>
      <c r="AV1134" s="76"/>
    </row>
    <row r="1135" spans="20:48" x14ac:dyDescent="0.2">
      <c r="T1135" s="76"/>
      <c r="U1135" s="76"/>
      <c r="V1135" s="76"/>
      <c r="W1135" s="76"/>
      <c r="X1135" s="76"/>
      <c r="Y1135" s="76"/>
      <c r="Z1135" s="76"/>
      <c r="AA1135" s="76"/>
      <c r="AB1135" s="76"/>
      <c r="AC1135" s="76"/>
      <c r="AD1135" s="76"/>
      <c r="AE1135" s="76"/>
      <c r="AF1135" s="76"/>
      <c r="AG1135" s="76"/>
      <c r="AH1135" s="76"/>
      <c r="AI1135" s="76"/>
      <c r="AJ1135" s="76"/>
      <c r="AK1135" s="76"/>
      <c r="AL1135" s="76"/>
      <c r="AM1135" s="76"/>
      <c r="AN1135" s="76"/>
      <c r="AO1135" s="76"/>
      <c r="AP1135" s="76"/>
      <c r="AQ1135" s="76"/>
      <c r="AR1135" s="76"/>
      <c r="AS1135" s="76"/>
      <c r="AT1135" s="76"/>
      <c r="AU1135" s="76"/>
      <c r="AV1135" s="76"/>
    </row>
    <row r="1136" spans="20:48" x14ac:dyDescent="0.2">
      <c r="T1136" s="76"/>
      <c r="U1136" s="76"/>
      <c r="V1136" s="76"/>
      <c r="W1136" s="76"/>
      <c r="X1136" s="76"/>
      <c r="Y1136" s="76"/>
      <c r="Z1136" s="76"/>
      <c r="AA1136" s="76"/>
      <c r="AB1136" s="76"/>
      <c r="AC1136" s="76"/>
      <c r="AD1136" s="76"/>
      <c r="AE1136" s="76"/>
      <c r="AF1136" s="76"/>
      <c r="AG1136" s="76"/>
      <c r="AH1136" s="76"/>
      <c r="AI1136" s="76"/>
      <c r="AJ1136" s="76"/>
      <c r="AK1136" s="76"/>
      <c r="AL1136" s="76"/>
      <c r="AM1136" s="76"/>
      <c r="AN1136" s="76"/>
      <c r="AO1136" s="76"/>
      <c r="AP1136" s="76"/>
      <c r="AQ1136" s="76"/>
      <c r="AR1136" s="76"/>
      <c r="AS1136" s="76"/>
      <c r="AT1136" s="76"/>
      <c r="AU1136" s="76"/>
      <c r="AV1136" s="76"/>
    </row>
    <row r="1137" spans="20:48" x14ac:dyDescent="0.2">
      <c r="T1137" s="76"/>
      <c r="U1137" s="76"/>
      <c r="V1137" s="76"/>
      <c r="W1137" s="76"/>
      <c r="X1137" s="76"/>
      <c r="Y1137" s="76"/>
      <c r="Z1137" s="76"/>
      <c r="AA1137" s="76"/>
      <c r="AB1137" s="76"/>
      <c r="AC1137" s="76"/>
      <c r="AD1137" s="76"/>
      <c r="AE1137" s="76"/>
      <c r="AF1137" s="76"/>
      <c r="AG1137" s="76"/>
      <c r="AH1137" s="76"/>
      <c r="AI1137" s="76"/>
      <c r="AJ1137" s="76"/>
      <c r="AK1137" s="76"/>
      <c r="AL1137" s="76"/>
      <c r="AM1137" s="76"/>
      <c r="AN1137" s="76"/>
      <c r="AO1137" s="76"/>
      <c r="AP1137" s="76"/>
      <c r="AQ1137" s="76"/>
      <c r="AR1137" s="76"/>
      <c r="AS1137" s="76"/>
      <c r="AT1137" s="76"/>
      <c r="AU1137" s="76"/>
      <c r="AV1137" s="76"/>
    </row>
    <row r="1138" spans="20:48" x14ac:dyDescent="0.2">
      <c r="T1138" s="76"/>
      <c r="U1138" s="76"/>
      <c r="V1138" s="76"/>
      <c r="W1138" s="76"/>
      <c r="X1138" s="76"/>
      <c r="Y1138" s="76"/>
      <c r="Z1138" s="76"/>
      <c r="AA1138" s="76"/>
      <c r="AB1138" s="76"/>
      <c r="AC1138" s="76"/>
      <c r="AD1138" s="76"/>
      <c r="AE1138" s="76"/>
      <c r="AF1138" s="76"/>
      <c r="AG1138" s="76"/>
      <c r="AH1138" s="76"/>
      <c r="AI1138" s="76"/>
      <c r="AJ1138" s="76"/>
      <c r="AK1138" s="76"/>
      <c r="AL1138" s="76"/>
      <c r="AM1138" s="76"/>
      <c r="AN1138" s="76"/>
      <c r="AO1138" s="76"/>
      <c r="AP1138" s="76"/>
      <c r="AQ1138" s="76"/>
      <c r="AR1138" s="76"/>
      <c r="AS1138" s="76"/>
      <c r="AT1138" s="76"/>
      <c r="AU1138" s="76"/>
      <c r="AV1138" s="76"/>
    </row>
    <row r="1139" spans="20:48" x14ac:dyDescent="0.2">
      <c r="T1139" s="76"/>
      <c r="U1139" s="76"/>
      <c r="V1139" s="76"/>
      <c r="W1139" s="76"/>
      <c r="X1139" s="76"/>
      <c r="Y1139" s="76"/>
      <c r="Z1139" s="76"/>
      <c r="AA1139" s="76"/>
      <c r="AB1139" s="76"/>
      <c r="AC1139" s="76"/>
      <c r="AD1139" s="76"/>
      <c r="AE1139" s="76"/>
      <c r="AF1139" s="76"/>
      <c r="AG1139" s="76"/>
      <c r="AH1139" s="76"/>
      <c r="AI1139" s="76"/>
      <c r="AJ1139" s="76"/>
      <c r="AK1139" s="76"/>
      <c r="AL1139" s="76"/>
      <c r="AM1139" s="76"/>
      <c r="AN1139" s="76"/>
      <c r="AO1139" s="76"/>
      <c r="AP1139" s="76"/>
      <c r="AQ1139" s="76"/>
      <c r="AR1139" s="76"/>
      <c r="AS1139" s="76"/>
      <c r="AT1139" s="76"/>
      <c r="AU1139" s="76"/>
      <c r="AV1139" s="76"/>
    </row>
    <row r="1140" spans="20:48" x14ac:dyDescent="0.2">
      <c r="T1140" s="76"/>
      <c r="U1140" s="76"/>
      <c r="V1140" s="76"/>
      <c r="W1140" s="76"/>
      <c r="X1140" s="76"/>
      <c r="Y1140" s="76"/>
      <c r="Z1140" s="76"/>
      <c r="AA1140" s="76"/>
      <c r="AB1140" s="76"/>
      <c r="AC1140" s="76"/>
      <c r="AD1140" s="76"/>
      <c r="AE1140" s="76"/>
      <c r="AF1140" s="76"/>
      <c r="AG1140" s="76"/>
      <c r="AH1140" s="76"/>
      <c r="AI1140" s="76"/>
      <c r="AJ1140" s="76"/>
      <c r="AK1140" s="76"/>
      <c r="AL1140" s="76"/>
      <c r="AM1140" s="76"/>
      <c r="AN1140" s="76"/>
      <c r="AO1140" s="76"/>
      <c r="AP1140" s="76"/>
      <c r="AQ1140" s="76"/>
      <c r="AR1140" s="76"/>
      <c r="AS1140" s="76"/>
      <c r="AT1140" s="76"/>
      <c r="AU1140" s="76"/>
      <c r="AV1140" s="76"/>
    </row>
    <row r="1141" spans="20:48" x14ac:dyDescent="0.2">
      <c r="T1141" s="76"/>
      <c r="U1141" s="76"/>
      <c r="V1141" s="76"/>
      <c r="W1141" s="76"/>
      <c r="X1141" s="76"/>
      <c r="Y1141" s="76"/>
      <c r="Z1141" s="76"/>
      <c r="AA1141" s="76"/>
      <c r="AB1141" s="76"/>
      <c r="AC1141" s="76"/>
      <c r="AD1141" s="76"/>
      <c r="AE1141" s="76"/>
      <c r="AF1141" s="76"/>
      <c r="AG1141" s="76"/>
      <c r="AH1141" s="76"/>
      <c r="AI1141" s="76"/>
      <c r="AJ1141" s="76"/>
      <c r="AK1141" s="76"/>
      <c r="AL1141" s="76"/>
      <c r="AM1141" s="76"/>
      <c r="AN1141" s="76"/>
      <c r="AO1141" s="76"/>
      <c r="AP1141" s="76"/>
      <c r="AQ1141" s="76"/>
      <c r="AR1141" s="76"/>
      <c r="AS1141" s="76"/>
      <c r="AT1141" s="76"/>
      <c r="AU1141" s="76"/>
      <c r="AV1141" s="76"/>
    </row>
    <row r="1142" spans="20:48" x14ac:dyDescent="0.2">
      <c r="T1142" s="76"/>
      <c r="U1142" s="76"/>
      <c r="V1142" s="76"/>
      <c r="W1142" s="76"/>
      <c r="X1142" s="76"/>
      <c r="Y1142" s="76"/>
      <c r="Z1142" s="76"/>
      <c r="AA1142" s="76"/>
      <c r="AB1142" s="76"/>
      <c r="AC1142" s="76"/>
      <c r="AD1142" s="76"/>
      <c r="AE1142" s="76"/>
      <c r="AF1142" s="76"/>
      <c r="AG1142" s="76"/>
      <c r="AH1142" s="76"/>
      <c r="AI1142" s="76"/>
      <c r="AJ1142" s="76"/>
      <c r="AK1142" s="76"/>
      <c r="AL1142" s="76"/>
      <c r="AM1142" s="76"/>
      <c r="AN1142" s="76"/>
      <c r="AO1142" s="76"/>
      <c r="AP1142" s="76"/>
      <c r="AQ1142" s="76"/>
      <c r="AR1142" s="76"/>
      <c r="AS1142" s="76"/>
      <c r="AT1142" s="76"/>
      <c r="AU1142" s="76"/>
      <c r="AV1142" s="76"/>
    </row>
    <row r="1143" spans="20:48" x14ac:dyDescent="0.2">
      <c r="T1143" s="76"/>
      <c r="U1143" s="76"/>
      <c r="V1143" s="76"/>
      <c r="W1143" s="76"/>
      <c r="X1143" s="76"/>
      <c r="Y1143" s="76"/>
      <c r="Z1143" s="76"/>
      <c r="AA1143" s="76"/>
      <c r="AB1143" s="76"/>
      <c r="AC1143" s="76"/>
      <c r="AD1143" s="76"/>
      <c r="AE1143" s="76"/>
      <c r="AF1143" s="76"/>
      <c r="AG1143" s="76"/>
      <c r="AH1143" s="76"/>
      <c r="AI1143" s="76"/>
      <c r="AJ1143" s="76"/>
      <c r="AK1143" s="76"/>
      <c r="AL1143" s="76"/>
      <c r="AM1143" s="76"/>
      <c r="AN1143" s="76"/>
      <c r="AO1143" s="76"/>
      <c r="AP1143" s="76"/>
      <c r="AQ1143" s="76"/>
      <c r="AR1143" s="76"/>
      <c r="AS1143" s="76"/>
      <c r="AT1143" s="76"/>
      <c r="AU1143" s="76"/>
      <c r="AV1143" s="76"/>
    </row>
    <row r="1144" spans="20:48" x14ac:dyDescent="0.2">
      <c r="T1144" s="76"/>
      <c r="U1144" s="76"/>
      <c r="V1144" s="76"/>
      <c r="W1144" s="76"/>
      <c r="X1144" s="76"/>
      <c r="Y1144" s="76"/>
      <c r="Z1144" s="76"/>
      <c r="AA1144" s="76"/>
      <c r="AB1144" s="76"/>
      <c r="AC1144" s="76"/>
      <c r="AD1144" s="76"/>
      <c r="AE1144" s="76"/>
      <c r="AF1144" s="76"/>
      <c r="AG1144" s="76"/>
      <c r="AH1144" s="76"/>
      <c r="AI1144" s="76"/>
      <c r="AJ1144" s="76"/>
      <c r="AK1144" s="76"/>
      <c r="AL1144" s="76"/>
      <c r="AM1144" s="76"/>
      <c r="AN1144" s="76"/>
      <c r="AO1144" s="76"/>
      <c r="AP1144" s="76"/>
      <c r="AQ1144" s="76"/>
      <c r="AR1144" s="76"/>
      <c r="AS1144" s="76"/>
      <c r="AT1144" s="76"/>
      <c r="AU1144" s="76"/>
      <c r="AV1144" s="76"/>
    </row>
    <row r="1145" spans="20:48" x14ac:dyDescent="0.2">
      <c r="T1145" s="76"/>
      <c r="U1145" s="76"/>
      <c r="V1145" s="76"/>
      <c r="W1145" s="76"/>
      <c r="X1145" s="76"/>
      <c r="Y1145" s="76"/>
      <c r="Z1145" s="76"/>
      <c r="AA1145" s="76"/>
      <c r="AB1145" s="76"/>
      <c r="AC1145" s="76"/>
      <c r="AD1145" s="76"/>
      <c r="AE1145" s="76"/>
      <c r="AF1145" s="76"/>
      <c r="AG1145" s="76"/>
      <c r="AH1145" s="76"/>
      <c r="AI1145" s="76"/>
      <c r="AJ1145" s="76"/>
      <c r="AK1145" s="76"/>
      <c r="AL1145" s="76"/>
      <c r="AM1145" s="76"/>
      <c r="AN1145" s="76"/>
      <c r="AO1145" s="76"/>
      <c r="AP1145" s="76"/>
      <c r="AQ1145" s="76"/>
      <c r="AR1145" s="76"/>
      <c r="AS1145" s="76"/>
      <c r="AT1145" s="76"/>
      <c r="AU1145" s="76"/>
      <c r="AV1145" s="76"/>
    </row>
    <row r="1146" spans="20:48" x14ac:dyDescent="0.2">
      <c r="T1146" s="76"/>
      <c r="U1146" s="76"/>
      <c r="V1146" s="76"/>
      <c r="W1146" s="76"/>
      <c r="X1146" s="76"/>
      <c r="Y1146" s="76"/>
      <c r="Z1146" s="76"/>
      <c r="AA1146" s="76"/>
      <c r="AB1146" s="76"/>
      <c r="AC1146" s="76"/>
      <c r="AD1146" s="76"/>
      <c r="AE1146" s="76"/>
      <c r="AF1146" s="76"/>
      <c r="AG1146" s="76"/>
      <c r="AH1146" s="76"/>
      <c r="AI1146" s="76"/>
      <c r="AJ1146" s="76"/>
      <c r="AK1146" s="76"/>
      <c r="AL1146" s="76"/>
      <c r="AM1146" s="76"/>
      <c r="AN1146" s="76"/>
      <c r="AO1146" s="76"/>
      <c r="AP1146" s="76"/>
      <c r="AQ1146" s="76"/>
      <c r="AR1146" s="76"/>
      <c r="AS1146" s="76"/>
      <c r="AT1146" s="76"/>
      <c r="AU1146" s="76"/>
      <c r="AV1146" s="76"/>
    </row>
    <row r="1147" spans="20:48" x14ac:dyDescent="0.2">
      <c r="T1147" s="76"/>
      <c r="U1147" s="76"/>
      <c r="V1147" s="76"/>
      <c r="W1147" s="76"/>
      <c r="X1147" s="76"/>
      <c r="Y1147" s="76"/>
      <c r="Z1147" s="76"/>
      <c r="AA1147" s="76"/>
      <c r="AB1147" s="76"/>
      <c r="AC1147" s="76"/>
      <c r="AD1147" s="76"/>
      <c r="AE1147" s="76"/>
      <c r="AF1147" s="76"/>
      <c r="AG1147" s="76"/>
      <c r="AH1147" s="76"/>
      <c r="AI1147" s="76"/>
      <c r="AJ1147" s="76"/>
      <c r="AK1147" s="76"/>
      <c r="AL1147" s="76"/>
      <c r="AM1147" s="76"/>
      <c r="AN1147" s="76"/>
      <c r="AO1147" s="76"/>
      <c r="AP1147" s="76"/>
      <c r="AQ1147" s="76"/>
      <c r="AR1147" s="76"/>
      <c r="AS1147" s="76"/>
      <c r="AT1147" s="76"/>
      <c r="AU1147" s="76"/>
      <c r="AV1147" s="76"/>
    </row>
    <row r="1148" spans="20:48" x14ac:dyDescent="0.2">
      <c r="T1148" s="76"/>
      <c r="U1148" s="76"/>
      <c r="V1148" s="76"/>
      <c r="W1148" s="76"/>
      <c r="X1148" s="76"/>
      <c r="Y1148" s="76"/>
      <c r="Z1148" s="76"/>
      <c r="AA1148" s="76"/>
      <c r="AB1148" s="76"/>
      <c r="AC1148" s="76"/>
      <c r="AD1148" s="76"/>
      <c r="AE1148" s="76"/>
      <c r="AF1148" s="76"/>
      <c r="AG1148" s="76"/>
      <c r="AH1148" s="76"/>
      <c r="AI1148" s="76"/>
      <c r="AJ1148" s="76"/>
      <c r="AK1148" s="76"/>
      <c r="AL1148" s="76"/>
      <c r="AM1148" s="76"/>
      <c r="AN1148" s="76"/>
      <c r="AO1148" s="76"/>
      <c r="AP1148" s="76"/>
      <c r="AQ1148" s="76"/>
      <c r="AR1148" s="76"/>
      <c r="AS1148" s="76"/>
      <c r="AT1148" s="76"/>
      <c r="AU1148" s="76"/>
      <c r="AV1148" s="76"/>
    </row>
    <row r="1149" spans="20:48" x14ac:dyDescent="0.2">
      <c r="T1149" s="76"/>
      <c r="U1149" s="76"/>
      <c r="V1149" s="76"/>
      <c r="W1149" s="76"/>
      <c r="X1149" s="76"/>
      <c r="Y1149" s="76"/>
      <c r="Z1149" s="76"/>
      <c r="AA1149" s="76"/>
      <c r="AB1149" s="76"/>
      <c r="AC1149" s="76"/>
      <c r="AD1149" s="76"/>
      <c r="AE1149" s="76"/>
      <c r="AF1149" s="76"/>
      <c r="AG1149" s="76"/>
      <c r="AH1149" s="76"/>
      <c r="AI1149" s="76"/>
      <c r="AJ1149" s="76"/>
      <c r="AK1149" s="76"/>
      <c r="AL1149" s="76"/>
      <c r="AM1149" s="76"/>
      <c r="AN1149" s="76"/>
      <c r="AO1149" s="76"/>
      <c r="AP1149" s="76"/>
      <c r="AQ1149" s="76"/>
      <c r="AR1149" s="76"/>
      <c r="AS1149" s="76"/>
      <c r="AT1149" s="76"/>
      <c r="AU1149" s="76"/>
      <c r="AV1149" s="76"/>
    </row>
    <row r="1150" spans="20:48" x14ac:dyDescent="0.2">
      <c r="T1150" s="76"/>
      <c r="U1150" s="76"/>
      <c r="V1150" s="76"/>
      <c r="W1150" s="76"/>
      <c r="X1150" s="76"/>
      <c r="Y1150" s="76"/>
      <c r="Z1150" s="76"/>
      <c r="AA1150" s="76"/>
      <c r="AB1150" s="76"/>
      <c r="AC1150" s="76"/>
      <c r="AD1150" s="76"/>
      <c r="AE1150" s="76"/>
      <c r="AF1150" s="76"/>
      <c r="AG1150" s="76"/>
      <c r="AH1150" s="76"/>
      <c r="AI1150" s="76"/>
      <c r="AJ1150" s="76"/>
      <c r="AK1150" s="76"/>
      <c r="AL1150" s="76"/>
      <c r="AM1150" s="76"/>
      <c r="AN1150" s="76"/>
      <c r="AO1150" s="76"/>
      <c r="AP1150" s="76"/>
      <c r="AQ1150" s="76"/>
      <c r="AR1150" s="76"/>
      <c r="AS1150" s="76"/>
      <c r="AT1150" s="76"/>
      <c r="AU1150" s="76"/>
      <c r="AV1150" s="76"/>
    </row>
    <row r="1151" spans="20:48" x14ac:dyDescent="0.2">
      <c r="T1151" s="76"/>
      <c r="U1151" s="76"/>
      <c r="V1151" s="76"/>
      <c r="W1151" s="76"/>
      <c r="X1151" s="76"/>
      <c r="Y1151" s="76"/>
      <c r="Z1151" s="76"/>
      <c r="AA1151" s="76"/>
      <c r="AB1151" s="76"/>
      <c r="AC1151" s="76"/>
      <c r="AD1151" s="76"/>
      <c r="AE1151" s="76"/>
      <c r="AF1151" s="76"/>
      <c r="AG1151" s="76"/>
      <c r="AH1151" s="76"/>
      <c r="AI1151" s="76"/>
      <c r="AJ1151" s="76"/>
      <c r="AK1151" s="76"/>
      <c r="AL1151" s="76"/>
      <c r="AM1151" s="76"/>
      <c r="AN1151" s="76"/>
      <c r="AO1151" s="76"/>
      <c r="AP1151" s="76"/>
      <c r="AQ1151" s="76"/>
      <c r="AR1151" s="76"/>
      <c r="AS1151" s="76"/>
      <c r="AT1151" s="76"/>
      <c r="AU1151" s="76"/>
      <c r="AV1151" s="76"/>
    </row>
    <row r="1152" spans="20:48" x14ac:dyDescent="0.2">
      <c r="T1152" s="76"/>
      <c r="U1152" s="76"/>
      <c r="V1152" s="76"/>
      <c r="W1152" s="76"/>
      <c r="X1152" s="76"/>
      <c r="Y1152" s="76"/>
      <c r="Z1152" s="76"/>
      <c r="AA1152" s="76"/>
      <c r="AB1152" s="76"/>
      <c r="AC1152" s="76"/>
      <c r="AD1152" s="76"/>
      <c r="AE1152" s="76"/>
      <c r="AF1152" s="76"/>
      <c r="AG1152" s="76"/>
      <c r="AH1152" s="76"/>
      <c r="AI1152" s="76"/>
      <c r="AJ1152" s="76"/>
      <c r="AK1152" s="76"/>
      <c r="AL1152" s="76"/>
      <c r="AM1152" s="76"/>
      <c r="AN1152" s="76"/>
      <c r="AO1152" s="76"/>
      <c r="AP1152" s="76"/>
      <c r="AQ1152" s="76"/>
      <c r="AR1152" s="76"/>
      <c r="AS1152" s="76"/>
      <c r="AT1152" s="76"/>
      <c r="AU1152" s="76"/>
      <c r="AV1152" s="76"/>
    </row>
    <row r="1153" spans="20:48" x14ac:dyDescent="0.2">
      <c r="T1153" s="76"/>
      <c r="U1153" s="76"/>
      <c r="V1153" s="76"/>
      <c r="W1153" s="76"/>
      <c r="X1153" s="76"/>
      <c r="Y1153" s="76"/>
      <c r="Z1153" s="76"/>
      <c r="AA1153" s="76"/>
      <c r="AB1153" s="76"/>
      <c r="AC1153" s="76"/>
      <c r="AD1153" s="76"/>
      <c r="AE1153" s="76"/>
      <c r="AF1153" s="76"/>
      <c r="AG1153" s="76"/>
      <c r="AH1153" s="76"/>
      <c r="AI1153" s="76"/>
      <c r="AJ1153" s="76"/>
      <c r="AK1153" s="76"/>
      <c r="AL1153" s="76"/>
      <c r="AM1153" s="76"/>
      <c r="AN1153" s="76"/>
      <c r="AO1153" s="76"/>
      <c r="AP1153" s="76"/>
      <c r="AQ1153" s="76"/>
      <c r="AR1153" s="76"/>
      <c r="AS1153" s="76"/>
      <c r="AT1153" s="76"/>
      <c r="AU1153" s="76"/>
      <c r="AV1153" s="76"/>
    </row>
    <row r="1154" spans="20:48" x14ac:dyDescent="0.2">
      <c r="T1154" s="76"/>
      <c r="U1154" s="76"/>
      <c r="V1154" s="76"/>
      <c r="W1154" s="76"/>
      <c r="X1154" s="76"/>
      <c r="Y1154" s="76"/>
      <c r="Z1154" s="76"/>
      <c r="AA1154" s="76"/>
      <c r="AB1154" s="76"/>
      <c r="AC1154" s="76"/>
      <c r="AD1154" s="76"/>
      <c r="AE1154" s="76"/>
      <c r="AF1154" s="76"/>
      <c r="AG1154" s="76"/>
      <c r="AH1154" s="76"/>
      <c r="AI1154" s="76"/>
      <c r="AJ1154" s="76"/>
      <c r="AK1154" s="76"/>
      <c r="AL1154" s="76"/>
      <c r="AM1154" s="76"/>
      <c r="AN1154" s="76"/>
      <c r="AO1154" s="76"/>
      <c r="AP1154" s="76"/>
      <c r="AQ1154" s="76"/>
      <c r="AR1154" s="76"/>
      <c r="AS1154" s="76"/>
      <c r="AT1154" s="76"/>
      <c r="AU1154" s="76"/>
      <c r="AV1154" s="76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</sheetPr>
  <dimension ref="A1:AO503"/>
  <sheetViews>
    <sheetView zoomScaleNormal="100" workbookViewId="0">
      <selection activeCell="D22" sqref="D22"/>
    </sheetView>
  </sheetViews>
  <sheetFormatPr defaultRowHeight="14.1" customHeight="1" x14ac:dyDescent="0.2"/>
  <cols>
    <col min="1" max="1" width="4.42578125" style="84" customWidth="1"/>
    <col min="2" max="2" width="6.85546875" style="84" bestFit="1" customWidth="1"/>
    <col min="3" max="3" width="12" style="84" bestFit="1" customWidth="1"/>
    <col min="4" max="4" width="45.28515625" style="84" customWidth="1"/>
    <col min="5" max="5" width="2.42578125" style="84" customWidth="1"/>
    <col min="6" max="6" width="18.5703125" style="84" customWidth="1"/>
    <col min="7" max="7" width="2.42578125" style="84" customWidth="1"/>
    <col min="8" max="8" width="16.28515625" style="84" bestFit="1" customWidth="1"/>
    <col min="9" max="9" width="2.42578125" style="84" customWidth="1"/>
    <col min="10" max="10" width="15.85546875" style="84" bestFit="1" customWidth="1"/>
    <col min="11" max="11" width="2.42578125" style="84" customWidth="1"/>
    <col min="12" max="12" width="16" style="84" bestFit="1" customWidth="1"/>
    <col min="13" max="13" width="2.42578125" style="84" customWidth="1"/>
    <col min="14" max="14" width="13.5703125" style="84" customWidth="1"/>
    <col min="15" max="15" width="2.42578125" style="84" customWidth="1"/>
    <col min="16" max="16" width="13.5703125" style="84" customWidth="1"/>
    <col min="17" max="17" width="2.42578125" style="84" customWidth="1"/>
    <col min="18" max="18" width="19.42578125" style="84" bestFit="1" customWidth="1"/>
    <col min="19" max="19" width="2.42578125" style="84" customWidth="1"/>
    <col min="20" max="20" width="15" style="84" bestFit="1" customWidth="1"/>
    <col min="21" max="21" width="4" style="84" customWidth="1"/>
    <col min="22" max="22" width="3.5703125" style="84" customWidth="1"/>
    <col min="23" max="23" width="12.85546875" style="334" customWidth="1"/>
    <col min="24" max="24" width="15" style="334" customWidth="1"/>
    <col min="25" max="25" width="40.42578125" style="84" bestFit="1" customWidth="1"/>
    <col min="26" max="26" width="2.42578125" style="84" customWidth="1"/>
    <col min="27" max="27" width="15.7109375" style="84" customWidth="1"/>
    <col min="28" max="28" width="2.42578125" style="84" customWidth="1"/>
    <col min="29" max="29" width="13.5703125" style="84" customWidth="1"/>
    <col min="30" max="30" width="2.42578125" style="84" customWidth="1"/>
    <col min="31" max="31" width="14.28515625" style="84" bestFit="1" customWidth="1"/>
    <col min="32" max="32" width="2.42578125" style="84" customWidth="1"/>
    <col min="33" max="33" width="13.5703125" style="84" customWidth="1"/>
    <col min="34" max="34" width="2.42578125" style="84" customWidth="1"/>
    <col min="35" max="35" width="13.5703125" style="84" customWidth="1"/>
    <col min="36" max="36" width="2.42578125" style="84" customWidth="1"/>
    <col min="37" max="37" width="13.5703125" style="84" customWidth="1"/>
    <col min="38" max="38" width="2.42578125" style="84" customWidth="1"/>
    <col min="39" max="39" width="17.5703125" style="84" bestFit="1" customWidth="1"/>
    <col min="40" max="40" width="2.42578125" style="84" customWidth="1"/>
    <col min="41" max="41" width="15.140625" style="84" bestFit="1" customWidth="1"/>
    <col min="42" max="42" width="3.42578125" style="84" customWidth="1"/>
    <col min="43" max="256" width="9.140625" style="84"/>
    <col min="257" max="257" width="3.5703125" style="84" customWidth="1"/>
    <col min="258" max="258" width="6.85546875" style="84" bestFit="1" customWidth="1"/>
    <col min="259" max="259" width="12" style="84" bestFit="1" customWidth="1"/>
    <col min="260" max="260" width="40.42578125" style="84" bestFit="1" customWidth="1"/>
    <col min="261" max="261" width="2.42578125" style="84" customWidth="1"/>
    <col min="262" max="262" width="13.5703125" style="84" customWidth="1"/>
    <col min="263" max="263" width="2.42578125" style="84" customWidth="1"/>
    <col min="264" max="264" width="13.5703125" style="84" customWidth="1"/>
    <col min="265" max="265" width="2.42578125" style="84" customWidth="1"/>
    <col min="266" max="266" width="13.5703125" style="84" customWidth="1"/>
    <col min="267" max="267" width="2.42578125" style="84" customWidth="1"/>
    <col min="268" max="268" width="13.5703125" style="84" customWidth="1"/>
    <col min="269" max="269" width="2.42578125" style="84" customWidth="1"/>
    <col min="270" max="270" width="13.5703125" style="84" customWidth="1"/>
    <col min="271" max="271" width="2.42578125" style="84" customWidth="1"/>
    <col min="272" max="272" width="13.5703125" style="84" customWidth="1"/>
    <col min="273" max="273" width="2.42578125" style="84" customWidth="1"/>
    <col min="274" max="274" width="13.5703125" style="84" customWidth="1"/>
    <col min="275" max="275" width="2.42578125" style="84" customWidth="1"/>
    <col min="276" max="276" width="13.5703125" style="84" customWidth="1"/>
    <col min="277" max="277" width="4" style="84" customWidth="1"/>
    <col min="278" max="278" width="3.5703125" style="84" customWidth="1"/>
    <col min="279" max="279" width="6.85546875" style="84" bestFit="1" customWidth="1"/>
    <col min="280" max="280" width="12.85546875" style="84" bestFit="1" customWidth="1"/>
    <col min="281" max="281" width="40.42578125" style="84" bestFit="1" customWidth="1"/>
    <col min="282" max="282" width="2.42578125" style="84" customWidth="1"/>
    <col min="283" max="283" width="13.5703125" style="84" customWidth="1"/>
    <col min="284" max="284" width="2.42578125" style="84" customWidth="1"/>
    <col min="285" max="285" width="13.5703125" style="84" customWidth="1"/>
    <col min="286" max="286" width="2.42578125" style="84" customWidth="1"/>
    <col min="287" max="287" width="13.5703125" style="84" customWidth="1"/>
    <col min="288" max="288" width="2.42578125" style="84" customWidth="1"/>
    <col min="289" max="289" width="13.5703125" style="84" customWidth="1"/>
    <col min="290" max="290" width="2.42578125" style="84" customWidth="1"/>
    <col min="291" max="291" width="13.5703125" style="84" customWidth="1"/>
    <col min="292" max="292" width="2.42578125" style="84" customWidth="1"/>
    <col min="293" max="293" width="13.5703125" style="84" customWidth="1"/>
    <col min="294" max="294" width="2.42578125" style="84" customWidth="1"/>
    <col min="295" max="295" width="13.5703125" style="84" customWidth="1"/>
    <col min="296" max="296" width="2.42578125" style="84" customWidth="1"/>
    <col min="297" max="297" width="13.5703125" style="84" customWidth="1"/>
    <col min="298" max="298" width="3.42578125" style="84" customWidth="1"/>
    <col min="299" max="512" width="9.140625" style="84"/>
    <col min="513" max="513" width="3.5703125" style="84" customWidth="1"/>
    <col min="514" max="514" width="6.85546875" style="84" bestFit="1" customWidth="1"/>
    <col min="515" max="515" width="12" style="84" bestFit="1" customWidth="1"/>
    <col min="516" max="516" width="40.42578125" style="84" bestFit="1" customWidth="1"/>
    <col min="517" max="517" width="2.42578125" style="84" customWidth="1"/>
    <col min="518" max="518" width="13.5703125" style="84" customWidth="1"/>
    <col min="519" max="519" width="2.42578125" style="84" customWidth="1"/>
    <col min="520" max="520" width="13.5703125" style="84" customWidth="1"/>
    <col min="521" max="521" width="2.42578125" style="84" customWidth="1"/>
    <col min="522" max="522" width="13.5703125" style="84" customWidth="1"/>
    <col min="523" max="523" width="2.42578125" style="84" customWidth="1"/>
    <col min="524" max="524" width="13.5703125" style="84" customWidth="1"/>
    <col min="525" max="525" width="2.42578125" style="84" customWidth="1"/>
    <col min="526" max="526" width="13.5703125" style="84" customWidth="1"/>
    <col min="527" max="527" width="2.42578125" style="84" customWidth="1"/>
    <col min="528" max="528" width="13.5703125" style="84" customWidth="1"/>
    <col min="529" max="529" width="2.42578125" style="84" customWidth="1"/>
    <col min="530" max="530" width="13.5703125" style="84" customWidth="1"/>
    <col min="531" max="531" width="2.42578125" style="84" customWidth="1"/>
    <col min="532" max="532" width="13.5703125" style="84" customWidth="1"/>
    <col min="533" max="533" width="4" style="84" customWidth="1"/>
    <col min="534" max="534" width="3.5703125" style="84" customWidth="1"/>
    <col min="535" max="535" width="6.85546875" style="84" bestFit="1" customWidth="1"/>
    <col min="536" max="536" width="12.85546875" style="84" bestFit="1" customWidth="1"/>
    <col min="537" max="537" width="40.42578125" style="84" bestFit="1" customWidth="1"/>
    <col min="538" max="538" width="2.42578125" style="84" customWidth="1"/>
    <col min="539" max="539" width="13.5703125" style="84" customWidth="1"/>
    <col min="540" max="540" width="2.42578125" style="84" customWidth="1"/>
    <col min="541" max="541" width="13.5703125" style="84" customWidth="1"/>
    <col min="542" max="542" width="2.42578125" style="84" customWidth="1"/>
    <col min="543" max="543" width="13.5703125" style="84" customWidth="1"/>
    <col min="544" max="544" width="2.42578125" style="84" customWidth="1"/>
    <col min="545" max="545" width="13.5703125" style="84" customWidth="1"/>
    <col min="546" max="546" width="2.42578125" style="84" customWidth="1"/>
    <col min="547" max="547" width="13.5703125" style="84" customWidth="1"/>
    <col min="548" max="548" width="2.42578125" style="84" customWidth="1"/>
    <col min="549" max="549" width="13.5703125" style="84" customWidth="1"/>
    <col min="550" max="550" width="2.42578125" style="84" customWidth="1"/>
    <col min="551" max="551" width="13.5703125" style="84" customWidth="1"/>
    <col min="552" max="552" width="2.42578125" style="84" customWidth="1"/>
    <col min="553" max="553" width="13.5703125" style="84" customWidth="1"/>
    <col min="554" max="554" width="3.42578125" style="84" customWidth="1"/>
    <col min="555" max="768" width="9.140625" style="84"/>
    <col min="769" max="769" width="3.5703125" style="84" customWidth="1"/>
    <col min="770" max="770" width="6.85546875" style="84" bestFit="1" customWidth="1"/>
    <col min="771" max="771" width="12" style="84" bestFit="1" customWidth="1"/>
    <col min="772" max="772" width="40.42578125" style="84" bestFit="1" customWidth="1"/>
    <col min="773" max="773" width="2.42578125" style="84" customWidth="1"/>
    <col min="774" max="774" width="13.5703125" style="84" customWidth="1"/>
    <col min="775" max="775" width="2.42578125" style="84" customWidth="1"/>
    <col min="776" max="776" width="13.5703125" style="84" customWidth="1"/>
    <col min="777" max="777" width="2.42578125" style="84" customWidth="1"/>
    <col min="778" max="778" width="13.5703125" style="84" customWidth="1"/>
    <col min="779" max="779" width="2.42578125" style="84" customWidth="1"/>
    <col min="780" max="780" width="13.5703125" style="84" customWidth="1"/>
    <col min="781" max="781" width="2.42578125" style="84" customWidth="1"/>
    <col min="782" max="782" width="13.5703125" style="84" customWidth="1"/>
    <col min="783" max="783" width="2.42578125" style="84" customWidth="1"/>
    <col min="784" max="784" width="13.5703125" style="84" customWidth="1"/>
    <col min="785" max="785" width="2.42578125" style="84" customWidth="1"/>
    <col min="786" max="786" width="13.5703125" style="84" customWidth="1"/>
    <col min="787" max="787" width="2.42578125" style="84" customWidth="1"/>
    <col min="788" max="788" width="13.5703125" style="84" customWidth="1"/>
    <col min="789" max="789" width="4" style="84" customWidth="1"/>
    <col min="790" max="790" width="3.5703125" style="84" customWidth="1"/>
    <col min="791" max="791" width="6.85546875" style="84" bestFit="1" customWidth="1"/>
    <col min="792" max="792" width="12.85546875" style="84" bestFit="1" customWidth="1"/>
    <col min="793" max="793" width="40.42578125" style="84" bestFit="1" customWidth="1"/>
    <col min="794" max="794" width="2.42578125" style="84" customWidth="1"/>
    <col min="795" max="795" width="13.5703125" style="84" customWidth="1"/>
    <col min="796" max="796" width="2.42578125" style="84" customWidth="1"/>
    <col min="797" max="797" width="13.5703125" style="84" customWidth="1"/>
    <col min="798" max="798" width="2.42578125" style="84" customWidth="1"/>
    <col min="799" max="799" width="13.5703125" style="84" customWidth="1"/>
    <col min="800" max="800" width="2.42578125" style="84" customWidth="1"/>
    <col min="801" max="801" width="13.5703125" style="84" customWidth="1"/>
    <col min="802" max="802" width="2.42578125" style="84" customWidth="1"/>
    <col min="803" max="803" width="13.5703125" style="84" customWidth="1"/>
    <col min="804" max="804" width="2.42578125" style="84" customWidth="1"/>
    <col min="805" max="805" width="13.5703125" style="84" customWidth="1"/>
    <col min="806" max="806" width="2.42578125" style="84" customWidth="1"/>
    <col min="807" max="807" width="13.5703125" style="84" customWidth="1"/>
    <col min="808" max="808" width="2.42578125" style="84" customWidth="1"/>
    <col min="809" max="809" width="13.5703125" style="84" customWidth="1"/>
    <col min="810" max="810" width="3.42578125" style="84" customWidth="1"/>
    <col min="811" max="1024" width="9.140625" style="84"/>
    <col min="1025" max="1025" width="3.5703125" style="84" customWidth="1"/>
    <col min="1026" max="1026" width="6.85546875" style="84" bestFit="1" customWidth="1"/>
    <col min="1027" max="1027" width="12" style="84" bestFit="1" customWidth="1"/>
    <col min="1028" max="1028" width="40.42578125" style="84" bestFit="1" customWidth="1"/>
    <col min="1029" max="1029" width="2.42578125" style="84" customWidth="1"/>
    <col min="1030" max="1030" width="13.5703125" style="84" customWidth="1"/>
    <col min="1031" max="1031" width="2.42578125" style="84" customWidth="1"/>
    <col min="1032" max="1032" width="13.5703125" style="84" customWidth="1"/>
    <col min="1033" max="1033" width="2.42578125" style="84" customWidth="1"/>
    <col min="1034" max="1034" width="13.5703125" style="84" customWidth="1"/>
    <col min="1035" max="1035" width="2.42578125" style="84" customWidth="1"/>
    <col min="1036" max="1036" width="13.5703125" style="84" customWidth="1"/>
    <col min="1037" max="1037" width="2.42578125" style="84" customWidth="1"/>
    <col min="1038" max="1038" width="13.5703125" style="84" customWidth="1"/>
    <col min="1039" max="1039" width="2.42578125" style="84" customWidth="1"/>
    <col min="1040" max="1040" width="13.5703125" style="84" customWidth="1"/>
    <col min="1041" max="1041" width="2.42578125" style="84" customWidth="1"/>
    <col min="1042" max="1042" width="13.5703125" style="84" customWidth="1"/>
    <col min="1043" max="1043" width="2.42578125" style="84" customWidth="1"/>
    <col min="1044" max="1044" width="13.5703125" style="84" customWidth="1"/>
    <col min="1045" max="1045" width="4" style="84" customWidth="1"/>
    <col min="1046" max="1046" width="3.5703125" style="84" customWidth="1"/>
    <col min="1047" max="1047" width="6.85546875" style="84" bestFit="1" customWidth="1"/>
    <col min="1048" max="1048" width="12.85546875" style="84" bestFit="1" customWidth="1"/>
    <col min="1049" max="1049" width="40.42578125" style="84" bestFit="1" customWidth="1"/>
    <col min="1050" max="1050" width="2.42578125" style="84" customWidth="1"/>
    <col min="1051" max="1051" width="13.5703125" style="84" customWidth="1"/>
    <col min="1052" max="1052" width="2.42578125" style="84" customWidth="1"/>
    <col min="1053" max="1053" width="13.5703125" style="84" customWidth="1"/>
    <col min="1054" max="1054" width="2.42578125" style="84" customWidth="1"/>
    <col min="1055" max="1055" width="13.5703125" style="84" customWidth="1"/>
    <col min="1056" max="1056" width="2.42578125" style="84" customWidth="1"/>
    <col min="1057" max="1057" width="13.5703125" style="84" customWidth="1"/>
    <col min="1058" max="1058" width="2.42578125" style="84" customWidth="1"/>
    <col min="1059" max="1059" width="13.5703125" style="84" customWidth="1"/>
    <col min="1060" max="1060" width="2.42578125" style="84" customWidth="1"/>
    <col min="1061" max="1061" width="13.5703125" style="84" customWidth="1"/>
    <col min="1062" max="1062" width="2.42578125" style="84" customWidth="1"/>
    <col min="1063" max="1063" width="13.5703125" style="84" customWidth="1"/>
    <col min="1064" max="1064" width="2.42578125" style="84" customWidth="1"/>
    <col min="1065" max="1065" width="13.5703125" style="84" customWidth="1"/>
    <col min="1066" max="1066" width="3.42578125" style="84" customWidth="1"/>
    <col min="1067" max="1280" width="9.140625" style="84"/>
    <col min="1281" max="1281" width="3.5703125" style="84" customWidth="1"/>
    <col min="1282" max="1282" width="6.85546875" style="84" bestFit="1" customWidth="1"/>
    <col min="1283" max="1283" width="12" style="84" bestFit="1" customWidth="1"/>
    <col min="1284" max="1284" width="40.42578125" style="84" bestFit="1" customWidth="1"/>
    <col min="1285" max="1285" width="2.42578125" style="84" customWidth="1"/>
    <col min="1286" max="1286" width="13.5703125" style="84" customWidth="1"/>
    <col min="1287" max="1287" width="2.42578125" style="84" customWidth="1"/>
    <col min="1288" max="1288" width="13.5703125" style="84" customWidth="1"/>
    <col min="1289" max="1289" width="2.42578125" style="84" customWidth="1"/>
    <col min="1290" max="1290" width="13.5703125" style="84" customWidth="1"/>
    <col min="1291" max="1291" width="2.42578125" style="84" customWidth="1"/>
    <col min="1292" max="1292" width="13.5703125" style="84" customWidth="1"/>
    <col min="1293" max="1293" width="2.42578125" style="84" customWidth="1"/>
    <col min="1294" max="1294" width="13.5703125" style="84" customWidth="1"/>
    <col min="1295" max="1295" width="2.42578125" style="84" customWidth="1"/>
    <col min="1296" max="1296" width="13.5703125" style="84" customWidth="1"/>
    <col min="1297" max="1297" width="2.42578125" style="84" customWidth="1"/>
    <col min="1298" max="1298" width="13.5703125" style="84" customWidth="1"/>
    <col min="1299" max="1299" width="2.42578125" style="84" customWidth="1"/>
    <col min="1300" max="1300" width="13.5703125" style="84" customWidth="1"/>
    <col min="1301" max="1301" width="4" style="84" customWidth="1"/>
    <col min="1302" max="1302" width="3.5703125" style="84" customWidth="1"/>
    <col min="1303" max="1303" width="6.85546875" style="84" bestFit="1" customWidth="1"/>
    <col min="1304" max="1304" width="12.85546875" style="84" bestFit="1" customWidth="1"/>
    <col min="1305" max="1305" width="40.42578125" style="84" bestFit="1" customWidth="1"/>
    <col min="1306" max="1306" width="2.42578125" style="84" customWidth="1"/>
    <col min="1307" max="1307" width="13.5703125" style="84" customWidth="1"/>
    <col min="1308" max="1308" width="2.42578125" style="84" customWidth="1"/>
    <col min="1309" max="1309" width="13.5703125" style="84" customWidth="1"/>
    <col min="1310" max="1310" width="2.42578125" style="84" customWidth="1"/>
    <col min="1311" max="1311" width="13.5703125" style="84" customWidth="1"/>
    <col min="1312" max="1312" width="2.42578125" style="84" customWidth="1"/>
    <col min="1313" max="1313" width="13.5703125" style="84" customWidth="1"/>
    <col min="1314" max="1314" width="2.42578125" style="84" customWidth="1"/>
    <col min="1315" max="1315" width="13.5703125" style="84" customWidth="1"/>
    <col min="1316" max="1316" width="2.42578125" style="84" customWidth="1"/>
    <col min="1317" max="1317" width="13.5703125" style="84" customWidth="1"/>
    <col min="1318" max="1318" width="2.42578125" style="84" customWidth="1"/>
    <col min="1319" max="1319" width="13.5703125" style="84" customWidth="1"/>
    <col min="1320" max="1320" width="2.42578125" style="84" customWidth="1"/>
    <col min="1321" max="1321" width="13.5703125" style="84" customWidth="1"/>
    <col min="1322" max="1322" width="3.42578125" style="84" customWidth="1"/>
    <col min="1323" max="1536" width="9.140625" style="84"/>
    <col min="1537" max="1537" width="3.5703125" style="84" customWidth="1"/>
    <col min="1538" max="1538" width="6.85546875" style="84" bestFit="1" customWidth="1"/>
    <col min="1539" max="1539" width="12" style="84" bestFit="1" customWidth="1"/>
    <col min="1540" max="1540" width="40.42578125" style="84" bestFit="1" customWidth="1"/>
    <col min="1541" max="1541" width="2.42578125" style="84" customWidth="1"/>
    <col min="1542" max="1542" width="13.5703125" style="84" customWidth="1"/>
    <col min="1543" max="1543" width="2.42578125" style="84" customWidth="1"/>
    <col min="1544" max="1544" width="13.5703125" style="84" customWidth="1"/>
    <col min="1545" max="1545" width="2.42578125" style="84" customWidth="1"/>
    <col min="1546" max="1546" width="13.5703125" style="84" customWidth="1"/>
    <col min="1547" max="1547" width="2.42578125" style="84" customWidth="1"/>
    <col min="1548" max="1548" width="13.5703125" style="84" customWidth="1"/>
    <col min="1549" max="1549" width="2.42578125" style="84" customWidth="1"/>
    <col min="1550" max="1550" width="13.5703125" style="84" customWidth="1"/>
    <col min="1551" max="1551" width="2.42578125" style="84" customWidth="1"/>
    <col min="1552" max="1552" width="13.5703125" style="84" customWidth="1"/>
    <col min="1553" max="1553" width="2.42578125" style="84" customWidth="1"/>
    <col min="1554" max="1554" width="13.5703125" style="84" customWidth="1"/>
    <col min="1555" max="1555" width="2.42578125" style="84" customWidth="1"/>
    <col min="1556" max="1556" width="13.5703125" style="84" customWidth="1"/>
    <col min="1557" max="1557" width="4" style="84" customWidth="1"/>
    <col min="1558" max="1558" width="3.5703125" style="84" customWidth="1"/>
    <col min="1559" max="1559" width="6.85546875" style="84" bestFit="1" customWidth="1"/>
    <col min="1560" max="1560" width="12.85546875" style="84" bestFit="1" customWidth="1"/>
    <col min="1561" max="1561" width="40.42578125" style="84" bestFit="1" customWidth="1"/>
    <col min="1562" max="1562" width="2.42578125" style="84" customWidth="1"/>
    <col min="1563" max="1563" width="13.5703125" style="84" customWidth="1"/>
    <col min="1564" max="1564" width="2.42578125" style="84" customWidth="1"/>
    <col min="1565" max="1565" width="13.5703125" style="84" customWidth="1"/>
    <col min="1566" max="1566" width="2.42578125" style="84" customWidth="1"/>
    <col min="1567" max="1567" width="13.5703125" style="84" customWidth="1"/>
    <col min="1568" max="1568" width="2.42578125" style="84" customWidth="1"/>
    <col min="1569" max="1569" width="13.5703125" style="84" customWidth="1"/>
    <col min="1570" max="1570" width="2.42578125" style="84" customWidth="1"/>
    <col min="1571" max="1571" width="13.5703125" style="84" customWidth="1"/>
    <col min="1572" max="1572" width="2.42578125" style="84" customWidth="1"/>
    <col min="1573" max="1573" width="13.5703125" style="84" customWidth="1"/>
    <col min="1574" max="1574" width="2.42578125" style="84" customWidth="1"/>
    <col min="1575" max="1575" width="13.5703125" style="84" customWidth="1"/>
    <col min="1576" max="1576" width="2.42578125" style="84" customWidth="1"/>
    <col min="1577" max="1577" width="13.5703125" style="84" customWidth="1"/>
    <col min="1578" max="1578" width="3.42578125" style="84" customWidth="1"/>
    <col min="1579" max="1792" width="9.140625" style="84"/>
    <col min="1793" max="1793" width="3.5703125" style="84" customWidth="1"/>
    <col min="1794" max="1794" width="6.85546875" style="84" bestFit="1" customWidth="1"/>
    <col min="1795" max="1795" width="12" style="84" bestFit="1" customWidth="1"/>
    <col min="1796" max="1796" width="40.42578125" style="84" bestFit="1" customWidth="1"/>
    <col min="1797" max="1797" width="2.42578125" style="84" customWidth="1"/>
    <col min="1798" max="1798" width="13.5703125" style="84" customWidth="1"/>
    <col min="1799" max="1799" width="2.42578125" style="84" customWidth="1"/>
    <col min="1800" max="1800" width="13.5703125" style="84" customWidth="1"/>
    <col min="1801" max="1801" width="2.42578125" style="84" customWidth="1"/>
    <col min="1802" max="1802" width="13.5703125" style="84" customWidth="1"/>
    <col min="1803" max="1803" width="2.42578125" style="84" customWidth="1"/>
    <col min="1804" max="1804" width="13.5703125" style="84" customWidth="1"/>
    <col min="1805" max="1805" width="2.42578125" style="84" customWidth="1"/>
    <col min="1806" max="1806" width="13.5703125" style="84" customWidth="1"/>
    <col min="1807" max="1807" width="2.42578125" style="84" customWidth="1"/>
    <col min="1808" max="1808" width="13.5703125" style="84" customWidth="1"/>
    <col min="1809" max="1809" width="2.42578125" style="84" customWidth="1"/>
    <col min="1810" max="1810" width="13.5703125" style="84" customWidth="1"/>
    <col min="1811" max="1811" width="2.42578125" style="84" customWidth="1"/>
    <col min="1812" max="1812" width="13.5703125" style="84" customWidth="1"/>
    <col min="1813" max="1813" width="4" style="84" customWidth="1"/>
    <col min="1814" max="1814" width="3.5703125" style="84" customWidth="1"/>
    <col min="1815" max="1815" width="6.85546875" style="84" bestFit="1" customWidth="1"/>
    <col min="1816" max="1816" width="12.85546875" style="84" bestFit="1" customWidth="1"/>
    <col min="1817" max="1817" width="40.42578125" style="84" bestFit="1" customWidth="1"/>
    <col min="1818" max="1818" width="2.42578125" style="84" customWidth="1"/>
    <col min="1819" max="1819" width="13.5703125" style="84" customWidth="1"/>
    <col min="1820" max="1820" width="2.42578125" style="84" customWidth="1"/>
    <col min="1821" max="1821" width="13.5703125" style="84" customWidth="1"/>
    <col min="1822" max="1822" width="2.42578125" style="84" customWidth="1"/>
    <col min="1823" max="1823" width="13.5703125" style="84" customWidth="1"/>
    <col min="1824" max="1824" width="2.42578125" style="84" customWidth="1"/>
    <col min="1825" max="1825" width="13.5703125" style="84" customWidth="1"/>
    <col min="1826" max="1826" width="2.42578125" style="84" customWidth="1"/>
    <col min="1827" max="1827" width="13.5703125" style="84" customWidth="1"/>
    <col min="1828" max="1828" width="2.42578125" style="84" customWidth="1"/>
    <col min="1829" max="1829" width="13.5703125" style="84" customWidth="1"/>
    <col min="1830" max="1830" width="2.42578125" style="84" customWidth="1"/>
    <col min="1831" max="1831" width="13.5703125" style="84" customWidth="1"/>
    <col min="1832" max="1832" width="2.42578125" style="84" customWidth="1"/>
    <col min="1833" max="1833" width="13.5703125" style="84" customWidth="1"/>
    <col min="1834" max="1834" width="3.42578125" style="84" customWidth="1"/>
    <col min="1835" max="2048" width="9.140625" style="84"/>
    <col min="2049" max="2049" width="3.5703125" style="84" customWidth="1"/>
    <col min="2050" max="2050" width="6.85546875" style="84" bestFit="1" customWidth="1"/>
    <col min="2051" max="2051" width="12" style="84" bestFit="1" customWidth="1"/>
    <col min="2052" max="2052" width="40.42578125" style="84" bestFit="1" customWidth="1"/>
    <col min="2053" max="2053" width="2.42578125" style="84" customWidth="1"/>
    <col min="2054" max="2054" width="13.5703125" style="84" customWidth="1"/>
    <col min="2055" max="2055" width="2.42578125" style="84" customWidth="1"/>
    <col min="2056" max="2056" width="13.5703125" style="84" customWidth="1"/>
    <col min="2057" max="2057" width="2.42578125" style="84" customWidth="1"/>
    <col min="2058" max="2058" width="13.5703125" style="84" customWidth="1"/>
    <col min="2059" max="2059" width="2.42578125" style="84" customWidth="1"/>
    <col min="2060" max="2060" width="13.5703125" style="84" customWidth="1"/>
    <col min="2061" max="2061" width="2.42578125" style="84" customWidth="1"/>
    <col min="2062" max="2062" width="13.5703125" style="84" customWidth="1"/>
    <col min="2063" max="2063" width="2.42578125" style="84" customWidth="1"/>
    <col min="2064" max="2064" width="13.5703125" style="84" customWidth="1"/>
    <col min="2065" max="2065" width="2.42578125" style="84" customWidth="1"/>
    <col min="2066" max="2066" width="13.5703125" style="84" customWidth="1"/>
    <col min="2067" max="2067" width="2.42578125" style="84" customWidth="1"/>
    <col min="2068" max="2068" width="13.5703125" style="84" customWidth="1"/>
    <col min="2069" max="2069" width="4" style="84" customWidth="1"/>
    <col min="2070" max="2070" width="3.5703125" style="84" customWidth="1"/>
    <col min="2071" max="2071" width="6.85546875" style="84" bestFit="1" customWidth="1"/>
    <col min="2072" max="2072" width="12.85546875" style="84" bestFit="1" customWidth="1"/>
    <col min="2073" max="2073" width="40.42578125" style="84" bestFit="1" customWidth="1"/>
    <col min="2074" max="2074" width="2.42578125" style="84" customWidth="1"/>
    <col min="2075" max="2075" width="13.5703125" style="84" customWidth="1"/>
    <col min="2076" max="2076" width="2.42578125" style="84" customWidth="1"/>
    <col min="2077" max="2077" width="13.5703125" style="84" customWidth="1"/>
    <col min="2078" max="2078" width="2.42578125" style="84" customWidth="1"/>
    <col min="2079" max="2079" width="13.5703125" style="84" customWidth="1"/>
    <col min="2080" max="2080" width="2.42578125" style="84" customWidth="1"/>
    <col min="2081" max="2081" width="13.5703125" style="84" customWidth="1"/>
    <col min="2082" max="2082" width="2.42578125" style="84" customWidth="1"/>
    <col min="2083" max="2083" width="13.5703125" style="84" customWidth="1"/>
    <col min="2084" max="2084" width="2.42578125" style="84" customWidth="1"/>
    <col min="2085" max="2085" width="13.5703125" style="84" customWidth="1"/>
    <col min="2086" max="2086" width="2.42578125" style="84" customWidth="1"/>
    <col min="2087" max="2087" width="13.5703125" style="84" customWidth="1"/>
    <col min="2088" max="2088" width="2.42578125" style="84" customWidth="1"/>
    <col min="2089" max="2089" width="13.5703125" style="84" customWidth="1"/>
    <col min="2090" max="2090" width="3.42578125" style="84" customWidth="1"/>
    <col min="2091" max="2304" width="9.140625" style="84"/>
    <col min="2305" max="2305" width="3.5703125" style="84" customWidth="1"/>
    <col min="2306" max="2306" width="6.85546875" style="84" bestFit="1" customWidth="1"/>
    <col min="2307" max="2307" width="12" style="84" bestFit="1" customWidth="1"/>
    <col min="2308" max="2308" width="40.42578125" style="84" bestFit="1" customWidth="1"/>
    <col min="2309" max="2309" width="2.42578125" style="84" customWidth="1"/>
    <col min="2310" max="2310" width="13.5703125" style="84" customWidth="1"/>
    <col min="2311" max="2311" width="2.42578125" style="84" customWidth="1"/>
    <col min="2312" max="2312" width="13.5703125" style="84" customWidth="1"/>
    <col min="2313" max="2313" width="2.42578125" style="84" customWidth="1"/>
    <col min="2314" max="2314" width="13.5703125" style="84" customWidth="1"/>
    <col min="2315" max="2315" width="2.42578125" style="84" customWidth="1"/>
    <col min="2316" max="2316" width="13.5703125" style="84" customWidth="1"/>
    <col min="2317" max="2317" width="2.42578125" style="84" customWidth="1"/>
    <col min="2318" max="2318" width="13.5703125" style="84" customWidth="1"/>
    <col min="2319" max="2319" width="2.42578125" style="84" customWidth="1"/>
    <col min="2320" max="2320" width="13.5703125" style="84" customWidth="1"/>
    <col min="2321" max="2321" width="2.42578125" style="84" customWidth="1"/>
    <col min="2322" max="2322" width="13.5703125" style="84" customWidth="1"/>
    <col min="2323" max="2323" width="2.42578125" style="84" customWidth="1"/>
    <col min="2324" max="2324" width="13.5703125" style="84" customWidth="1"/>
    <col min="2325" max="2325" width="4" style="84" customWidth="1"/>
    <col min="2326" max="2326" width="3.5703125" style="84" customWidth="1"/>
    <col min="2327" max="2327" width="6.85546875" style="84" bestFit="1" customWidth="1"/>
    <col min="2328" max="2328" width="12.85546875" style="84" bestFit="1" customWidth="1"/>
    <col min="2329" max="2329" width="40.42578125" style="84" bestFit="1" customWidth="1"/>
    <col min="2330" max="2330" width="2.42578125" style="84" customWidth="1"/>
    <col min="2331" max="2331" width="13.5703125" style="84" customWidth="1"/>
    <col min="2332" max="2332" width="2.42578125" style="84" customWidth="1"/>
    <col min="2333" max="2333" width="13.5703125" style="84" customWidth="1"/>
    <col min="2334" max="2334" width="2.42578125" style="84" customWidth="1"/>
    <col min="2335" max="2335" width="13.5703125" style="84" customWidth="1"/>
    <col min="2336" max="2336" width="2.42578125" style="84" customWidth="1"/>
    <col min="2337" max="2337" width="13.5703125" style="84" customWidth="1"/>
    <col min="2338" max="2338" width="2.42578125" style="84" customWidth="1"/>
    <col min="2339" max="2339" width="13.5703125" style="84" customWidth="1"/>
    <col min="2340" max="2340" width="2.42578125" style="84" customWidth="1"/>
    <col min="2341" max="2341" width="13.5703125" style="84" customWidth="1"/>
    <col min="2342" max="2342" width="2.42578125" style="84" customWidth="1"/>
    <col min="2343" max="2343" width="13.5703125" style="84" customWidth="1"/>
    <col min="2344" max="2344" width="2.42578125" style="84" customWidth="1"/>
    <col min="2345" max="2345" width="13.5703125" style="84" customWidth="1"/>
    <col min="2346" max="2346" width="3.42578125" style="84" customWidth="1"/>
    <col min="2347" max="2560" width="9.140625" style="84"/>
    <col min="2561" max="2561" width="3.5703125" style="84" customWidth="1"/>
    <col min="2562" max="2562" width="6.85546875" style="84" bestFit="1" customWidth="1"/>
    <col min="2563" max="2563" width="12" style="84" bestFit="1" customWidth="1"/>
    <col min="2564" max="2564" width="40.42578125" style="84" bestFit="1" customWidth="1"/>
    <col min="2565" max="2565" width="2.42578125" style="84" customWidth="1"/>
    <col min="2566" max="2566" width="13.5703125" style="84" customWidth="1"/>
    <col min="2567" max="2567" width="2.42578125" style="84" customWidth="1"/>
    <col min="2568" max="2568" width="13.5703125" style="84" customWidth="1"/>
    <col min="2569" max="2569" width="2.42578125" style="84" customWidth="1"/>
    <col min="2570" max="2570" width="13.5703125" style="84" customWidth="1"/>
    <col min="2571" max="2571" width="2.42578125" style="84" customWidth="1"/>
    <col min="2572" max="2572" width="13.5703125" style="84" customWidth="1"/>
    <col min="2573" max="2573" width="2.42578125" style="84" customWidth="1"/>
    <col min="2574" max="2574" width="13.5703125" style="84" customWidth="1"/>
    <col min="2575" max="2575" width="2.42578125" style="84" customWidth="1"/>
    <col min="2576" max="2576" width="13.5703125" style="84" customWidth="1"/>
    <col min="2577" max="2577" width="2.42578125" style="84" customWidth="1"/>
    <col min="2578" max="2578" width="13.5703125" style="84" customWidth="1"/>
    <col min="2579" max="2579" width="2.42578125" style="84" customWidth="1"/>
    <col min="2580" max="2580" width="13.5703125" style="84" customWidth="1"/>
    <col min="2581" max="2581" width="4" style="84" customWidth="1"/>
    <col min="2582" max="2582" width="3.5703125" style="84" customWidth="1"/>
    <col min="2583" max="2583" width="6.85546875" style="84" bestFit="1" customWidth="1"/>
    <col min="2584" max="2584" width="12.85546875" style="84" bestFit="1" customWidth="1"/>
    <col min="2585" max="2585" width="40.42578125" style="84" bestFit="1" customWidth="1"/>
    <col min="2586" max="2586" width="2.42578125" style="84" customWidth="1"/>
    <col min="2587" max="2587" width="13.5703125" style="84" customWidth="1"/>
    <col min="2588" max="2588" width="2.42578125" style="84" customWidth="1"/>
    <col min="2589" max="2589" width="13.5703125" style="84" customWidth="1"/>
    <col min="2590" max="2590" width="2.42578125" style="84" customWidth="1"/>
    <col min="2591" max="2591" width="13.5703125" style="84" customWidth="1"/>
    <col min="2592" max="2592" width="2.42578125" style="84" customWidth="1"/>
    <col min="2593" max="2593" width="13.5703125" style="84" customWidth="1"/>
    <col min="2594" max="2594" width="2.42578125" style="84" customWidth="1"/>
    <col min="2595" max="2595" width="13.5703125" style="84" customWidth="1"/>
    <col min="2596" max="2596" width="2.42578125" style="84" customWidth="1"/>
    <col min="2597" max="2597" width="13.5703125" style="84" customWidth="1"/>
    <col min="2598" max="2598" width="2.42578125" style="84" customWidth="1"/>
    <col min="2599" max="2599" width="13.5703125" style="84" customWidth="1"/>
    <col min="2600" max="2600" width="2.42578125" style="84" customWidth="1"/>
    <col min="2601" max="2601" width="13.5703125" style="84" customWidth="1"/>
    <col min="2602" max="2602" width="3.42578125" style="84" customWidth="1"/>
    <col min="2603" max="2816" width="9.140625" style="84"/>
    <col min="2817" max="2817" width="3.5703125" style="84" customWidth="1"/>
    <col min="2818" max="2818" width="6.85546875" style="84" bestFit="1" customWidth="1"/>
    <col min="2819" max="2819" width="12" style="84" bestFit="1" customWidth="1"/>
    <col min="2820" max="2820" width="40.42578125" style="84" bestFit="1" customWidth="1"/>
    <col min="2821" max="2821" width="2.42578125" style="84" customWidth="1"/>
    <col min="2822" max="2822" width="13.5703125" style="84" customWidth="1"/>
    <col min="2823" max="2823" width="2.42578125" style="84" customWidth="1"/>
    <col min="2824" max="2824" width="13.5703125" style="84" customWidth="1"/>
    <col min="2825" max="2825" width="2.42578125" style="84" customWidth="1"/>
    <col min="2826" max="2826" width="13.5703125" style="84" customWidth="1"/>
    <col min="2827" max="2827" width="2.42578125" style="84" customWidth="1"/>
    <col min="2828" max="2828" width="13.5703125" style="84" customWidth="1"/>
    <col min="2829" max="2829" width="2.42578125" style="84" customWidth="1"/>
    <col min="2830" max="2830" width="13.5703125" style="84" customWidth="1"/>
    <col min="2831" max="2831" width="2.42578125" style="84" customWidth="1"/>
    <col min="2832" max="2832" width="13.5703125" style="84" customWidth="1"/>
    <col min="2833" max="2833" width="2.42578125" style="84" customWidth="1"/>
    <col min="2834" max="2834" width="13.5703125" style="84" customWidth="1"/>
    <col min="2835" max="2835" width="2.42578125" style="84" customWidth="1"/>
    <col min="2836" max="2836" width="13.5703125" style="84" customWidth="1"/>
    <col min="2837" max="2837" width="4" style="84" customWidth="1"/>
    <col min="2838" max="2838" width="3.5703125" style="84" customWidth="1"/>
    <col min="2839" max="2839" width="6.85546875" style="84" bestFit="1" customWidth="1"/>
    <col min="2840" max="2840" width="12.85546875" style="84" bestFit="1" customWidth="1"/>
    <col min="2841" max="2841" width="40.42578125" style="84" bestFit="1" customWidth="1"/>
    <col min="2842" max="2842" width="2.42578125" style="84" customWidth="1"/>
    <col min="2843" max="2843" width="13.5703125" style="84" customWidth="1"/>
    <col min="2844" max="2844" width="2.42578125" style="84" customWidth="1"/>
    <col min="2845" max="2845" width="13.5703125" style="84" customWidth="1"/>
    <col min="2846" max="2846" width="2.42578125" style="84" customWidth="1"/>
    <col min="2847" max="2847" width="13.5703125" style="84" customWidth="1"/>
    <col min="2848" max="2848" width="2.42578125" style="84" customWidth="1"/>
    <col min="2849" max="2849" width="13.5703125" style="84" customWidth="1"/>
    <col min="2850" max="2850" width="2.42578125" style="84" customWidth="1"/>
    <col min="2851" max="2851" width="13.5703125" style="84" customWidth="1"/>
    <col min="2852" max="2852" width="2.42578125" style="84" customWidth="1"/>
    <col min="2853" max="2853" width="13.5703125" style="84" customWidth="1"/>
    <col min="2854" max="2854" width="2.42578125" style="84" customWidth="1"/>
    <col min="2855" max="2855" width="13.5703125" style="84" customWidth="1"/>
    <col min="2856" max="2856" width="2.42578125" style="84" customWidth="1"/>
    <col min="2857" max="2857" width="13.5703125" style="84" customWidth="1"/>
    <col min="2858" max="2858" width="3.42578125" style="84" customWidth="1"/>
    <col min="2859" max="3072" width="9.140625" style="84"/>
    <col min="3073" max="3073" width="3.5703125" style="84" customWidth="1"/>
    <col min="3074" max="3074" width="6.85546875" style="84" bestFit="1" customWidth="1"/>
    <col min="3075" max="3075" width="12" style="84" bestFit="1" customWidth="1"/>
    <col min="3076" max="3076" width="40.42578125" style="84" bestFit="1" customWidth="1"/>
    <col min="3077" max="3077" width="2.42578125" style="84" customWidth="1"/>
    <col min="3078" max="3078" width="13.5703125" style="84" customWidth="1"/>
    <col min="3079" max="3079" width="2.42578125" style="84" customWidth="1"/>
    <col min="3080" max="3080" width="13.5703125" style="84" customWidth="1"/>
    <col min="3081" max="3081" width="2.42578125" style="84" customWidth="1"/>
    <col min="3082" max="3082" width="13.5703125" style="84" customWidth="1"/>
    <col min="3083" max="3083" width="2.42578125" style="84" customWidth="1"/>
    <col min="3084" max="3084" width="13.5703125" style="84" customWidth="1"/>
    <col min="3085" max="3085" width="2.42578125" style="84" customWidth="1"/>
    <col min="3086" max="3086" width="13.5703125" style="84" customWidth="1"/>
    <col min="3087" max="3087" width="2.42578125" style="84" customWidth="1"/>
    <col min="3088" max="3088" width="13.5703125" style="84" customWidth="1"/>
    <col min="3089" max="3089" width="2.42578125" style="84" customWidth="1"/>
    <col min="3090" max="3090" width="13.5703125" style="84" customWidth="1"/>
    <col min="3091" max="3091" width="2.42578125" style="84" customWidth="1"/>
    <col min="3092" max="3092" width="13.5703125" style="84" customWidth="1"/>
    <col min="3093" max="3093" width="4" style="84" customWidth="1"/>
    <col min="3094" max="3094" width="3.5703125" style="84" customWidth="1"/>
    <col min="3095" max="3095" width="6.85546875" style="84" bestFit="1" customWidth="1"/>
    <col min="3096" max="3096" width="12.85546875" style="84" bestFit="1" customWidth="1"/>
    <col min="3097" max="3097" width="40.42578125" style="84" bestFit="1" customWidth="1"/>
    <col min="3098" max="3098" width="2.42578125" style="84" customWidth="1"/>
    <col min="3099" max="3099" width="13.5703125" style="84" customWidth="1"/>
    <col min="3100" max="3100" width="2.42578125" style="84" customWidth="1"/>
    <col min="3101" max="3101" width="13.5703125" style="84" customWidth="1"/>
    <col min="3102" max="3102" width="2.42578125" style="84" customWidth="1"/>
    <col min="3103" max="3103" width="13.5703125" style="84" customWidth="1"/>
    <col min="3104" max="3104" width="2.42578125" style="84" customWidth="1"/>
    <col min="3105" max="3105" width="13.5703125" style="84" customWidth="1"/>
    <col min="3106" max="3106" width="2.42578125" style="84" customWidth="1"/>
    <col min="3107" max="3107" width="13.5703125" style="84" customWidth="1"/>
    <col min="3108" max="3108" width="2.42578125" style="84" customWidth="1"/>
    <col min="3109" max="3109" width="13.5703125" style="84" customWidth="1"/>
    <col min="3110" max="3110" width="2.42578125" style="84" customWidth="1"/>
    <col min="3111" max="3111" width="13.5703125" style="84" customWidth="1"/>
    <col min="3112" max="3112" width="2.42578125" style="84" customWidth="1"/>
    <col min="3113" max="3113" width="13.5703125" style="84" customWidth="1"/>
    <col min="3114" max="3114" width="3.42578125" style="84" customWidth="1"/>
    <col min="3115" max="3328" width="9.140625" style="84"/>
    <col min="3329" max="3329" width="3.5703125" style="84" customWidth="1"/>
    <col min="3330" max="3330" width="6.85546875" style="84" bestFit="1" customWidth="1"/>
    <col min="3331" max="3331" width="12" style="84" bestFit="1" customWidth="1"/>
    <col min="3332" max="3332" width="40.42578125" style="84" bestFit="1" customWidth="1"/>
    <col min="3333" max="3333" width="2.42578125" style="84" customWidth="1"/>
    <col min="3334" max="3334" width="13.5703125" style="84" customWidth="1"/>
    <col min="3335" max="3335" width="2.42578125" style="84" customWidth="1"/>
    <col min="3336" max="3336" width="13.5703125" style="84" customWidth="1"/>
    <col min="3337" max="3337" width="2.42578125" style="84" customWidth="1"/>
    <col min="3338" max="3338" width="13.5703125" style="84" customWidth="1"/>
    <col min="3339" max="3339" width="2.42578125" style="84" customWidth="1"/>
    <col min="3340" max="3340" width="13.5703125" style="84" customWidth="1"/>
    <col min="3341" max="3341" width="2.42578125" style="84" customWidth="1"/>
    <col min="3342" max="3342" width="13.5703125" style="84" customWidth="1"/>
    <col min="3343" max="3343" width="2.42578125" style="84" customWidth="1"/>
    <col min="3344" max="3344" width="13.5703125" style="84" customWidth="1"/>
    <col min="3345" max="3345" width="2.42578125" style="84" customWidth="1"/>
    <col min="3346" max="3346" width="13.5703125" style="84" customWidth="1"/>
    <col min="3347" max="3347" width="2.42578125" style="84" customWidth="1"/>
    <col min="3348" max="3348" width="13.5703125" style="84" customWidth="1"/>
    <col min="3349" max="3349" width="4" style="84" customWidth="1"/>
    <col min="3350" max="3350" width="3.5703125" style="84" customWidth="1"/>
    <col min="3351" max="3351" width="6.85546875" style="84" bestFit="1" customWidth="1"/>
    <col min="3352" max="3352" width="12.85546875" style="84" bestFit="1" customWidth="1"/>
    <col min="3353" max="3353" width="40.42578125" style="84" bestFit="1" customWidth="1"/>
    <col min="3354" max="3354" width="2.42578125" style="84" customWidth="1"/>
    <col min="3355" max="3355" width="13.5703125" style="84" customWidth="1"/>
    <col min="3356" max="3356" width="2.42578125" style="84" customWidth="1"/>
    <col min="3357" max="3357" width="13.5703125" style="84" customWidth="1"/>
    <col min="3358" max="3358" width="2.42578125" style="84" customWidth="1"/>
    <col min="3359" max="3359" width="13.5703125" style="84" customWidth="1"/>
    <col min="3360" max="3360" width="2.42578125" style="84" customWidth="1"/>
    <col min="3361" max="3361" width="13.5703125" style="84" customWidth="1"/>
    <col min="3362" max="3362" width="2.42578125" style="84" customWidth="1"/>
    <col min="3363" max="3363" width="13.5703125" style="84" customWidth="1"/>
    <col min="3364" max="3364" width="2.42578125" style="84" customWidth="1"/>
    <col min="3365" max="3365" width="13.5703125" style="84" customWidth="1"/>
    <col min="3366" max="3366" width="2.42578125" style="84" customWidth="1"/>
    <col min="3367" max="3367" width="13.5703125" style="84" customWidth="1"/>
    <col min="3368" max="3368" width="2.42578125" style="84" customWidth="1"/>
    <col min="3369" max="3369" width="13.5703125" style="84" customWidth="1"/>
    <col min="3370" max="3370" width="3.42578125" style="84" customWidth="1"/>
    <col min="3371" max="3584" width="9.140625" style="84"/>
    <col min="3585" max="3585" width="3.5703125" style="84" customWidth="1"/>
    <col min="3586" max="3586" width="6.85546875" style="84" bestFit="1" customWidth="1"/>
    <col min="3587" max="3587" width="12" style="84" bestFit="1" customWidth="1"/>
    <col min="3588" max="3588" width="40.42578125" style="84" bestFit="1" customWidth="1"/>
    <col min="3589" max="3589" width="2.42578125" style="84" customWidth="1"/>
    <col min="3590" max="3590" width="13.5703125" style="84" customWidth="1"/>
    <col min="3591" max="3591" width="2.42578125" style="84" customWidth="1"/>
    <col min="3592" max="3592" width="13.5703125" style="84" customWidth="1"/>
    <col min="3593" max="3593" width="2.42578125" style="84" customWidth="1"/>
    <col min="3594" max="3594" width="13.5703125" style="84" customWidth="1"/>
    <col min="3595" max="3595" width="2.42578125" style="84" customWidth="1"/>
    <col min="3596" max="3596" width="13.5703125" style="84" customWidth="1"/>
    <col min="3597" max="3597" width="2.42578125" style="84" customWidth="1"/>
    <col min="3598" max="3598" width="13.5703125" style="84" customWidth="1"/>
    <col min="3599" max="3599" width="2.42578125" style="84" customWidth="1"/>
    <col min="3600" max="3600" width="13.5703125" style="84" customWidth="1"/>
    <col min="3601" max="3601" width="2.42578125" style="84" customWidth="1"/>
    <col min="3602" max="3602" width="13.5703125" style="84" customWidth="1"/>
    <col min="3603" max="3603" width="2.42578125" style="84" customWidth="1"/>
    <col min="3604" max="3604" width="13.5703125" style="84" customWidth="1"/>
    <col min="3605" max="3605" width="4" style="84" customWidth="1"/>
    <col min="3606" max="3606" width="3.5703125" style="84" customWidth="1"/>
    <col min="3607" max="3607" width="6.85546875" style="84" bestFit="1" customWidth="1"/>
    <col min="3608" max="3608" width="12.85546875" style="84" bestFit="1" customWidth="1"/>
    <col min="3609" max="3609" width="40.42578125" style="84" bestFit="1" customWidth="1"/>
    <col min="3610" max="3610" width="2.42578125" style="84" customWidth="1"/>
    <col min="3611" max="3611" width="13.5703125" style="84" customWidth="1"/>
    <col min="3612" max="3612" width="2.42578125" style="84" customWidth="1"/>
    <col min="3613" max="3613" width="13.5703125" style="84" customWidth="1"/>
    <col min="3614" max="3614" width="2.42578125" style="84" customWidth="1"/>
    <col min="3615" max="3615" width="13.5703125" style="84" customWidth="1"/>
    <col min="3616" max="3616" width="2.42578125" style="84" customWidth="1"/>
    <col min="3617" max="3617" width="13.5703125" style="84" customWidth="1"/>
    <col min="3618" max="3618" width="2.42578125" style="84" customWidth="1"/>
    <col min="3619" max="3619" width="13.5703125" style="84" customWidth="1"/>
    <col min="3620" max="3620" width="2.42578125" style="84" customWidth="1"/>
    <col min="3621" max="3621" width="13.5703125" style="84" customWidth="1"/>
    <col min="3622" max="3622" width="2.42578125" style="84" customWidth="1"/>
    <col min="3623" max="3623" width="13.5703125" style="84" customWidth="1"/>
    <col min="3624" max="3624" width="2.42578125" style="84" customWidth="1"/>
    <col min="3625" max="3625" width="13.5703125" style="84" customWidth="1"/>
    <col min="3626" max="3626" width="3.42578125" style="84" customWidth="1"/>
    <col min="3627" max="3840" width="9.140625" style="84"/>
    <col min="3841" max="3841" width="3.5703125" style="84" customWidth="1"/>
    <col min="3842" max="3842" width="6.85546875" style="84" bestFit="1" customWidth="1"/>
    <col min="3843" max="3843" width="12" style="84" bestFit="1" customWidth="1"/>
    <col min="3844" max="3844" width="40.42578125" style="84" bestFit="1" customWidth="1"/>
    <col min="3845" max="3845" width="2.42578125" style="84" customWidth="1"/>
    <col min="3846" max="3846" width="13.5703125" style="84" customWidth="1"/>
    <col min="3847" max="3847" width="2.42578125" style="84" customWidth="1"/>
    <col min="3848" max="3848" width="13.5703125" style="84" customWidth="1"/>
    <col min="3849" max="3849" width="2.42578125" style="84" customWidth="1"/>
    <col min="3850" max="3850" width="13.5703125" style="84" customWidth="1"/>
    <col min="3851" max="3851" width="2.42578125" style="84" customWidth="1"/>
    <col min="3852" max="3852" width="13.5703125" style="84" customWidth="1"/>
    <col min="3853" max="3853" width="2.42578125" style="84" customWidth="1"/>
    <col min="3854" max="3854" width="13.5703125" style="84" customWidth="1"/>
    <col min="3855" max="3855" width="2.42578125" style="84" customWidth="1"/>
    <col min="3856" max="3856" width="13.5703125" style="84" customWidth="1"/>
    <col min="3857" max="3857" width="2.42578125" style="84" customWidth="1"/>
    <col min="3858" max="3858" width="13.5703125" style="84" customWidth="1"/>
    <col min="3859" max="3859" width="2.42578125" style="84" customWidth="1"/>
    <col min="3860" max="3860" width="13.5703125" style="84" customWidth="1"/>
    <col min="3861" max="3861" width="4" style="84" customWidth="1"/>
    <col min="3862" max="3862" width="3.5703125" style="84" customWidth="1"/>
    <col min="3863" max="3863" width="6.85546875" style="84" bestFit="1" customWidth="1"/>
    <col min="3864" max="3864" width="12.85546875" style="84" bestFit="1" customWidth="1"/>
    <col min="3865" max="3865" width="40.42578125" style="84" bestFit="1" customWidth="1"/>
    <col min="3866" max="3866" width="2.42578125" style="84" customWidth="1"/>
    <col min="3867" max="3867" width="13.5703125" style="84" customWidth="1"/>
    <col min="3868" max="3868" width="2.42578125" style="84" customWidth="1"/>
    <col min="3869" max="3869" width="13.5703125" style="84" customWidth="1"/>
    <col min="3870" max="3870" width="2.42578125" style="84" customWidth="1"/>
    <col min="3871" max="3871" width="13.5703125" style="84" customWidth="1"/>
    <col min="3872" max="3872" width="2.42578125" style="84" customWidth="1"/>
    <col min="3873" max="3873" width="13.5703125" style="84" customWidth="1"/>
    <col min="3874" max="3874" width="2.42578125" style="84" customWidth="1"/>
    <col min="3875" max="3875" width="13.5703125" style="84" customWidth="1"/>
    <col min="3876" max="3876" width="2.42578125" style="84" customWidth="1"/>
    <col min="3877" max="3877" width="13.5703125" style="84" customWidth="1"/>
    <col min="3878" max="3878" width="2.42578125" style="84" customWidth="1"/>
    <col min="3879" max="3879" width="13.5703125" style="84" customWidth="1"/>
    <col min="3880" max="3880" width="2.42578125" style="84" customWidth="1"/>
    <col min="3881" max="3881" width="13.5703125" style="84" customWidth="1"/>
    <col min="3882" max="3882" width="3.42578125" style="84" customWidth="1"/>
    <col min="3883" max="4096" width="9.140625" style="84"/>
    <col min="4097" max="4097" width="3.5703125" style="84" customWidth="1"/>
    <col min="4098" max="4098" width="6.85546875" style="84" bestFit="1" customWidth="1"/>
    <col min="4099" max="4099" width="12" style="84" bestFit="1" customWidth="1"/>
    <col min="4100" max="4100" width="40.42578125" style="84" bestFit="1" customWidth="1"/>
    <col min="4101" max="4101" width="2.42578125" style="84" customWidth="1"/>
    <col min="4102" max="4102" width="13.5703125" style="84" customWidth="1"/>
    <col min="4103" max="4103" width="2.42578125" style="84" customWidth="1"/>
    <col min="4104" max="4104" width="13.5703125" style="84" customWidth="1"/>
    <col min="4105" max="4105" width="2.42578125" style="84" customWidth="1"/>
    <col min="4106" max="4106" width="13.5703125" style="84" customWidth="1"/>
    <col min="4107" max="4107" width="2.42578125" style="84" customWidth="1"/>
    <col min="4108" max="4108" width="13.5703125" style="84" customWidth="1"/>
    <col min="4109" max="4109" width="2.42578125" style="84" customWidth="1"/>
    <col min="4110" max="4110" width="13.5703125" style="84" customWidth="1"/>
    <col min="4111" max="4111" width="2.42578125" style="84" customWidth="1"/>
    <col min="4112" max="4112" width="13.5703125" style="84" customWidth="1"/>
    <col min="4113" max="4113" width="2.42578125" style="84" customWidth="1"/>
    <col min="4114" max="4114" width="13.5703125" style="84" customWidth="1"/>
    <col min="4115" max="4115" width="2.42578125" style="84" customWidth="1"/>
    <col min="4116" max="4116" width="13.5703125" style="84" customWidth="1"/>
    <col min="4117" max="4117" width="4" style="84" customWidth="1"/>
    <col min="4118" max="4118" width="3.5703125" style="84" customWidth="1"/>
    <col min="4119" max="4119" width="6.85546875" style="84" bestFit="1" customWidth="1"/>
    <col min="4120" max="4120" width="12.85546875" style="84" bestFit="1" customWidth="1"/>
    <col min="4121" max="4121" width="40.42578125" style="84" bestFit="1" customWidth="1"/>
    <col min="4122" max="4122" width="2.42578125" style="84" customWidth="1"/>
    <col min="4123" max="4123" width="13.5703125" style="84" customWidth="1"/>
    <col min="4124" max="4124" width="2.42578125" style="84" customWidth="1"/>
    <col min="4125" max="4125" width="13.5703125" style="84" customWidth="1"/>
    <col min="4126" max="4126" width="2.42578125" style="84" customWidth="1"/>
    <col min="4127" max="4127" width="13.5703125" style="84" customWidth="1"/>
    <col min="4128" max="4128" width="2.42578125" style="84" customWidth="1"/>
    <col min="4129" max="4129" width="13.5703125" style="84" customWidth="1"/>
    <col min="4130" max="4130" width="2.42578125" style="84" customWidth="1"/>
    <col min="4131" max="4131" width="13.5703125" style="84" customWidth="1"/>
    <col min="4132" max="4132" width="2.42578125" style="84" customWidth="1"/>
    <col min="4133" max="4133" width="13.5703125" style="84" customWidth="1"/>
    <col min="4134" max="4134" width="2.42578125" style="84" customWidth="1"/>
    <col min="4135" max="4135" width="13.5703125" style="84" customWidth="1"/>
    <col min="4136" max="4136" width="2.42578125" style="84" customWidth="1"/>
    <col min="4137" max="4137" width="13.5703125" style="84" customWidth="1"/>
    <col min="4138" max="4138" width="3.42578125" style="84" customWidth="1"/>
    <col min="4139" max="4352" width="9.140625" style="84"/>
    <col min="4353" max="4353" width="3.5703125" style="84" customWidth="1"/>
    <col min="4354" max="4354" width="6.85546875" style="84" bestFit="1" customWidth="1"/>
    <col min="4355" max="4355" width="12" style="84" bestFit="1" customWidth="1"/>
    <col min="4356" max="4356" width="40.42578125" style="84" bestFit="1" customWidth="1"/>
    <col min="4357" max="4357" width="2.42578125" style="84" customWidth="1"/>
    <col min="4358" max="4358" width="13.5703125" style="84" customWidth="1"/>
    <col min="4359" max="4359" width="2.42578125" style="84" customWidth="1"/>
    <col min="4360" max="4360" width="13.5703125" style="84" customWidth="1"/>
    <col min="4361" max="4361" width="2.42578125" style="84" customWidth="1"/>
    <col min="4362" max="4362" width="13.5703125" style="84" customWidth="1"/>
    <col min="4363" max="4363" width="2.42578125" style="84" customWidth="1"/>
    <col min="4364" max="4364" width="13.5703125" style="84" customWidth="1"/>
    <col min="4365" max="4365" width="2.42578125" style="84" customWidth="1"/>
    <col min="4366" max="4366" width="13.5703125" style="84" customWidth="1"/>
    <col min="4367" max="4367" width="2.42578125" style="84" customWidth="1"/>
    <col min="4368" max="4368" width="13.5703125" style="84" customWidth="1"/>
    <col min="4369" max="4369" width="2.42578125" style="84" customWidth="1"/>
    <col min="4370" max="4370" width="13.5703125" style="84" customWidth="1"/>
    <col min="4371" max="4371" width="2.42578125" style="84" customWidth="1"/>
    <col min="4372" max="4372" width="13.5703125" style="84" customWidth="1"/>
    <col min="4373" max="4373" width="4" style="84" customWidth="1"/>
    <col min="4374" max="4374" width="3.5703125" style="84" customWidth="1"/>
    <col min="4375" max="4375" width="6.85546875" style="84" bestFit="1" customWidth="1"/>
    <col min="4376" max="4376" width="12.85546875" style="84" bestFit="1" customWidth="1"/>
    <col min="4377" max="4377" width="40.42578125" style="84" bestFit="1" customWidth="1"/>
    <col min="4378" max="4378" width="2.42578125" style="84" customWidth="1"/>
    <col min="4379" max="4379" width="13.5703125" style="84" customWidth="1"/>
    <col min="4380" max="4380" width="2.42578125" style="84" customWidth="1"/>
    <col min="4381" max="4381" width="13.5703125" style="84" customWidth="1"/>
    <col min="4382" max="4382" width="2.42578125" style="84" customWidth="1"/>
    <col min="4383" max="4383" width="13.5703125" style="84" customWidth="1"/>
    <col min="4384" max="4384" width="2.42578125" style="84" customWidth="1"/>
    <col min="4385" max="4385" width="13.5703125" style="84" customWidth="1"/>
    <col min="4386" max="4386" width="2.42578125" style="84" customWidth="1"/>
    <col min="4387" max="4387" width="13.5703125" style="84" customWidth="1"/>
    <col min="4388" max="4388" width="2.42578125" style="84" customWidth="1"/>
    <col min="4389" max="4389" width="13.5703125" style="84" customWidth="1"/>
    <col min="4390" max="4390" width="2.42578125" style="84" customWidth="1"/>
    <col min="4391" max="4391" width="13.5703125" style="84" customWidth="1"/>
    <col min="4392" max="4392" width="2.42578125" style="84" customWidth="1"/>
    <col min="4393" max="4393" width="13.5703125" style="84" customWidth="1"/>
    <col min="4394" max="4394" width="3.42578125" style="84" customWidth="1"/>
    <col min="4395" max="4608" width="9.140625" style="84"/>
    <col min="4609" max="4609" width="3.5703125" style="84" customWidth="1"/>
    <col min="4610" max="4610" width="6.85546875" style="84" bestFit="1" customWidth="1"/>
    <col min="4611" max="4611" width="12" style="84" bestFit="1" customWidth="1"/>
    <col min="4612" max="4612" width="40.42578125" style="84" bestFit="1" customWidth="1"/>
    <col min="4613" max="4613" width="2.42578125" style="84" customWidth="1"/>
    <col min="4614" max="4614" width="13.5703125" style="84" customWidth="1"/>
    <col min="4615" max="4615" width="2.42578125" style="84" customWidth="1"/>
    <col min="4616" max="4616" width="13.5703125" style="84" customWidth="1"/>
    <col min="4617" max="4617" width="2.42578125" style="84" customWidth="1"/>
    <col min="4618" max="4618" width="13.5703125" style="84" customWidth="1"/>
    <col min="4619" max="4619" width="2.42578125" style="84" customWidth="1"/>
    <col min="4620" max="4620" width="13.5703125" style="84" customWidth="1"/>
    <col min="4621" max="4621" width="2.42578125" style="84" customWidth="1"/>
    <col min="4622" max="4622" width="13.5703125" style="84" customWidth="1"/>
    <col min="4623" max="4623" width="2.42578125" style="84" customWidth="1"/>
    <col min="4624" max="4624" width="13.5703125" style="84" customWidth="1"/>
    <col min="4625" max="4625" width="2.42578125" style="84" customWidth="1"/>
    <col min="4626" max="4626" width="13.5703125" style="84" customWidth="1"/>
    <col min="4627" max="4627" width="2.42578125" style="84" customWidth="1"/>
    <col min="4628" max="4628" width="13.5703125" style="84" customWidth="1"/>
    <col min="4629" max="4629" width="4" style="84" customWidth="1"/>
    <col min="4630" max="4630" width="3.5703125" style="84" customWidth="1"/>
    <col min="4631" max="4631" width="6.85546875" style="84" bestFit="1" customWidth="1"/>
    <col min="4632" max="4632" width="12.85546875" style="84" bestFit="1" customWidth="1"/>
    <col min="4633" max="4633" width="40.42578125" style="84" bestFit="1" customWidth="1"/>
    <col min="4634" max="4634" width="2.42578125" style="84" customWidth="1"/>
    <col min="4635" max="4635" width="13.5703125" style="84" customWidth="1"/>
    <col min="4636" max="4636" width="2.42578125" style="84" customWidth="1"/>
    <col min="4637" max="4637" width="13.5703125" style="84" customWidth="1"/>
    <col min="4638" max="4638" width="2.42578125" style="84" customWidth="1"/>
    <col min="4639" max="4639" width="13.5703125" style="84" customWidth="1"/>
    <col min="4640" max="4640" width="2.42578125" style="84" customWidth="1"/>
    <col min="4641" max="4641" width="13.5703125" style="84" customWidth="1"/>
    <col min="4642" max="4642" width="2.42578125" style="84" customWidth="1"/>
    <col min="4643" max="4643" width="13.5703125" style="84" customWidth="1"/>
    <col min="4644" max="4644" width="2.42578125" style="84" customWidth="1"/>
    <col min="4645" max="4645" width="13.5703125" style="84" customWidth="1"/>
    <col min="4646" max="4646" width="2.42578125" style="84" customWidth="1"/>
    <col min="4647" max="4647" width="13.5703125" style="84" customWidth="1"/>
    <col min="4648" max="4648" width="2.42578125" style="84" customWidth="1"/>
    <col min="4649" max="4649" width="13.5703125" style="84" customWidth="1"/>
    <col min="4650" max="4650" width="3.42578125" style="84" customWidth="1"/>
    <col min="4651" max="4864" width="9.140625" style="84"/>
    <col min="4865" max="4865" width="3.5703125" style="84" customWidth="1"/>
    <col min="4866" max="4866" width="6.85546875" style="84" bestFit="1" customWidth="1"/>
    <col min="4867" max="4867" width="12" style="84" bestFit="1" customWidth="1"/>
    <col min="4868" max="4868" width="40.42578125" style="84" bestFit="1" customWidth="1"/>
    <col min="4869" max="4869" width="2.42578125" style="84" customWidth="1"/>
    <col min="4870" max="4870" width="13.5703125" style="84" customWidth="1"/>
    <col min="4871" max="4871" width="2.42578125" style="84" customWidth="1"/>
    <col min="4872" max="4872" width="13.5703125" style="84" customWidth="1"/>
    <col min="4873" max="4873" width="2.42578125" style="84" customWidth="1"/>
    <col min="4874" max="4874" width="13.5703125" style="84" customWidth="1"/>
    <col min="4875" max="4875" width="2.42578125" style="84" customWidth="1"/>
    <col min="4876" max="4876" width="13.5703125" style="84" customWidth="1"/>
    <col min="4877" max="4877" width="2.42578125" style="84" customWidth="1"/>
    <col min="4878" max="4878" width="13.5703125" style="84" customWidth="1"/>
    <col min="4879" max="4879" width="2.42578125" style="84" customWidth="1"/>
    <col min="4880" max="4880" width="13.5703125" style="84" customWidth="1"/>
    <col min="4881" max="4881" width="2.42578125" style="84" customWidth="1"/>
    <col min="4882" max="4882" width="13.5703125" style="84" customWidth="1"/>
    <col min="4883" max="4883" width="2.42578125" style="84" customWidth="1"/>
    <col min="4884" max="4884" width="13.5703125" style="84" customWidth="1"/>
    <col min="4885" max="4885" width="4" style="84" customWidth="1"/>
    <col min="4886" max="4886" width="3.5703125" style="84" customWidth="1"/>
    <col min="4887" max="4887" width="6.85546875" style="84" bestFit="1" customWidth="1"/>
    <col min="4888" max="4888" width="12.85546875" style="84" bestFit="1" customWidth="1"/>
    <col min="4889" max="4889" width="40.42578125" style="84" bestFit="1" customWidth="1"/>
    <col min="4890" max="4890" width="2.42578125" style="84" customWidth="1"/>
    <col min="4891" max="4891" width="13.5703125" style="84" customWidth="1"/>
    <col min="4892" max="4892" width="2.42578125" style="84" customWidth="1"/>
    <col min="4893" max="4893" width="13.5703125" style="84" customWidth="1"/>
    <col min="4894" max="4894" width="2.42578125" style="84" customWidth="1"/>
    <col min="4895" max="4895" width="13.5703125" style="84" customWidth="1"/>
    <col min="4896" max="4896" width="2.42578125" style="84" customWidth="1"/>
    <col min="4897" max="4897" width="13.5703125" style="84" customWidth="1"/>
    <col min="4898" max="4898" width="2.42578125" style="84" customWidth="1"/>
    <col min="4899" max="4899" width="13.5703125" style="84" customWidth="1"/>
    <col min="4900" max="4900" width="2.42578125" style="84" customWidth="1"/>
    <col min="4901" max="4901" width="13.5703125" style="84" customWidth="1"/>
    <col min="4902" max="4902" width="2.42578125" style="84" customWidth="1"/>
    <col min="4903" max="4903" width="13.5703125" style="84" customWidth="1"/>
    <col min="4904" max="4904" width="2.42578125" style="84" customWidth="1"/>
    <col min="4905" max="4905" width="13.5703125" style="84" customWidth="1"/>
    <col min="4906" max="4906" width="3.42578125" style="84" customWidth="1"/>
    <col min="4907" max="5120" width="9.140625" style="84"/>
    <col min="5121" max="5121" width="3.5703125" style="84" customWidth="1"/>
    <col min="5122" max="5122" width="6.85546875" style="84" bestFit="1" customWidth="1"/>
    <col min="5123" max="5123" width="12" style="84" bestFit="1" customWidth="1"/>
    <col min="5124" max="5124" width="40.42578125" style="84" bestFit="1" customWidth="1"/>
    <col min="5125" max="5125" width="2.42578125" style="84" customWidth="1"/>
    <col min="5126" max="5126" width="13.5703125" style="84" customWidth="1"/>
    <col min="5127" max="5127" width="2.42578125" style="84" customWidth="1"/>
    <col min="5128" max="5128" width="13.5703125" style="84" customWidth="1"/>
    <col min="5129" max="5129" width="2.42578125" style="84" customWidth="1"/>
    <col min="5130" max="5130" width="13.5703125" style="84" customWidth="1"/>
    <col min="5131" max="5131" width="2.42578125" style="84" customWidth="1"/>
    <col min="5132" max="5132" width="13.5703125" style="84" customWidth="1"/>
    <col min="5133" max="5133" width="2.42578125" style="84" customWidth="1"/>
    <col min="5134" max="5134" width="13.5703125" style="84" customWidth="1"/>
    <col min="5135" max="5135" width="2.42578125" style="84" customWidth="1"/>
    <col min="5136" max="5136" width="13.5703125" style="84" customWidth="1"/>
    <col min="5137" max="5137" width="2.42578125" style="84" customWidth="1"/>
    <col min="5138" max="5138" width="13.5703125" style="84" customWidth="1"/>
    <col min="5139" max="5139" width="2.42578125" style="84" customWidth="1"/>
    <col min="5140" max="5140" width="13.5703125" style="84" customWidth="1"/>
    <col min="5141" max="5141" width="4" style="84" customWidth="1"/>
    <col min="5142" max="5142" width="3.5703125" style="84" customWidth="1"/>
    <col min="5143" max="5143" width="6.85546875" style="84" bestFit="1" customWidth="1"/>
    <col min="5144" max="5144" width="12.85546875" style="84" bestFit="1" customWidth="1"/>
    <col min="5145" max="5145" width="40.42578125" style="84" bestFit="1" customWidth="1"/>
    <col min="5146" max="5146" width="2.42578125" style="84" customWidth="1"/>
    <col min="5147" max="5147" width="13.5703125" style="84" customWidth="1"/>
    <col min="5148" max="5148" width="2.42578125" style="84" customWidth="1"/>
    <col min="5149" max="5149" width="13.5703125" style="84" customWidth="1"/>
    <col min="5150" max="5150" width="2.42578125" style="84" customWidth="1"/>
    <col min="5151" max="5151" width="13.5703125" style="84" customWidth="1"/>
    <col min="5152" max="5152" width="2.42578125" style="84" customWidth="1"/>
    <col min="5153" max="5153" width="13.5703125" style="84" customWidth="1"/>
    <col min="5154" max="5154" width="2.42578125" style="84" customWidth="1"/>
    <col min="5155" max="5155" width="13.5703125" style="84" customWidth="1"/>
    <col min="5156" max="5156" width="2.42578125" style="84" customWidth="1"/>
    <col min="5157" max="5157" width="13.5703125" style="84" customWidth="1"/>
    <col min="5158" max="5158" width="2.42578125" style="84" customWidth="1"/>
    <col min="5159" max="5159" width="13.5703125" style="84" customWidth="1"/>
    <col min="5160" max="5160" width="2.42578125" style="84" customWidth="1"/>
    <col min="5161" max="5161" width="13.5703125" style="84" customWidth="1"/>
    <col min="5162" max="5162" width="3.42578125" style="84" customWidth="1"/>
    <col min="5163" max="5376" width="9.140625" style="84"/>
    <col min="5377" max="5377" width="3.5703125" style="84" customWidth="1"/>
    <col min="5378" max="5378" width="6.85546875" style="84" bestFit="1" customWidth="1"/>
    <col min="5379" max="5379" width="12" style="84" bestFit="1" customWidth="1"/>
    <col min="5380" max="5380" width="40.42578125" style="84" bestFit="1" customWidth="1"/>
    <col min="5381" max="5381" width="2.42578125" style="84" customWidth="1"/>
    <col min="5382" max="5382" width="13.5703125" style="84" customWidth="1"/>
    <col min="5383" max="5383" width="2.42578125" style="84" customWidth="1"/>
    <col min="5384" max="5384" width="13.5703125" style="84" customWidth="1"/>
    <col min="5385" max="5385" width="2.42578125" style="84" customWidth="1"/>
    <col min="5386" max="5386" width="13.5703125" style="84" customWidth="1"/>
    <col min="5387" max="5387" width="2.42578125" style="84" customWidth="1"/>
    <col min="5388" max="5388" width="13.5703125" style="84" customWidth="1"/>
    <col min="5389" max="5389" width="2.42578125" style="84" customWidth="1"/>
    <col min="5390" max="5390" width="13.5703125" style="84" customWidth="1"/>
    <col min="5391" max="5391" width="2.42578125" style="84" customWidth="1"/>
    <col min="5392" max="5392" width="13.5703125" style="84" customWidth="1"/>
    <col min="5393" max="5393" width="2.42578125" style="84" customWidth="1"/>
    <col min="5394" max="5394" width="13.5703125" style="84" customWidth="1"/>
    <col min="5395" max="5395" width="2.42578125" style="84" customWidth="1"/>
    <col min="5396" max="5396" width="13.5703125" style="84" customWidth="1"/>
    <col min="5397" max="5397" width="4" style="84" customWidth="1"/>
    <col min="5398" max="5398" width="3.5703125" style="84" customWidth="1"/>
    <col min="5399" max="5399" width="6.85546875" style="84" bestFit="1" customWidth="1"/>
    <col min="5400" max="5400" width="12.85546875" style="84" bestFit="1" customWidth="1"/>
    <col min="5401" max="5401" width="40.42578125" style="84" bestFit="1" customWidth="1"/>
    <col min="5402" max="5402" width="2.42578125" style="84" customWidth="1"/>
    <col min="5403" max="5403" width="13.5703125" style="84" customWidth="1"/>
    <col min="5404" max="5404" width="2.42578125" style="84" customWidth="1"/>
    <col min="5405" max="5405" width="13.5703125" style="84" customWidth="1"/>
    <col min="5406" max="5406" width="2.42578125" style="84" customWidth="1"/>
    <col min="5407" max="5407" width="13.5703125" style="84" customWidth="1"/>
    <col min="5408" max="5408" width="2.42578125" style="84" customWidth="1"/>
    <col min="5409" max="5409" width="13.5703125" style="84" customWidth="1"/>
    <col min="5410" max="5410" width="2.42578125" style="84" customWidth="1"/>
    <col min="5411" max="5411" width="13.5703125" style="84" customWidth="1"/>
    <col min="5412" max="5412" width="2.42578125" style="84" customWidth="1"/>
    <col min="5413" max="5413" width="13.5703125" style="84" customWidth="1"/>
    <col min="5414" max="5414" width="2.42578125" style="84" customWidth="1"/>
    <col min="5415" max="5415" width="13.5703125" style="84" customWidth="1"/>
    <col min="5416" max="5416" width="2.42578125" style="84" customWidth="1"/>
    <col min="5417" max="5417" width="13.5703125" style="84" customWidth="1"/>
    <col min="5418" max="5418" width="3.42578125" style="84" customWidth="1"/>
    <col min="5419" max="5632" width="9.140625" style="84"/>
    <col min="5633" max="5633" width="3.5703125" style="84" customWidth="1"/>
    <col min="5634" max="5634" width="6.85546875" style="84" bestFit="1" customWidth="1"/>
    <col min="5635" max="5635" width="12" style="84" bestFit="1" customWidth="1"/>
    <col min="5636" max="5636" width="40.42578125" style="84" bestFit="1" customWidth="1"/>
    <col min="5637" max="5637" width="2.42578125" style="84" customWidth="1"/>
    <col min="5638" max="5638" width="13.5703125" style="84" customWidth="1"/>
    <col min="5639" max="5639" width="2.42578125" style="84" customWidth="1"/>
    <col min="5640" max="5640" width="13.5703125" style="84" customWidth="1"/>
    <col min="5641" max="5641" width="2.42578125" style="84" customWidth="1"/>
    <col min="5642" max="5642" width="13.5703125" style="84" customWidth="1"/>
    <col min="5643" max="5643" width="2.42578125" style="84" customWidth="1"/>
    <col min="5644" max="5644" width="13.5703125" style="84" customWidth="1"/>
    <col min="5645" max="5645" width="2.42578125" style="84" customWidth="1"/>
    <col min="5646" max="5646" width="13.5703125" style="84" customWidth="1"/>
    <col min="5647" max="5647" width="2.42578125" style="84" customWidth="1"/>
    <col min="5648" max="5648" width="13.5703125" style="84" customWidth="1"/>
    <col min="5649" max="5649" width="2.42578125" style="84" customWidth="1"/>
    <col min="5650" max="5650" width="13.5703125" style="84" customWidth="1"/>
    <col min="5651" max="5651" width="2.42578125" style="84" customWidth="1"/>
    <col min="5652" max="5652" width="13.5703125" style="84" customWidth="1"/>
    <col min="5653" max="5653" width="4" style="84" customWidth="1"/>
    <col min="5654" max="5654" width="3.5703125" style="84" customWidth="1"/>
    <col min="5655" max="5655" width="6.85546875" style="84" bestFit="1" customWidth="1"/>
    <col min="5656" max="5656" width="12.85546875" style="84" bestFit="1" customWidth="1"/>
    <col min="5657" max="5657" width="40.42578125" style="84" bestFit="1" customWidth="1"/>
    <col min="5658" max="5658" width="2.42578125" style="84" customWidth="1"/>
    <col min="5659" max="5659" width="13.5703125" style="84" customWidth="1"/>
    <col min="5660" max="5660" width="2.42578125" style="84" customWidth="1"/>
    <col min="5661" max="5661" width="13.5703125" style="84" customWidth="1"/>
    <col min="5662" max="5662" width="2.42578125" style="84" customWidth="1"/>
    <col min="5663" max="5663" width="13.5703125" style="84" customWidth="1"/>
    <col min="5664" max="5664" width="2.42578125" style="84" customWidth="1"/>
    <col min="5665" max="5665" width="13.5703125" style="84" customWidth="1"/>
    <col min="5666" max="5666" width="2.42578125" style="84" customWidth="1"/>
    <col min="5667" max="5667" width="13.5703125" style="84" customWidth="1"/>
    <col min="5668" max="5668" width="2.42578125" style="84" customWidth="1"/>
    <col min="5669" max="5669" width="13.5703125" style="84" customWidth="1"/>
    <col min="5670" max="5670" width="2.42578125" style="84" customWidth="1"/>
    <col min="5671" max="5671" width="13.5703125" style="84" customWidth="1"/>
    <col min="5672" max="5672" width="2.42578125" style="84" customWidth="1"/>
    <col min="5673" max="5673" width="13.5703125" style="84" customWidth="1"/>
    <col min="5674" max="5674" width="3.42578125" style="84" customWidth="1"/>
    <col min="5675" max="5888" width="9.140625" style="84"/>
    <col min="5889" max="5889" width="3.5703125" style="84" customWidth="1"/>
    <col min="5890" max="5890" width="6.85546875" style="84" bestFit="1" customWidth="1"/>
    <col min="5891" max="5891" width="12" style="84" bestFit="1" customWidth="1"/>
    <col min="5892" max="5892" width="40.42578125" style="84" bestFit="1" customWidth="1"/>
    <col min="5893" max="5893" width="2.42578125" style="84" customWidth="1"/>
    <col min="5894" max="5894" width="13.5703125" style="84" customWidth="1"/>
    <col min="5895" max="5895" width="2.42578125" style="84" customWidth="1"/>
    <col min="5896" max="5896" width="13.5703125" style="84" customWidth="1"/>
    <col min="5897" max="5897" width="2.42578125" style="84" customWidth="1"/>
    <col min="5898" max="5898" width="13.5703125" style="84" customWidth="1"/>
    <col min="5899" max="5899" width="2.42578125" style="84" customWidth="1"/>
    <col min="5900" max="5900" width="13.5703125" style="84" customWidth="1"/>
    <col min="5901" max="5901" width="2.42578125" style="84" customWidth="1"/>
    <col min="5902" max="5902" width="13.5703125" style="84" customWidth="1"/>
    <col min="5903" max="5903" width="2.42578125" style="84" customWidth="1"/>
    <col min="5904" max="5904" width="13.5703125" style="84" customWidth="1"/>
    <col min="5905" max="5905" width="2.42578125" style="84" customWidth="1"/>
    <col min="5906" max="5906" width="13.5703125" style="84" customWidth="1"/>
    <col min="5907" max="5907" width="2.42578125" style="84" customWidth="1"/>
    <col min="5908" max="5908" width="13.5703125" style="84" customWidth="1"/>
    <col min="5909" max="5909" width="4" style="84" customWidth="1"/>
    <col min="5910" max="5910" width="3.5703125" style="84" customWidth="1"/>
    <col min="5911" max="5911" width="6.85546875" style="84" bestFit="1" customWidth="1"/>
    <col min="5912" max="5912" width="12.85546875" style="84" bestFit="1" customWidth="1"/>
    <col min="5913" max="5913" width="40.42578125" style="84" bestFit="1" customWidth="1"/>
    <col min="5914" max="5914" width="2.42578125" style="84" customWidth="1"/>
    <col min="5915" max="5915" width="13.5703125" style="84" customWidth="1"/>
    <col min="5916" max="5916" width="2.42578125" style="84" customWidth="1"/>
    <col min="5917" max="5917" width="13.5703125" style="84" customWidth="1"/>
    <col min="5918" max="5918" width="2.42578125" style="84" customWidth="1"/>
    <col min="5919" max="5919" width="13.5703125" style="84" customWidth="1"/>
    <col min="5920" max="5920" width="2.42578125" style="84" customWidth="1"/>
    <col min="5921" max="5921" width="13.5703125" style="84" customWidth="1"/>
    <col min="5922" max="5922" width="2.42578125" style="84" customWidth="1"/>
    <col min="5923" max="5923" width="13.5703125" style="84" customWidth="1"/>
    <col min="5924" max="5924" width="2.42578125" style="84" customWidth="1"/>
    <col min="5925" max="5925" width="13.5703125" style="84" customWidth="1"/>
    <col min="5926" max="5926" width="2.42578125" style="84" customWidth="1"/>
    <col min="5927" max="5927" width="13.5703125" style="84" customWidth="1"/>
    <col min="5928" max="5928" width="2.42578125" style="84" customWidth="1"/>
    <col min="5929" max="5929" width="13.5703125" style="84" customWidth="1"/>
    <col min="5930" max="5930" width="3.42578125" style="84" customWidth="1"/>
    <col min="5931" max="6144" width="9.140625" style="84"/>
    <col min="6145" max="6145" width="3.5703125" style="84" customWidth="1"/>
    <col min="6146" max="6146" width="6.85546875" style="84" bestFit="1" customWidth="1"/>
    <col min="6147" max="6147" width="12" style="84" bestFit="1" customWidth="1"/>
    <col min="6148" max="6148" width="40.42578125" style="84" bestFit="1" customWidth="1"/>
    <col min="6149" max="6149" width="2.42578125" style="84" customWidth="1"/>
    <col min="6150" max="6150" width="13.5703125" style="84" customWidth="1"/>
    <col min="6151" max="6151" width="2.42578125" style="84" customWidth="1"/>
    <col min="6152" max="6152" width="13.5703125" style="84" customWidth="1"/>
    <col min="6153" max="6153" width="2.42578125" style="84" customWidth="1"/>
    <col min="6154" max="6154" width="13.5703125" style="84" customWidth="1"/>
    <col min="6155" max="6155" width="2.42578125" style="84" customWidth="1"/>
    <col min="6156" max="6156" width="13.5703125" style="84" customWidth="1"/>
    <col min="6157" max="6157" width="2.42578125" style="84" customWidth="1"/>
    <col min="6158" max="6158" width="13.5703125" style="84" customWidth="1"/>
    <col min="6159" max="6159" width="2.42578125" style="84" customWidth="1"/>
    <col min="6160" max="6160" width="13.5703125" style="84" customWidth="1"/>
    <col min="6161" max="6161" width="2.42578125" style="84" customWidth="1"/>
    <col min="6162" max="6162" width="13.5703125" style="84" customWidth="1"/>
    <col min="6163" max="6163" width="2.42578125" style="84" customWidth="1"/>
    <col min="6164" max="6164" width="13.5703125" style="84" customWidth="1"/>
    <col min="6165" max="6165" width="4" style="84" customWidth="1"/>
    <col min="6166" max="6166" width="3.5703125" style="84" customWidth="1"/>
    <col min="6167" max="6167" width="6.85546875" style="84" bestFit="1" customWidth="1"/>
    <col min="6168" max="6168" width="12.85546875" style="84" bestFit="1" customWidth="1"/>
    <col min="6169" max="6169" width="40.42578125" style="84" bestFit="1" customWidth="1"/>
    <col min="6170" max="6170" width="2.42578125" style="84" customWidth="1"/>
    <col min="6171" max="6171" width="13.5703125" style="84" customWidth="1"/>
    <col min="6172" max="6172" width="2.42578125" style="84" customWidth="1"/>
    <col min="6173" max="6173" width="13.5703125" style="84" customWidth="1"/>
    <col min="6174" max="6174" width="2.42578125" style="84" customWidth="1"/>
    <col min="6175" max="6175" width="13.5703125" style="84" customWidth="1"/>
    <col min="6176" max="6176" width="2.42578125" style="84" customWidth="1"/>
    <col min="6177" max="6177" width="13.5703125" style="84" customWidth="1"/>
    <col min="6178" max="6178" width="2.42578125" style="84" customWidth="1"/>
    <col min="6179" max="6179" width="13.5703125" style="84" customWidth="1"/>
    <col min="6180" max="6180" width="2.42578125" style="84" customWidth="1"/>
    <col min="6181" max="6181" width="13.5703125" style="84" customWidth="1"/>
    <col min="6182" max="6182" width="2.42578125" style="84" customWidth="1"/>
    <col min="6183" max="6183" width="13.5703125" style="84" customWidth="1"/>
    <col min="6184" max="6184" width="2.42578125" style="84" customWidth="1"/>
    <col min="6185" max="6185" width="13.5703125" style="84" customWidth="1"/>
    <col min="6186" max="6186" width="3.42578125" style="84" customWidth="1"/>
    <col min="6187" max="6400" width="9.140625" style="84"/>
    <col min="6401" max="6401" width="3.5703125" style="84" customWidth="1"/>
    <col min="6402" max="6402" width="6.85546875" style="84" bestFit="1" customWidth="1"/>
    <col min="6403" max="6403" width="12" style="84" bestFit="1" customWidth="1"/>
    <col min="6404" max="6404" width="40.42578125" style="84" bestFit="1" customWidth="1"/>
    <col min="6405" max="6405" width="2.42578125" style="84" customWidth="1"/>
    <col min="6406" max="6406" width="13.5703125" style="84" customWidth="1"/>
    <col min="6407" max="6407" width="2.42578125" style="84" customWidth="1"/>
    <col min="6408" max="6408" width="13.5703125" style="84" customWidth="1"/>
    <col min="6409" max="6409" width="2.42578125" style="84" customWidth="1"/>
    <col min="6410" max="6410" width="13.5703125" style="84" customWidth="1"/>
    <col min="6411" max="6411" width="2.42578125" style="84" customWidth="1"/>
    <col min="6412" max="6412" width="13.5703125" style="84" customWidth="1"/>
    <col min="6413" max="6413" width="2.42578125" style="84" customWidth="1"/>
    <col min="6414" max="6414" width="13.5703125" style="84" customWidth="1"/>
    <col min="6415" max="6415" width="2.42578125" style="84" customWidth="1"/>
    <col min="6416" max="6416" width="13.5703125" style="84" customWidth="1"/>
    <col min="6417" max="6417" width="2.42578125" style="84" customWidth="1"/>
    <col min="6418" max="6418" width="13.5703125" style="84" customWidth="1"/>
    <col min="6419" max="6419" width="2.42578125" style="84" customWidth="1"/>
    <col min="6420" max="6420" width="13.5703125" style="84" customWidth="1"/>
    <col min="6421" max="6421" width="4" style="84" customWidth="1"/>
    <col min="6422" max="6422" width="3.5703125" style="84" customWidth="1"/>
    <col min="6423" max="6423" width="6.85546875" style="84" bestFit="1" customWidth="1"/>
    <col min="6424" max="6424" width="12.85546875" style="84" bestFit="1" customWidth="1"/>
    <col min="6425" max="6425" width="40.42578125" style="84" bestFit="1" customWidth="1"/>
    <col min="6426" max="6426" width="2.42578125" style="84" customWidth="1"/>
    <col min="6427" max="6427" width="13.5703125" style="84" customWidth="1"/>
    <col min="6428" max="6428" width="2.42578125" style="84" customWidth="1"/>
    <col min="6429" max="6429" width="13.5703125" style="84" customWidth="1"/>
    <col min="6430" max="6430" width="2.42578125" style="84" customWidth="1"/>
    <col min="6431" max="6431" width="13.5703125" style="84" customWidth="1"/>
    <col min="6432" max="6432" width="2.42578125" style="84" customWidth="1"/>
    <col min="6433" max="6433" width="13.5703125" style="84" customWidth="1"/>
    <col min="6434" max="6434" width="2.42578125" style="84" customWidth="1"/>
    <col min="6435" max="6435" width="13.5703125" style="84" customWidth="1"/>
    <col min="6436" max="6436" width="2.42578125" style="84" customWidth="1"/>
    <col min="6437" max="6437" width="13.5703125" style="84" customWidth="1"/>
    <col min="6438" max="6438" width="2.42578125" style="84" customWidth="1"/>
    <col min="6439" max="6439" width="13.5703125" style="84" customWidth="1"/>
    <col min="6440" max="6440" width="2.42578125" style="84" customWidth="1"/>
    <col min="6441" max="6441" width="13.5703125" style="84" customWidth="1"/>
    <col min="6442" max="6442" width="3.42578125" style="84" customWidth="1"/>
    <col min="6443" max="6656" width="9.140625" style="84"/>
    <col min="6657" max="6657" width="3.5703125" style="84" customWidth="1"/>
    <col min="6658" max="6658" width="6.85546875" style="84" bestFit="1" customWidth="1"/>
    <col min="6659" max="6659" width="12" style="84" bestFit="1" customWidth="1"/>
    <col min="6660" max="6660" width="40.42578125" style="84" bestFit="1" customWidth="1"/>
    <col min="6661" max="6661" width="2.42578125" style="84" customWidth="1"/>
    <col min="6662" max="6662" width="13.5703125" style="84" customWidth="1"/>
    <col min="6663" max="6663" width="2.42578125" style="84" customWidth="1"/>
    <col min="6664" max="6664" width="13.5703125" style="84" customWidth="1"/>
    <col min="6665" max="6665" width="2.42578125" style="84" customWidth="1"/>
    <col min="6666" max="6666" width="13.5703125" style="84" customWidth="1"/>
    <col min="6667" max="6667" width="2.42578125" style="84" customWidth="1"/>
    <col min="6668" max="6668" width="13.5703125" style="84" customWidth="1"/>
    <col min="6669" max="6669" width="2.42578125" style="84" customWidth="1"/>
    <col min="6670" max="6670" width="13.5703125" style="84" customWidth="1"/>
    <col min="6671" max="6671" width="2.42578125" style="84" customWidth="1"/>
    <col min="6672" max="6672" width="13.5703125" style="84" customWidth="1"/>
    <col min="6673" max="6673" width="2.42578125" style="84" customWidth="1"/>
    <col min="6674" max="6674" width="13.5703125" style="84" customWidth="1"/>
    <col min="6675" max="6675" width="2.42578125" style="84" customWidth="1"/>
    <col min="6676" max="6676" width="13.5703125" style="84" customWidth="1"/>
    <col min="6677" max="6677" width="4" style="84" customWidth="1"/>
    <col min="6678" max="6678" width="3.5703125" style="84" customWidth="1"/>
    <col min="6679" max="6679" width="6.85546875" style="84" bestFit="1" customWidth="1"/>
    <col min="6680" max="6680" width="12.85546875" style="84" bestFit="1" customWidth="1"/>
    <col min="6681" max="6681" width="40.42578125" style="84" bestFit="1" customWidth="1"/>
    <col min="6682" max="6682" width="2.42578125" style="84" customWidth="1"/>
    <col min="6683" max="6683" width="13.5703125" style="84" customWidth="1"/>
    <col min="6684" max="6684" width="2.42578125" style="84" customWidth="1"/>
    <col min="6685" max="6685" width="13.5703125" style="84" customWidth="1"/>
    <col min="6686" max="6686" width="2.42578125" style="84" customWidth="1"/>
    <col min="6687" max="6687" width="13.5703125" style="84" customWidth="1"/>
    <col min="6688" max="6688" width="2.42578125" style="84" customWidth="1"/>
    <col min="6689" max="6689" width="13.5703125" style="84" customWidth="1"/>
    <col min="6690" max="6690" width="2.42578125" style="84" customWidth="1"/>
    <col min="6691" max="6691" width="13.5703125" style="84" customWidth="1"/>
    <col min="6692" max="6692" width="2.42578125" style="84" customWidth="1"/>
    <col min="6693" max="6693" width="13.5703125" style="84" customWidth="1"/>
    <col min="6694" max="6694" width="2.42578125" style="84" customWidth="1"/>
    <col min="6695" max="6695" width="13.5703125" style="84" customWidth="1"/>
    <col min="6696" max="6696" width="2.42578125" style="84" customWidth="1"/>
    <col min="6697" max="6697" width="13.5703125" style="84" customWidth="1"/>
    <col min="6698" max="6698" width="3.42578125" style="84" customWidth="1"/>
    <col min="6699" max="6912" width="9.140625" style="84"/>
    <col min="6913" max="6913" width="3.5703125" style="84" customWidth="1"/>
    <col min="6914" max="6914" width="6.85546875" style="84" bestFit="1" customWidth="1"/>
    <col min="6915" max="6915" width="12" style="84" bestFit="1" customWidth="1"/>
    <col min="6916" max="6916" width="40.42578125" style="84" bestFit="1" customWidth="1"/>
    <col min="6917" max="6917" width="2.42578125" style="84" customWidth="1"/>
    <col min="6918" max="6918" width="13.5703125" style="84" customWidth="1"/>
    <col min="6919" max="6919" width="2.42578125" style="84" customWidth="1"/>
    <col min="6920" max="6920" width="13.5703125" style="84" customWidth="1"/>
    <col min="6921" max="6921" width="2.42578125" style="84" customWidth="1"/>
    <col min="6922" max="6922" width="13.5703125" style="84" customWidth="1"/>
    <col min="6923" max="6923" width="2.42578125" style="84" customWidth="1"/>
    <col min="6924" max="6924" width="13.5703125" style="84" customWidth="1"/>
    <col min="6925" max="6925" width="2.42578125" style="84" customWidth="1"/>
    <col min="6926" max="6926" width="13.5703125" style="84" customWidth="1"/>
    <col min="6927" max="6927" width="2.42578125" style="84" customWidth="1"/>
    <col min="6928" max="6928" width="13.5703125" style="84" customWidth="1"/>
    <col min="6929" max="6929" width="2.42578125" style="84" customWidth="1"/>
    <col min="6930" max="6930" width="13.5703125" style="84" customWidth="1"/>
    <col min="6931" max="6931" width="2.42578125" style="84" customWidth="1"/>
    <col min="6932" max="6932" width="13.5703125" style="84" customWidth="1"/>
    <col min="6933" max="6933" width="4" style="84" customWidth="1"/>
    <col min="6934" max="6934" width="3.5703125" style="84" customWidth="1"/>
    <col min="6935" max="6935" width="6.85546875" style="84" bestFit="1" customWidth="1"/>
    <col min="6936" max="6936" width="12.85546875" style="84" bestFit="1" customWidth="1"/>
    <col min="6937" max="6937" width="40.42578125" style="84" bestFit="1" customWidth="1"/>
    <col min="6938" max="6938" width="2.42578125" style="84" customWidth="1"/>
    <col min="6939" max="6939" width="13.5703125" style="84" customWidth="1"/>
    <col min="6940" max="6940" width="2.42578125" style="84" customWidth="1"/>
    <col min="6941" max="6941" width="13.5703125" style="84" customWidth="1"/>
    <col min="6942" max="6942" width="2.42578125" style="84" customWidth="1"/>
    <col min="6943" max="6943" width="13.5703125" style="84" customWidth="1"/>
    <col min="6944" max="6944" width="2.42578125" style="84" customWidth="1"/>
    <col min="6945" max="6945" width="13.5703125" style="84" customWidth="1"/>
    <col min="6946" max="6946" width="2.42578125" style="84" customWidth="1"/>
    <col min="6947" max="6947" width="13.5703125" style="84" customWidth="1"/>
    <col min="6948" max="6948" width="2.42578125" style="84" customWidth="1"/>
    <col min="6949" max="6949" width="13.5703125" style="84" customWidth="1"/>
    <col min="6950" max="6950" width="2.42578125" style="84" customWidth="1"/>
    <col min="6951" max="6951" width="13.5703125" style="84" customWidth="1"/>
    <col min="6952" max="6952" width="2.42578125" style="84" customWidth="1"/>
    <col min="6953" max="6953" width="13.5703125" style="84" customWidth="1"/>
    <col min="6954" max="6954" width="3.42578125" style="84" customWidth="1"/>
    <col min="6955" max="7168" width="9.140625" style="84"/>
    <col min="7169" max="7169" width="3.5703125" style="84" customWidth="1"/>
    <col min="7170" max="7170" width="6.85546875" style="84" bestFit="1" customWidth="1"/>
    <col min="7171" max="7171" width="12" style="84" bestFit="1" customWidth="1"/>
    <col min="7172" max="7172" width="40.42578125" style="84" bestFit="1" customWidth="1"/>
    <col min="7173" max="7173" width="2.42578125" style="84" customWidth="1"/>
    <col min="7174" max="7174" width="13.5703125" style="84" customWidth="1"/>
    <col min="7175" max="7175" width="2.42578125" style="84" customWidth="1"/>
    <col min="7176" max="7176" width="13.5703125" style="84" customWidth="1"/>
    <col min="7177" max="7177" width="2.42578125" style="84" customWidth="1"/>
    <col min="7178" max="7178" width="13.5703125" style="84" customWidth="1"/>
    <col min="7179" max="7179" width="2.42578125" style="84" customWidth="1"/>
    <col min="7180" max="7180" width="13.5703125" style="84" customWidth="1"/>
    <col min="7181" max="7181" width="2.42578125" style="84" customWidth="1"/>
    <col min="7182" max="7182" width="13.5703125" style="84" customWidth="1"/>
    <col min="7183" max="7183" width="2.42578125" style="84" customWidth="1"/>
    <col min="7184" max="7184" width="13.5703125" style="84" customWidth="1"/>
    <col min="7185" max="7185" width="2.42578125" style="84" customWidth="1"/>
    <col min="7186" max="7186" width="13.5703125" style="84" customWidth="1"/>
    <col min="7187" max="7187" width="2.42578125" style="84" customWidth="1"/>
    <col min="7188" max="7188" width="13.5703125" style="84" customWidth="1"/>
    <col min="7189" max="7189" width="4" style="84" customWidth="1"/>
    <col min="7190" max="7190" width="3.5703125" style="84" customWidth="1"/>
    <col min="7191" max="7191" width="6.85546875" style="84" bestFit="1" customWidth="1"/>
    <col min="7192" max="7192" width="12.85546875" style="84" bestFit="1" customWidth="1"/>
    <col min="7193" max="7193" width="40.42578125" style="84" bestFit="1" customWidth="1"/>
    <col min="7194" max="7194" width="2.42578125" style="84" customWidth="1"/>
    <col min="7195" max="7195" width="13.5703125" style="84" customWidth="1"/>
    <col min="7196" max="7196" width="2.42578125" style="84" customWidth="1"/>
    <col min="7197" max="7197" width="13.5703125" style="84" customWidth="1"/>
    <col min="7198" max="7198" width="2.42578125" style="84" customWidth="1"/>
    <col min="7199" max="7199" width="13.5703125" style="84" customWidth="1"/>
    <col min="7200" max="7200" width="2.42578125" style="84" customWidth="1"/>
    <col min="7201" max="7201" width="13.5703125" style="84" customWidth="1"/>
    <col min="7202" max="7202" width="2.42578125" style="84" customWidth="1"/>
    <col min="7203" max="7203" width="13.5703125" style="84" customWidth="1"/>
    <col min="7204" max="7204" width="2.42578125" style="84" customWidth="1"/>
    <col min="7205" max="7205" width="13.5703125" style="84" customWidth="1"/>
    <col min="7206" max="7206" width="2.42578125" style="84" customWidth="1"/>
    <col min="7207" max="7207" width="13.5703125" style="84" customWidth="1"/>
    <col min="7208" max="7208" width="2.42578125" style="84" customWidth="1"/>
    <col min="7209" max="7209" width="13.5703125" style="84" customWidth="1"/>
    <col min="7210" max="7210" width="3.42578125" style="84" customWidth="1"/>
    <col min="7211" max="7424" width="9.140625" style="84"/>
    <col min="7425" max="7425" width="3.5703125" style="84" customWidth="1"/>
    <col min="7426" max="7426" width="6.85546875" style="84" bestFit="1" customWidth="1"/>
    <col min="7427" max="7427" width="12" style="84" bestFit="1" customWidth="1"/>
    <col min="7428" max="7428" width="40.42578125" style="84" bestFit="1" customWidth="1"/>
    <col min="7429" max="7429" width="2.42578125" style="84" customWidth="1"/>
    <col min="7430" max="7430" width="13.5703125" style="84" customWidth="1"/>
    <col min="7431" max="7431" width="2.42578125" style="84" customWidth="1"/>
    <col min="7432" max="7432" width="13.5703125" style="84" customWidth="1"/>
    <col min="7433" max="7433" width="2.42578125" style="84" customWidth="1"/>
    <col min="7434" max="7434" width="13.5703125" style="84" customWidth="1"/>
    <col min="7435" max="7435" width="2.42578125" style="84" customWidth="1"/>
    <col min="7436" max="7436" width="13.5703125" style="84" customWidth="1"/>
    <col min="7437" max="7437" width="2.42578125" style="84" customWidth="1"/>
    <col min="7438" max="7438" width="13.5703125" style="84" customWidth="1"/>
    <col min="7439" max="7439" width="2.42578125" style="84" customWidth="1"/>
    <col min="7440" max="7440" width="13.5703125" style="84" customWidth="1"/>
    <col min="7441" max="7441" width="2.42578125" style="84" customWidth="1"/>
    <col min="7442" max="7442" width="13.5703125" style="84" customWidth="1"/>
    <col min="7443" max="7443" width="2.42578125" style="84" customWidth="1"/>
    <col min="7444" max="7444" width="13.5703125" style="84" customWidth="1"/>
    <col min="7445" max="7445" width="4" style="84" customWidth="1"/>
    <col min="7446" max="7446" width="3.5703125" style="84" customWidth="1"/>
    <col min="7447" max="7447" width="6.85546875" style="84" bestFit="1" customWidth="1"/>
    <col min="7448" max="7448" width="12.85546875" style="84" bestFit="1" customWidth="1"/>
    <col min="7449" max="7449" width="40.42578125" style="84" bestFit="1" customWidth="1"/>
    <col min="7450" max="7450" width="2.42578125" style="84" customWidth="1"/>
    <col min="7451" max="7451" width="13.5703125" style="84" customWidth="1"/>
    <col min="7452" max="7452" width="2.42578125" style="84" customWidth="1"/>
    <col min="7453" max="7453" width="13.5703125" style="84" customWidth="1"/>
    <col min="7454" max="7454" width="2.42578125" style="84" customWidth="1"/>
    <col min="7455" max="7455" width="13.5703125" style="84" customWidth="1"/>
    <col min="7456" max="7456" width="2.42578125" style="84" customWidth="1"/>
    <col min="7457" max="7457" width="13.5703125" style="84" customWidth="1"/>
    <col min="7458" max="7458" width="2.42578125" style="84" customWidth="1"/>
    <col min="7459" max="7459" width="13.5703125" style="84" customWidth="1"/>
    <col min="7460" max="7460" width="2.42578125" style="84" customWidth="1"/>
    <col min="7461" max="7461" width="13.5703125" style="84" customWidth="1"/>
    <col min="7462" max="7462" width="2.42578125" style="84" customWidth="1"/>
    <col min="7463" max="7463" width="13.5703125" style="84" customWidth="1"/>
    <col min="7464" max="7464" width="2.42578125" style="84" customWidth="1"/>
    <col min="7465" max="7465" width="13.5703125" style="84" customWidth="1"/>
    <col min="7466" max="7466" width="3.42578125" style="84" customWidth="1"/>
    <col min="7467" max="7680" width="9.140625" style="84"/>
    <col min="7681" max="7681" width="3.5703125" style="84" customWidth="1"/>
    <col min="7682" max="7682" width="6.85546875" style="84" bestFit="1" customWidth="1"/>
    <col min="7683" max="7683" width="12" style="84" bestFit="1" customWidth="1"/>
    <col min="7684" max="7684" width="40.42578125" style="84" bestFit="1" customWidth="1"/>
    <col min="7685" max="7685" width="2.42578125" style="84" customWidth="1"/>
    <col min="7686" max="7686" width="13.5703125" style="84" customWidth="1"/>
    <col min="7687" max="7687" width="2.42578125" style="84" customWidth="1"/>
    <col min="7688" max="7688" width="13.5703125" style="84" customWidth="1"/>
    <col min="7689" max="7689" width="2.42578125" style="84" customWidth="1"/>
    <col min="7690" max="7690" width="13.5703125" style="84" customWidth="1"/>
    <col min="7691" max="7691" width="2.42578125" style="84" customWidth="1"/>
    <col min="7692" max="7692" width="13.5703125" style="84" customWidth="1"/>
    <col min="7693" max="7693" width="2.42578125" style="84" customWidth="1"/>
    <col min="7694" max="7694" width="13.5703125" style="84" customWidth="1"/>
    <col min="7695" max="7695" width="2.42578125" style="84" customWidth="1"/>
    <col min="7696" max="7696" width="13.5703125" style="84" customWidth="1"/>
    <col min="7697" max="7697" width="2.42578125" style="84" customWidth="1"/>
    <col min="7698" max="7698" width="13.5703125" style="84" customWidth="1"/>
    <col min="7699" max="7699" width="2.42578125" style="84" customWidth="1"/>
    <col min="7700" max="7700" width="13.5703125" style="84" customWidth="1"/>
    <col min="7701" max="7701" width="4" style="84" customWidth="1"/>
    <col min="7702" max="7702" width="3.5703125" style="84" customWidth="1"/>
    <col min="7703" max="7703" width="6.85546875" style="84" bestFit="1" customWidth="1"/>
    <col min="7704" max="7704" width="12.85546875" style="84" bestFit="1" customWidth="1"/>
    <col min="7705" max="7705" width="40.42578125" style="84" bestFit="1" customWidth="1"/>
    <col min="7706" max="7706" width="2.42578125" style="84" customWidth="1"/>
    <col min="7707" max="7707" width="13.5703125" style="84" customWidth="1"/>
    <col min="7708" max="7708" width="2.42578125" style="84" customWidth="1"/>
    <col min="7709" max="7709" width="13.5703125" style="84" customWidth="1"/>
    <col min="7710" max="7710" width="2.42578125" style="84" customWidth="1"/>
    <col min="7711" max="7711" width="13.5703125" style="84" customWidth="1"/>
    <col min="7712" max="7712" width="2.42578125" style="84" customWidth="1"/>
    <col min="7713" max="7713" width="13.5703125" style="84" customWidth="1"/>
    <col min="7714" max="7714" width="2.42578125" style="84" customWidth="1"/>
    <col min="7715" max="7715" width="13.5703125" style="84" customWidth="1"/>
    <col min="7716" max="7716" width="2.42578125" style="84" customWidth="1"/>
    <col min="7717" max="7717" width="13.5703125" style="84" customWidth="1"/>
    <col min="7718" max="7718" width="2.42578125" style="84" customWidth="1"/>
    <col min="7719" max="7719" width="13.5703125" style="84" customWidth="1"/>
    <col min="7720" max="7720" width="2.42578125" style="84" customWidth="1"/>
    <col min="7721" max="7721" width="13.5703125" style="84" customWidth="1"/>
    <col min="7722" max="7722" width="3.42578125" style="84" customWidth="1"/>
    <col min="7723" max="7936" width="9.140625" style="84"/>
    <col min="7937" max="7937" width="3.5703125" style="84" customWidth="1"/>
    <col min="7938" max="7938" width="6.85546875" style="84" bestFit="1" customWidth="1"/>
    <col min="7939" max="7939" width="12" style="84" bestFit="1" customWidth="1"/>
    <col min="7940" max="7940" width="40.42578125" style="84" bestFit="1" customWidth="1"/>
    <col min="7941" max="7941" width="2.42578125" style="84" customWidth="1"/>
    <col min="7942" max="7942" width="13.5703125" style="84" customWidth="1"/>
    <col min="7943" max="7943" width="2.42578125" style="84" customWidth="1"/>
    <col min="7944" max="7944" width="13.5703125" style="84" customWidth="1"/>
    <col min="7945" max="7945" width="2.42578125" style="84" customWidth="1"/>
    <col min="7946" max="7946" width="13.5703125" style="84" customWidth="1"/>
    <col min="7947" max="7947" width="2.42578125" style="84" customWidth="1"/>
    <col min="7948" max="7948" width="13.5703125" style="84" customWidth="1"/>
    <col min="7949" max="7949" width="2.42578125" style="84" customWidth="1"/>
    <col min="7950" max="7950" width="13.5703125" style="84" customWidth="1"/>
    <col min="7951" max="7951" width="2.42578125" style="84" customWidth="1"/>
    <col min="7952" max="7952" width="13.5703125" style="84" customWidth="1"/>
    <col min="7953" max="7953" width="2.42578125" style="84" customWidth="1"/>
    <col min="7954" max="7954" width="13.5703125" style="84" customWidth="1"/>
    <col min="7955" max="7955" width="2.42578125" style="84" customWidth="1"/>
    <col min="7956" max="7956" width="13.5703125" style="84" customWidth="1"/>
    <col min="7957" max="7957" width="4" style="84" customWidth="1"/>
    <col min="7958" max="7958" width="3.5703125" style="84" customWidth="1"/>
    <col min="7959" max="7959" width="6.85546875" style="84" bestFit="1" customWidth="1"/>
    <col min="7960" max="7960" width="12.85546875" style="84" bestFit="1" customWidth="1"/>
    <col min="7961" max="7961" width="40.42578125" style="84" bestFit="1" customWidth="1"/>
    <col min="7962" max="7962" width="2.42578125" style="84" customWidth="1"/>
    <col min="7963" max="7963" width="13.5703125" style="84" customWidth="1"/>
    <col min="7964" max="7964" width="2.42578125" style="84" customWidth="1"/>
    <col min="7965" max="7965" width="13.5703125" style="84" customWidth="1"/>
    <col min="7966" max="7966" width="2.42578125" style="84" customWidth="1"/>
    <col min="7967" max="7967" width="13.5703125" style="84" customWidth="1"/>
    <col min="7968" max="7968" width="2.42578125" style="84" customWidth="1"/>
    <col min="7969" max="7969" width="13.5703125" style="84" customWidth="1"/>
    <col min="7970" max="7970" width="2.42578125" style="84" customWidth="1"/>
    <col min="7971" max="7971" width="13.5703125" style="84" customWidth="1"/>
    <col min="7972" max="7972" width="2.42578125" style="84" customWidth="1"/>
    <col min="7973" max="7973" width="13.5703125" style="84" customWidth="1"/>
    <col min="7974" max="7974" width="2.42578125" style="84" customWidth="1"/>
    <col min="7975" max="7975" width="13.5703125" style="84" customWidth="1"/>
    <col min="7976" max="7976" width="2.42578125" style="84" customWidth="1"/>
    <col min="7977" max="7977" width="13.5703125" style="84" customWidth="1"/>
    <col min="7978" max="7978" width="3.42578125" style="84" customWidth="1"/>
    <col min="7979" max="8192" width="9.140625" style="84"/>
    <col min="8193" max="8193" width="3.5703125" style="84" customWidth="1"/>
    <col min="8194" max="8194" width="6.85546875" style="84" bestFit="1" customWidth="1"/>
    <col min="8195" max="8195" width="12" style="84" bestFit="1" customWidth="1"/>
    <col min="8196" max="8196" width="40.42578125" style="84" bestFit="1" customWidth="1"/>
    <col min="8197" max="8197" width="2.42578125" style="84" customWidth="1"/>
    <col min="8198" max="8198" width="13.5703125" style="84" customWidth="1"/>
    <col min="8199" max="8199" width="2.42578125" style="84" customWidth="1"/>
    <col min="8200" max="8200" width="13.5703125" style="84" customWidth="1"/>
    <col min="8201" max="8201" width="2.42578125" style="84" customWidth="1"/>
    <col min="8202" max="8202" width="13.5703125" style="84" customWidth="1"/>
    <col min="8203" max="8203" width="2.42578125" style="84" customWidth="1"/>
    <col min="8204" max="8204" width="13.5703125" style="84" customWidth="1"/>
    <col min="8205" max="8205" width="2.42578125" style="84" customWidth="1"/>
    <col min="8206" max="8206" width="13.5703125" style="84" customWidth="1"/>
    <col min="8207" max="8207" width="2.42578125" style="84" customWidth="1"/>
    <col min="8208" max="8208" width="13.5703125" style="84" customWidth="1"/>
    <col min="8209" max="8209" width="2.42578125" style="84" customWidth="1"/>
    <col min="8210" max="8210" width="13.5703125" style="84" customWidth="1"/>
    <col min="8211" max="8211" width="2.42578125" style="84" customWidth="1"/>
    <col min="8212" max="8212" width="13.5703125" style="84" customWidth="1"/>
    <col min="8213" max="8213" width="4" style="84" customWidth="1"/>
    <col min="8214" max="8214" width="3.5703125" style="84" customWidth="1"/>
    <col min="8215" max="8215" width="6.85546875" style="84" bestFit="1" customWidth="1"/>
    <col min="8216" max="8216" width="12.85546875" style="84" bestFit="1" customWidth="1"/>
    <col min="8217" max="8217" width="40.42578125" style="84" bestFit="1" customWidth="1"/>
    <col min="8218" max="8218" width="2.42578125" style="84" customWidth="1"/>
    <col min="8219" max="8219" width="13.5703125" style="84" customWidth="1"/>
    <col min="8220" max="8220" width="2.42578125" style="84" customWidth="1"/>
    <col min="8221" max="8221" width="13.5703125" style="84" customWidth="1"/>
    <col min="8222" max="8222" width="2.42578125" style="84" customWidth="1"/>
    <col min="8223" max="8223" width="13.5703125" style="84" customWidth="1"/>
    <col min="8224" max="8224" width="2.42578125" style="84" customWidth="1"/>
    <col min="8225" max="8225" width="13.5703125" style="84" customWidth="1"/>
    <col min="8226" max="8226" width="2.42578125" style="84" customWidth="1"/>
    <col min="8227" max="8227" width="13.5703125" style="84" customWidth="1"/>
    <col min="8228" max="8228" width="2.42578125" style="84" customWidth="1"/>
    <col min="8229" max="8229" width="13.5703125" style="84" customWidth="1"/>
    <col min="8230" max="8230" width="2.42578125" style="84" customWidth="1"/>
    <col min="8231" max="8231" width="13.5703125" style="84" customWidth="1"/>
    <col min="8232" max="8232" width="2.42578125" style="84" customWidth="1"/>
    <col min="8233" max="8233" width="13.5703125" style="84" customWidth="1"/>
    <col min="8234" max="8234" width="3.42578125" style="84" customWidth="1"/>
    <col min="8235" max="8448" width="9.140625" style="84"/>
    <col min="8449" max="8449" width="3.5703125" style="84" customWidth="1"/>
    <col min="8450" max="8450" width="6.85546875" style="84" bestFit="1" customWidth="1"/>
    <col min="8451" max="8451" width="12" style="84" bestFit="1" customWidth="1"/>
    <col min="8452" max="8452" width="40.42578125" style="84" bestFit="1" customWidth="1"/>
    <col min="8453" max="8453" width="2.42578125" style="84" customWidth="1"/>
    <col min="8454" max="8454" width="13.5703125" style="84" customWidth="1"/>
    <col min="8455" max="8455" width="2.42578125" style="84" customWidth="1"/>
    <col min="8456" max="8456" width="13.5703125" style="84" customWidth="1"/>
    <col min="8457" max="8457" width="2.42578125" style="84" customWidth="1"/>
    <col min="8458" max="8458" width="13.5703125" style="84" customWidth="1"/>
    <col min="8459" max="8459" width="2.42578125" style="84" customWidth="1"/>
    <col min="8460" max="8460" width="13.5703125" style="84" customWidth="1"/>
    <col min="8461" max="8461" width="2.42578125" style="84" customWidth="1"/>
    <col min="8462" max="8462" width="13.5703125" style="84" customWidth="1"/>
    <col min="8463" max="8463" width="2.42578125" style="84" customWidth="1"/>
    <col min="8464" max="8464" width="13.5703125" style="84" customWidth="1"/>
    <col min="8465" max="8465" width="2.42578125" style="84" customWidth="1"/>
    <col min="8466" max="8466" width="13.5703125" style="84" customWidth="1"/>
    <col min="8467" max="8467" width="2.42578125" style="84" customWidth="1"/>
    <col min="8468" max="8468" width="13.5703125" style="84" customWidth="1"/>
    <col min="8469" max="8469" width="4" style="84" customWidth="1"/>
    <col min="8470" max="8470" width="3.5703125" style="84" customWidth="1"/>
    <col min="8471" max="8471" width="6.85546875" style="84" bestFit="1" customWidth="1"/>
    <col min="8472" max="8472" width="12.85546875" style="84" bestFit="1" customWidth="1"/>
    <col min="8473" max="8473" width="40.42578125" style="84" bestFit="1" customWidth="1"/>
    <col min="8474" max="8474" width="2.42578125" style="84" customWidth="1"/>
    <col min="8475" max="8475" width="13.5703125" style="84" customWidth="1"/>
    <col min="8476" max="8476" width="2.42578125" style="84" customWidth="1"/>
    <col min="8477" max="8477" width="13.5703125" style="84" customWidth="1"/>
    <col min="8478" max="8478" width="2.42578125" style="84" customWidth="1"/>
    <col min="8479" max="8479" width="13.5703125" style="84" customWidth="1"/>
    <col min="8480" max="8480" width="2.42578125" style="84" customWidth="1"/>
    <col min="8481" max="8481" width="13.5703125" style="84" customWidth="1"/>
    <col min="8482" max="8482" width="2.42578125" style="84" customWidth="1"/>
    <col min="8483" max="8483" width="13.5703125" style="84" customWidth="1"/>
    <col min="8484" max="8484" width="2.42578125" style="84" customWidth="1"/>
    <col min="8485" max="8485" width="13.5703125" style="84" customWidth="1"/>
    <col min="8486" max="8486" width="2.42578125" style="84" customWidth="1"/>
    <col min="8487" max="8487" width="13.5703125" style="84" customWidth="1"/>
    <col min="8488" max="8488" width="2.42578125" style="84" customWidth="1"/>
    <col min="8489" max="8489" width="13.5703125" style="84" customWidth="1"/>
    <col min="8490" max="8490" width="3.42578125" style="84" customWidth="1"/>
    <col min="8491" max="8704" width="9.140625" style="84"/>
    <col min="8705" max="8705" width="3.5703125" style="84" customWidth="1"/>
    <col min="8706" max="8706" width="6.85546875" style="84" bestFit="1" customWidth="1"/>
    <col min="8707" max="8707" width="12" style="84" bestFit="1" customWidth="1"/>
    <col min="8708" max="8708" width="40.42578125" style="84" bestFit="1" customWidth="1"/>
    <col min="8709" max="8709" width="2.42578125" style="84" customWidth="1"/>
    <col min="8710" max="8710" width="13.5703125" style="84" customWidth="1"/>
    <col min="8711" max="8711" width="2.42578125" style="84" customWidth="1"/>
    <col min="8712" max="8712" width="13.5703125" style="84" customWidth="1"/>
    <col min="8713" max="8713" width="2.42578125" style="84" customWidth="1"/>
    <col min="8714" max="8714" width="13.5703125" style="84" customWidth="1"/>
    <col min="8715" max="8715" width="2.42578125" style="84" customWidth="1"/>
    <col min="8716" max="8716" width="13.5703125" style="84" customWidth="1"/>
    <col min="8717" max="8717" width="2.42578125" style="84" customWidth="1"/>
    <col min="8718" max="8718" width="13.5703125" style="84" customWidth="1"/>
    <col min="8719" max="8719" width="2.42578125" style="84" customWidth="1"/>
    <col min="8720" max="8720" width="13.5703125" style="84" customWidth="1"/>
    <col min="8721" max="8721" width="2.42578125" style="84" customWidth="1"/>
    <col min="8722" max="8722" width="13.5703125" style="84" customWidth="1"/>
    <col min="8723" max="8723" width="2.42578125" style="84" customWidth="1"/>
    <col min="8724" max="8724" width="13.5703125" style="84" customWidth="1"/>
    <col min="8725" max="8725" width="4" style="84" customWidth="1"/>
    <col min="8726" max="8726" width="3.5703125" style="84" customWidth="1"/>
    <col min="8727" max="8727" width="6.85546875" style="84" bestFit="1" customWidth="1"/>
    <col min="8728" max="8728" width="12.85546875" style="84" bestFit="1" customWidth="1"/>
    <col min="8729" max="8729" width="40.42578125" style="84" bestFit="1" customWidth="1"/>
    <col min="8730" max="8730" width="2.42578125" style="84" customWidth="1"/>
    <col min="8731" max="8731" width="13.5703125" style="84" customWidth="1"/>
    <col min="8732" max="8732" width="2.42578125" style="84" customWidth="1"/>
    <col min="8733" max="8733" width="13.5703125" style="84" customWidth="1"/>
    <col min="8734" max="8734" width="2.42578125" style="84" customWidth="1"/>
    <col min="8735" max="8735" width="13.5703125" style="84" customWidth="1"/>
    <col min="8736" max="8736" width="2.42578125" style="84" customWidth="1"/>
    <col min="8737" max="8737" width="13.5703125" style="84" customWidth="1"/>
    <col min="8738" max="8738" width="2.42578125" style="84" customWidth="1"/>
    <col min="8739" max="8739" width="13.5703125" style="84" customWidth="1"/>
    <col min="8740" max="8740" width="2.42578125" style="84" customWidth="1"/>
    <col min="8741" max="8741" width="13.5703125" style="84" customWidth="1"/>
    <col min="8742" max="8742" width="2.42578125" style="84" customWidth="1"/>
    <col min="8743" max="8743" width="13.5703125" style="84" customWidth="1"/>
    <col min="8744" max="8744" width="2.42578125" style="84" customWidth="1"/>
    <col min="8745" max="8745" width="13.5703125" style="84" customWidth="1"/>
    <col min="8746" max="8746" width="3.42578125" style="84" customWidth="1"/>
    <col min="8747" max="8960" width="9.140625" style="84"/>
    <col min="8961" max="8961" width="3.5703125" style="84" customWidth="1"/>
    <col min="8962" max="8962" width="6.85546875" style="84" bestFit="1" customWidth="1"/>
    <col min="8963" max="8963" width="12" style="84" bestFit="1" customWidth="1"/>
    <col min="8964" max="8964" width="40.42578125" style="84" bestFit="1" customWidth="1"/>
    <col min="8965" max="8965" width="2.42578125" style="84" customWidth="1"/>
    <col min="8966" max="8966" width="13.5703125" style="84" customWidth="1"/>
    <col min="8967" max="8967" width="2.42578125" style="84" customWidth="1"/>
    <col min="8968" max="8968" width="13.5703125" style="84" customWidth="1"/>
    <col min="8969" max="8969" width="2.42578125" style="84" customWidth="1"/>
    <col min="8970" max="8970" width="13.5703125" style="84" customWidth="1"/>
    <col min="8971" max="8971" width="2.42578125" style="84" customWidth="1"/>
    <col min="8972" max="8972" width="13.5703125" style="84" customWidth="1"/>
    <col min="8973" max="8973" width="2.42578125" style="84" customWidth="1"/>
    <col min="8974" max="8974" width="13.5703125" style="84" customWidth="1"/>
    <col min="8975" max="8975" width="2.42578125" style="84" customWidth="1"/>
    <col min="8976" max="8976" width="13.5703125" style="84" customWidth="1"/>
    <col min="8977" max="8977" width="2.42578125" style="84" customWidth="1"/>
    <col min="8978" max="8978" width="13.5703125" style="84" customWidth="1"/>
    <col min="8979" max="8979" width="2.42578125" style="84" customWidth="1"/>
    <col min="8980" max="8980" width="13.5703125" style="84" customWidth="1"/>
    <col min="8981" max="8981" width="4" style="84" customWidth="1"/>
    <col min="8982" max="8982" width="3.5703125" style="84" customWidth="1"/>
    <col min="8983" max="8983" width="6.85546875" style="84" bestFit="1" customWidth="1"/>
    <col min="8984" max="8984" width="12.85546875" style="84" bestFit="1" customWidth="1"/>
    <col min="8985" max="8985" width="40.42578125" style="84" bestFit="1" customWidth="1"/>
    <col min="8986" max="8986" width="2.42578125" style="84" customWidth="1"/>
    <col min="8987" max="8987" width="13.5703125" style="84" customWidth="1"/>
    <col min="8988" max="8988" width="2.42578125" style="84" customWidth="1"/>
    <col min="8989" max="8989" width="13.5703125" style="84" customWidth="1"/>
    <col min="8990" max="8990" width="2.42578125" style="84" customWidth="1"/>
    <col min="8991" max="8991" width="13.5703125" style="84" customWidth="1"/>
    <col min="8992" max="8992" width="2.42578125" style="84" customWidth="1"/>
    <col min="8993" max="8993" width="13.5703125" style="84" customWidth="1"/>
    <col min="8994" max="8994" width="2.42578125" style="84" customWidth="1"/>
    <col min="8995" max="8995" width="13.5703125" style="84" customWidth="1"/>
    <col min="8996" max="8996" width="2.42578125" style="84" customWidth="1"/>
    <col min="8997" max="8997" width="13.5703125" style="84" customWidth="1"/>
    <col min="8998" max="8998" width="2.42578125" style="84" customWidth="1"/>
    <col min="8999" max="8999" width="13.5703125" style="84" customWidth="1"/>
    <col min="9000" max="9000" width="2.42578125" style="84" customWidth="1"/>
    <col min="9001" max="9001" width="13.5703125" style="84" customWidth="1"/>
    <col min="9002" max="9002" width="3.42578125" style="84" customWidth="1"/>
    <col min="9003" max="9216" width="9.140625" style="84"/>
    <col min="9217" max="9217" width="3.5703125" style="84" customWidth="1"/>
    <col min="9218" max="9218" width="6.85546875" style="84" bestFit="1" customWidth="1"/>
    <col min="9219" max="9219" width="12" style="84" bestFit="1" customWidth="1"/>
    <col min="9220" max="9220" width="40.42578125" style="84" bestFit="1" customWidth="1"/>
    <col min="9221" max="9221" width="2.42578125" style="84" customWidth="1"/>
    <col min="9222" max="9222" width="13.5703125" style="84" customWidth="1"/>
    <col min="9223" max="9223" width="2.42578125" style="84" customWidth="1"/>
    <col min="9224" max="9224" width="13.5703125" style="84" customWidth="1"/>
    <col min="9225" max="9225" width="2.42578125" style="84" customWidth="1"/>
    <col min="9226" max="9226" width="13.5703125" style="84" customWidth="1"/>
    <col min="9227" max="9227" width="2.42578125" style="84" customWidth="1"/>
    <col min="9228" max="9228" width="13.5703125" style="84" customWidth="1"/>
    <col min="9229" max="9229" width="2.42578125" style="84" customWidth="1"/>
    <col min="9230" max="9230" width="13.5703125" style="84" customWidth="1"/>
    <col min="9231" max="9231" width="2.42578125" style="84" customWidth="1"/>
    <col min="9232" max="9232" width="13.5703125" style="84" customWidth="1"/>
    <col min="9233" max="9233" width="2.42578125" style="84" customWidth="1"/>
    <col min="9234" max="9234" width="13.5703125" style="84" customWidth="1"/>
    <col min="9235" max="9235" width="2.42578125" style="84" customWidth="1"/>
    <col min="9236" max="9236" width="13.5703125" style="84" customWidth="1"/>
    <col min="9237" max="9237" width="4" style="84" customWidth="1"/>
    <col min="9238" max="9238" width="3.5703125" style="84" customWidth="1"/>
    <col min="9239" max="9239" width="6.85546875" style="84" bestFit="1" customWidth="1"/>
    <col min="9240" max="9240" width="12.85546875" style="84" bestFit="1" customWidth="1"/>
    <col min="9241" max="9241" width="40.42578125" style="84" bestFit="1" customWidth="1"/>
    <col min="9242" max="9242" width="2.42578125" style="84" customWidth="1"/>
    <col min="9243" max="9243" width="13.5703125" style="84" customWidth="1"/>
    <col min="9244" max="9244" width="2.42578125" style="84" customWidth="1"/>
    <col min="9245" max="9245" width="13.5703125" style="84" customWidth="1"/>
    <col min="9246" max="9246" width="2.42578125" style="84" customWidth="1"/>
    <col min="9247" max="9247" width="13.5703125" style="84" customWidth="1"/>
    <col min="9248" max="9248" width="2.42578125" style="84" customWidth="1"/>
    <col min="9249" max="9249" width="13.5703125" style="84" customWidth="1"/>
    <col min="9250" max="9250" width="2.42578125" style="84" customWidth="1"/>
    <col min="9251" max="9251" width="13.5703125" style="84" customWidth="1"/>
    <col min="9252" max="9252" width="2.42578125" style="84" customWidth="1"/>
    <col min="9253" max="9253" width="13.5703125" style="84" customWidth="1"/>
    <col min="9254" max="9254" width="2.42578125" style="84" customWidth="1"/>
    <col min="9255" max="9255" width="13.5703125" style="84" customWidth="1"/>
    <col min="9256" max="9256" width="2.42578125" style="84" customWidth="1"/>
    <col min="9257" max="9257" width="13.5703125" style="84" customWidth="1"/>
    <col min="9258" max="9258" width="3.42578125" style="84" customWidth="1"/>
    <col min="9259" max="9472" width="9.140625" style="84"/>
    <col min="9473" max="9473" width="3.5703125" style="84" customWidth="1"/>
    <col min="9474" max="9474" width="6.85546875" style="84" bestFit="1" customWidth="1"/>
    <col min="9475" max="9475" width="12" style="84" bestFit="1" customWidth="1"/>
    <col min="9476" max="9476" width="40.42578125" style="84" bestFit="1" customWidth="1"/>
    <col min="9477" max="9477" width="2.42578125" style="84" customWidth="1"/>
    <col min="9478" max="9478" width="13.5703125" style="84" customWidth="1"/>
    <col min="9479" max="9479" width="2.42578125" style="84" customWidth="1"/>
    <col min="9480" max="9480" width="13.5703125" style="84" customWidth="1"/>
    <col min="9481" max="9481" width="2.42578125" style="84" customWidth="1"/>
    <col min="9482" max="9482" width="13.5703125" style="84" customWidth="1"/>
    <col min="9483" max="9483" width="2.42578125" style="84" customWidth="1"/>
    <col min="9484" max="9484" width="13.5703125" style="84" customWidth="1"/>
    <col min="9485" max="9485" width="2.42578125" style="84" customWidth="1"/>
    <col min="9486" max="9486" width="13.5703125" style="84" customWidth="1"/>
    <col min="9487" max="9487" width="2.42578125" style="84" customWidth="1"/>
    <col min="9488" max="9488" width="13.5703125" style="84" customWidth="1"/>
    <col min="9489" max="9489" width="2.42578125" style="84" customWidth="1"/>
    <col min="9490" max="9490" width="13.5703125" style="84" customWidth="1"/>
    <col min="9491" max="9491" width="2.42578125" style="84" customWidth="1"/>
    <col min="9492" max="9492" width="13.5703125" style="84" customWidth="1"/>
    <col min="9493" max="9493" width="4" style="84" customWidth="1"/>
    <col min="9494" max="9494" width="3.5703125" style="84" customWidth="1"/>
    <col min="9495" max="9495" width="6.85546875" style="84" bestFit="1" customWidth="1"/>
    <col min="9496" max="9496" width="12.85546875" style="84" bestFit="1" customWidth="1"/>
    <col min="9497" max="9497" width="40.42578125" style="84" bestFit="1" customWidth="1"/>
    <col min="9498" max="9498" width="2.42578125" style="84" customWidth="1"/>
    <col min="9499" max="9499" width="13.5703125" style="84" customWidth="1"/>
    <col min="9500" max="9500" width="2.42578125" style="84" customWidth="1"/>
    <col min="9501" max="9501" width="13.5703125" style="84" customWidth="1"/>
    <col min="9502" max="9502" width="2.42578125" style="84" customWidth="1"/>
    <col min="9503" max="9503" width="13.5703125" style="84" customWidth="1"/>
    <col min="9504" max="9504" width="2.42578125" style="84" customWidth="1"/>
    <col min="9505" max="9505" width="13.5703125" style="84" customWidth="1"/>
    <col min="9506" max="9506" width="2.42578125" style="84" customWidth="1"/>
    <col min="9507" max="9507" width="13.5703125" style="84" customWidth="1"/>
    <col min="9508" max="9508" width="2.42578125" style="84" customWidth="1"/>
    <col min="9509" max="9509" width="13.5703125" style="84" customWidth="1"/>
    <col min="9510" max="9510" width="2.42578125" style="84" customWidth="1"/>
    <col min="9511" max="9511" width="13.5703125" style="84" customWidth="1"/>
    <col min="9512" max="9512" width="2.42578125" style="84" customWidth="1"/>
    <col min="9513" max="9513" width="13.5703125" style="84" customWidth="1"/>
    <col min="9514" max="9514" width="3.42578125" style="84" customWidth="1"/>
    <col min="9515" max="9728" width="9.140625" style="84"/>
    <col min="9729" max="9729" width="3.5703125" style="84" customWidth="1"/>
    <col min="9730" max="9730" width="6.85546875" style="84" bestFit="1" customWidth="1"/>
    <col min="9731" max="9731" width="12" style="84" bestFit="1" customWidth="1"/>
    <col min="9732" max="9732" width="40.42578125" style="84" bestFit="1" customWidth="1"/>
    <col min="9733" max="9733" width="2.42578125" style="84" customWidth="1"/>
    <col min="9734" max="9734" width="13.5703125" style="84" customWidth="1"/>
    <col min="9735" max="9735" width="2.42578125" style="84" customWidth="1"/>
    <col min="9736" max="9736" width="13.5703125" style="84" customWidth="1"/>
    <col min="9737" max="9737" width="2.42578125" style="84" customWidth="1"/>
    <col min="9738" max="9738" width="13.5703125" style="84" customWidth="1"/>
    <col min="9739" max="9739" width="2.42578125" style="84" customWidth="1"/>
    <col min="9740" max="9740" width="13.5703125" style="84" customWidth="1"/>
    <col min="9741" max="9741" width="2.42578125" style="84" customWidth="1"/>
    <col min="9742" max="9742" width="13.5703125" style="84" customWidth="1"/>
    <col min="9743" max="9743" width="2.42578125" style="84" customWidth="1"/>
    <col min="9744" max="9744" width="13.5703125" style="84" customWidth="1"/>
    <col min="9745" max="9745" width="2.42578125" style="84" customWidth="1"/>
    <col min="9746" max="9746" width="13.5703125" style="84" customWidth="1"/>
    <col min="9747" max="9747" width="2.42578125" style="84" customWidth="1"/>
    <col min="9748" max="9748" width="13.5703125" style="84" customWidth="1"/>
    <col min="9749" max="9749" width="4" style="84" customWidth="1"/>
    <col min="9750" max="9750" width="3.5703125" style="84" customWidth="1"/>
    <col min="9751" max="9751" width="6.85546875" style="84" bestFit="1" customWidth="1"/>
    <col min="9752" max="9752" width="12.85546875" style="84" bestFit="1" customWidth="1"/>
    <col min="9753" max="9753" width="40.42578125" style="84" bestFit="1" customWidth="1"/>
    <col min="9754" max="9754" width="2.42578125" style="84" customWidth="1"/>
    <col min="9755" max="9755" width="13.5703125" style="84" customWidth="1"/>
    <col min="9756" max="9756" width="2.42578125" style="84" customWidth="1"/>
    <col min="9757" max="9757" width="13.5703125" style="84" customWidth="1"/>
    <col min="9758" max="9758" width="2.42578125" style="84" customWidth="1"/>
    <col min="9759" max="9759" width="13.5703125" style="84" customWidth="1"/>
    <col min="9760" max="9760" width="2.42578125" style="84" customWidth="1"/>
    <col min="9761" max="9761" width="13.5703125" style="84" customWidth="1"/>
    <col min="9762" max="9762" width="2.42578125" style="84" customWidth="1"/>
    <col min="9763" max="9763" width="13.5703125" style="84" customWidth="1"/>
    <col min="9764" max="9764" width="2.42578125" style="84" customWidth="1"/>
    <col min="9765" max="9765" width="13.5703125" style="84" customWidth="1"/>
    <col min="9766" max="9766" width="2.42578125" style="84" customWidth="1"/>
    <col min="9767" max="9767" width="13.5703125" style="84" customWidth="1"/>
    <col min="9768" max="9768" width="2.42578125" style="84" customWidth="1"/>
    <col min="9769" max="9769" width="13.5703125" style="84" customWidth="1"/>
    <col min="9770" max="9770" width="3.42578125" style="84" customWidth="1"/>
    <col min="9771" max="9984" width="9.140625" style="84"/>
    <col min="9985" max="9985" width="3.5703125" style="84" customWidth="1"/>
    <col min="9986" max="9986" width="6.85546875" style="84" bestFit="1" customWidth="1"/>
    <col min="9987" max="9987" width="12" style="84" bestFit="1" customWidth="1"/>
    <col min="9988" max="9988" width="40.42578125" style="84" bestFit="1" customWidth="1"/>
    <col min="9989" max="9989" width="2.42578125" style="84" customWidth="1"/>
    <col min="9990" max="9990" width="13.5703125" style="84" customWidth="1"/>
    <col min="9991" max="9991" width="2.42578125" style="84" customWidth="1"/>
    <col min="9992" max="9992" width="13.5703125" style="84" customWidth="1"/>
    <col min="9993" max="9993" width="2.42578125" style="84" customWidth="1"/>
    <col min="9994" max="9994" width="13.5703125" style="84" customWidth="1"/>
    <col min="9995" max="9995" width="2.42578125" style="84" customWidth="1"/>
    <col min="9996" max="9996" width="13.5703125" style="84" customWidth="1"/>
    <col min="9997" max="9997" width="2.42578125" style="84" customWidth="1"/>
    <col min="9998" max="9998" width="13.5703125" style="84" customWidth="1"/>
    <col min="9999" max="9999" width="2.42578125" style="84" customWidth="1"/>
    <col min="10000" max="10000" width="13.5703125" style="84" customWidth="1"/>
    <col min="10001" max="10001" width="2.42578125" style="84" customWidth="1"/>
    <col min="10002" max="10002" width="13.5703125" style="84" customWidth="1"/>
    <col min="10003" max="10003" width="2.42578125" style="84" customWidth="1"/>
    <col min="10004" max="10004" width="13.5703125" style="84" customWidth="1"/>
    <col min="10005" max="10005" width="4" style="84" customWidth="1"/>
    <col min="10006" max="10006" width="3.5703125" style="84" customWidth="1"/>
    <col min="10007" max="10007" width="6.85546875" style="84" bestFit="1" customWidth="1"/>
    <col min="10008" max="10008" width="12.85546875" style="84" bestFit="1" customWidth="1"/>
    <col min="10009" max="10009" width="40.42578125" style="84" bestFit="1" customWidth="1"/>
    <col min="10010" max="10010" width="2.42578125" style="84" customWidth="1"/>
    <col min="10011" max="10011" width="13.5703125" style="84" customWidth="1"/>
    <col min="10012" max="10012" width="2.42578125" style="84" customWidth="1"/>
    <col min="10013" max="10013" width="13.5703125" style="84" customWidth="1"/>
    <col min="10014" max="10014" width="2.42578125" style="84" customWidth="1"/>
    <col min="10015" max="10015" width="13.5703125" style="84" customWidth="1"/>
    <col min="10016" max="10016" width="2.42578125" style="84" customWidth="1"/>
    <col min="10017" max="10017" width="13.5703125" style="84" customWidth="1"/>
    <col min="10018" max="10018" width="2.42578125" style="84" customWidth="1"/>
    <col min="10019" max="10019" width="13.5703125" style="84" customWidth="1"/>
    <col min="10020" max="10020" width="2.42578125" style="84" customWidth="1"/>
    <col min="10021" max="10021" width="13.5703125" style="84" customWidth="1"/>
    <col min="10022" max="10022" width="2.42578125" style="84" customWidth="1"/>
    <col min="10023" max="10023" width="13.5703125" style="84" customWidth="1"/>
    <col min="10024" max="10024" width="2.42578125" style="84" customWidth="1"/>
    <col min="10025" max="10025" width="13.5703125" style="84" customWidth="1"/>
    <col min="10026" max="10026" width="3.42578125" style="84" customWidth="1"/>
    <col min="10027" max="10240" width="9.140625" style="84"/>
    <col min="10241" max="10241" width="3.5703125" style="84" customWidth="1"/>
    <col min="10242" max="10242" width="6.85546875" style="84" bestFit="1" customWidth="1"/>
    <col min="10243" max="10243" width="12" style="84" bestFit="1" customWidth="1"/>
    <col min="10244" max="10244" width="40.42578125" style="84" bestFit="1" customWidth="1"/>
    <col min="10245" max="10245" width="2.42578125" style="84" customWidth="1"/>
    <col min="10246" max="10246" width="13.5703125" style="84" customWidth="1"/>
    <col min="10247" max="10247" width="2.42578125" style="84" customWidth="1"/>
    <col min="10248" max="10248" width="13.5703125" style="84" customWidth="1"/>
    <col min="10249" max="10249" width="2.42578125" style="84" customWidth="1"/>
    <col min="10250" max="10250" width="13.5703125" style="84" customWidth="1"/>
    <col min="10251" max="10251" width="2.42578125" style="84" customWidth="1"/>
    <col min="10252" max="10252" width="13.5703125" style="84" customWidth="1"/>
    <col min="10253" max="10253" width="2.42578125" style="84" customWidth="1"/>
    <col min="10254" max="10254" width="13.5703125" style="84" customWidth="1"/>
    <col min="10255" max="10255" width="2.42578125" style="84" customWidth="1"/>
    <col min="10256" max="10256" width="13.5703125" style="84" customWidth="1"/>
    <col min="10257" max="10257" width="2.42578125" style="84" customWidth="1"/>
    <col min="10258" max="10258" width="13.5703125" style="84" customWidth="1"/>
    <col min="10259" max="10259" width="2.42578125" style="84" customWidth="1"/>
    <col min="10260" max="10260" width="13.5703125" style="84" customWidth="1"/>
    <col min="10261" max="10261" width="4" style="84" customWidth="1"/>
    <col min="10262" max="10262" width="3.5703125" style="84" customWidth="1"/>
    <col min="10263" max="10263" width="6.85546875" style="84" bestFit="1" customWidth="1"/>
    <col min="10264" max="10264" width="12.85546875" style="84" bestFit="1" customWidth="1"/>
    <col min="10265" max="10265" width="40.42578125" style="84" bestFit="1" customWidth="1"/>
    <col min="10266" max="10266" width="2.42578125" style="84" customWidth="1"/>
    <col min="10267" max="10267" width="13.5703125" style="84" customWidth="1"/>
    <col min="10268" max="10268" width="2.42578125" style="84" customWidth="1"/>
    <col min="10269" max="10269" width="13.5703125" style="84" customWidth="1"/>
    <col min="10270" max="10270" width="2.42578125" style="84" customWidth="1"/>
    <col min="10271" max="10271" width="13.5703125" style="84" customWidth="1"/>
    <col min="10272" max="10272" width="2.42578125" style="84" customWidth="1"/>
    <col min="10273" max="10273" width="13.5703125" style="84" customWidth="1"/>
    <col min="10274" max="10274" width="2.42578125" style="84" customWidth="1"/>
    <col min="10275" max="10275" width="13.5703125" style="84" customWidth="1"/>
    <col min="10276" max="10276" width="2.42578125" style="84" customWidth="1"/>
    <col min="10277" max="10277" width="13.5703125" style="84" customWidth="1"/>
    <col min="10278" max="10278" width="2.42578125" style="84" customWidth="1"/>
    <col min="10279" max="10279" width="13.5703125" style="84" customWidth="1"/>
    <col min="10280" max="10280" width="2.42578125" style="84" customWidth="1"/>
    <col min="10281" max="10281" width="13.5703125" style="84" customWidth="1"/>
    <col min="10282" max="10282" width="3.42578125" style="84" customWidth="1"/>
    <col min="10283" max="10496" width="9.140625" style="84"/>
    <col min="10497" max="10497" width="3.5703125" style="84" customWidth="1"/>
    <col min="10498" max="10498" width="6.85546875" style="84" bestFit="1" customWidth="1"/>
    <col min="10499" max="10499" width="12" style="84" bestFit="1" customWidth="1"/>
    <col min="10500" max="10500" width="40.42578125" style="84" bestFit="1" customWidth="1"/>
    <col min="10501" max="10501" width="2.42578125" style="84" customWidth="1"/>
    <col min="10502" max="10502" width="13.5703125" style="84" customWidth="1"/>
    <col min="10503" max="10503" width="2.42578125" style="84" customWidth="1"/>
    <col min="10504" max="10504" width="13.5703125" style="84" customWidth="1"/>
    <col min="10505" max="10505" width="2.42578125" style="84" customWidth="1"/>
    <col min="10506" max="10506" width="13.5703125" style="84" customWidth="1"/>
    <col min="10507" max="10507" width="2.42578125" style="84" customWidth="1"/>
    <col min="10508" max="10508" width="13.5703125" style="84" customWidth="1"/>
    <col min="10509" max="10509" width="2.42578125" style="84" customWidth="1"/>
    <col min="10510" max="10510" width="13.5703125" style="84" customWidth="1"/>
    <col min="10511" max="10511" width="2.42578125" style="84" customWidth="1"/>
    <col min="10512" max="10512" width="13.5703125" style="84" customWidth="1"/>
    <col min="10513" max="10513" width="2.42578125" style="84" customWidth="1"/>
    <col min="10514" max="10514" width="13.5703125" style="84" customWidth="1"/>
    <col min="10515" max="10515" width="2.42578125" style="84" customWidth="1"/>
    <col min="10516" max="10516" width="13.5703125" style="84" customWidth="1"/>
    <col min="10517" max="10517" width="4" style="84" customWidth="1"/>
    <col min="10518" max="10518" width="3.5703125" style="84" customWidth="1"/>
    <col min="10519" max="10519" width="6.85546875" style="84" bestFit="1" customWidth="1"/>
    <col min="10520" max="10520" width="12.85546875" style="84" bestFit="1" customWidth="1"/>
    <col min="10521" max="10521" width="40.42578125" style="84" bestFit="1" customWidth="1"/>
    <col min="10522" max="10522" width="2.42578125" style="84" customWidth="1"/>
    <col min="10523" max="10523" width="13.5703125" style="84" customWidth="1"/>
    <col min="10524" max="10524" width="2.42578125" style="84" customWidth="1"/>
    <col min="10525" max="10525" width="13.5703125" style="84" customWidth="1"/>
    <col min="10526" max="10526" width="2.42578125" style="84" customWidth="1"/>
    <col min="10527" max="10527" width="13.5703125" style="84" customWidth="1"/>
    <col min="10528" max="10528" width="2.42578125" style="84" customWidth="1"/>
    <col min="10529" max="10529" width="13.5703125" style="84" customWidth="1"/>
    <col min="10530" max="10530" width="2.42578125" style="84" customWidth="1"/>
    <col min="10531" max="10531" width="13.5703125" style="84" customWidth="1"/>
    <col min="10532" max="10532" width="2.42578125" style="84" customWidth="1"/>
    <col min="10533" max="10533" width="13.5703125" style="84" customWidth="1"/>
    <col min="10534" max="10534" width="2.42578125" style="84" customWidth="1"/>
    <col min="10535" max="10535" width="13.5703125" style="84" customWidth="1"/>
    <col min="10536" max="10536" width="2.42578125" style="84" customWidth="1"/>
    <col min="10537" max="10537" width="13.5703125" style="84" customWidth="1"/>
    <col min="10538" max="10538" width="3.42578125" style="84" customWidth="1"/>
    <col min="10539" max="10752" width="9.140625" style="84"/>
    <col min="10753" max="10753" width="3.5703125" style="84" customWidth="1"/>
    <col min="10754" max="10754" width="6.85546875" style="84" bestFit="1" customWidth="1"/>
    <col min="10755" max="10755" width="12" style="84" bestFit="1" customWidth="1"/>
    <col min="10756" max="10756" width="40.42578125" style="84" bestFit="1" customWidth="1"/>
    <col min="10757" max="10757" width="2.42578125" style="84" customWidth="1"/>
    <col min="10758" max="10758" width="13.5703125" style="84" customWidth="1"/>
    <col min="10759" max="10759" width="2.42578125" style="84" customWidth="1"/>
    <col min="10760" max="10760" width="13.5703125" style="84" customWidth="1"/>
    <col min="10761" max="10761" width="2.42578125" style="84" customWidth="1"/>
    <col min="10762" max="10762" width="13.5703125" style="84" customWidth="1"/>
    <col min="10763" max="10763" width="2.42578125" style="84" customWidth="1"/>
    <col min="10764" max="10764" width="13.5703125" style="84" customWidth="1"/>
    <col min="10765" max="10765" width="2.42578125" style="84" customWidth="1"/>
    <col min="10766" max="10766" width="13.5703125" style="84" customWidth="1"/>
    <col min="10767" max="10767" width="2.42578125" style="84" customWidth="1"/>
    <col min="10768" max="10768" width="13.5703125" style="84" customWidth="1"/>
    <col min="10769" max="10769" width="2.42578125" style="84" customWidth="1"/>
    <col min="10770" max="10770" width="13.5703125" style="84" customWidth="1"/>
    <col min="10771" max="10771" width="2.42578125" style="84" customWidth="1"/>
    <col min="10772" max="10772" width="13.5703125" style="84" customWidth="1"/>
    <col min="10773" max="10773" width="4" style="84" customWidth="1"/>
    <col min="10774" max="10774" width="3.5703125" style="84" customWidth="1"/>
    <col min="10775" max="10775" width="6.85546875" style="84" bestFit="1" customWidth="1"/>
    <col min="10776" max="10776" width="12.85546875" style="84" bestFit="1" customWidth="1"/>
    <col min="10777" max="10777" width="40.42578125" style="84" bestFit="1" customWidth="1"/>
    <col min="10778" max="10778" width="2.42578125" style="84" customWidth="1"/>
    <col min="10779" max="10779" width="13.5703125" style="84" customWidth="1"/>
    <col min="10780" max="10780" width="2.42578125" style="84" customWidth="1"/>
    <col min="10781" max="10781" width="13.5703125" style="84" customWidth="1"/>
    <col min="10782" max="10782" width="2.42578125" style="84" customWidth="1"/>
    <col min="10783" max="10783" width="13.5703125" style="84" customWidth="1"/>
    <col min="10784" max="10784" width="2.42578125" style="84" customWidth="1"/>
    <col min="10785" max="10785" width="13.5703125" style="84" customWidth="1"/>
    <col min="10786" max="10786" width="2.42578125" style="84" customWidth="1"/>
    <col min="10787" max="10787" width="13.5703125" style="84" customWidth="1"/>
    <col min="10788" max="10788" width="2.42578125" style="84" customWidth="1"/>
    <col min="10789" max="10789" width="13.5703125" style="84" customWidth="1"/>
    <col min="10790" max="10790" width="2.42578125" style="84" customWidth="1"/>
    <col min="10791" max="10791" width="13.5703125" style="84" customWidth="1"/>
    <col min="10792" max="10792" width="2.42578125" style="84" customWidth="1"/>
    <col min="10793" max="10793" width="13.5703125" style="84" customWidth="1"/>
    <col min="10794" max="10794" width="3.42578125" style="84" customWidth="1"/>
    <col min="10795" max="11008" width="9.140625" style="84"/>
    <col min="11009" max="11009" width="3.5703125" style="84" customWidth="1"/>
    <col min="11010" max="11010" width="6.85546875" style="84" bestFit="1" customWidth="1"/>
    <col min="11011" max="11011" width="12" style="84" bestFit="1" customWidth="1"/>
    <col min="11012" max="11012" width="40.42578125" style="84" bestFit="1" customWidth="1"/>
    <col min="11013" max="11013" width="2.42578125" style="84" customWidth="1"/>
    <col min="11014" max="11014" width="13.5703125" style="84" customWidth="1"/>
    <col min="11015" max="11015" width="2.42578125" style="84" customWidth="1"/>
    <col min="11016" max="11016" width="13.5703125" style="84" customWidth="1"/>
    <col min="11017" max="11017" width="2.42578125" style="84" customWidth="1"/>
    <col min="11018" max="11018" width="13.5703125" style="84" customWidth="1"/>
    <col min="11019" max="11019" width="2.42578125" style="84" customWidth="1"/>
    <col min="11020" max="11020" width="13.5703125" style="84" customWidth="1"/>
    <col min="11021" max="11021" width="2.42578125" style="84" customWidth="1"/>
    <col min="11022" max="11022" width="13.5703125" style="84" customWidth="1"/>
    <col min="11023" max="11023" width="2.42578125" style="84" customWidth="1"/>
    <col min="11024" max="11024" width="13.5703125" style="84" customWidth="1"/>
    <col min="11025" max="11025" width="2.42578125" style="84" customWidth="1"/>
    <col min="11026" max="11026" width="13.5703125" style="84" customWidth="1"/>
    <col min="11027" max="11027" width="2.42578125" style="84" customWidth="1"/>
    <col min="11028" max="11028" width="13.5703125" style="84" customWidth="1"/>
    <col min="11029" max="11029" width="4" style="84" customWidth="1"/>
    <col min="11030" max="11030" width="3.5703125" style="84" customWidth="1"/>
    <col min="11031" max="11031" width="6.85546875" style="84" bestFit="1" customWidth="1"/>
    <col min="11032" max="11032" width="12.85546875" style="84" bestFit="1" customWidth="1"/>
    <col min="11033" max="11033" width="40.42578125" style="84" bestFit="1" customWidth="1"/>
    <col min="11034" max="11034" width="2.42578125" style="84" customWidth="1"/>
    <col min="11035" max="11035" width="13.5703125" style="84" customWidth="1"/>
    <col min="11036" max="11036" width="2.42578125" style="84" customWidth="1"/>
    <col min="11037" max="11037" width="13.5703125" style="84" customWidth="1"/>
    <col min="11038" max="11038" width="2.42578125" style="84" customWidth="1"/>
    <col min="11039" max="11039" width="13.5703125" style="84" customWidth="1"/>
    <col min="11040" max="11040" width="2.42578125" style="84" customWidth="1"/>
    <col min="11041" max="11041" width="13.5703125" style="84" customWidth="1"/>
    <col min="11042" max="11042" width="2.42578125" style="84" customWidth="1"/>
    <col min="11043" max="11043" width="13.5703125" style="84" customWidth="1"/>
    <col min="11044" max="11044" width="2.42578125" style="84" customWidth="1"/>
    <col min="11045" max="11045" width="13.5703125" style="84" customWidth="1"/>
    <col min="11046" max="11046" width="2.42578125" style="84" customWidth="1"/>
    <col min="11047" max="11047" width="13.5703125" style="84" customWidth="1"/>
    <col min="11048" max="11048" width="2.42578125" style="84" customWidth="1"/>
    <col min="11049" max="11049" width="13.5703125" style="84" customWidth="1"/>
    <col min="11050" max="11050" width="3.42578125" style="84" customWidth="1"/>
    <col min="11051" max="11264" width="9.140625" style="84"/>
    <col min="11265" max="11265" width="3.5703125" style="84" customWidth="1"/>
    <col min="11266" max="11266" width="6.85546875" style="84" bestFit="1" customWidth="1"/>
    <col min="11267" max="11267" width="12" style="84" bestFit="1" customWidth="1"/>
    <col min="11268" max="11268" width="40.42578125" style="84" bestFit="1" customWidth="1"/>
    <col min="11269" max="11269" width="2.42578125" style="84" customWidth="1"/>
    <col min="11270" max="11270" width="13.5703125" style="84" customWidth="1"/>
    <col min="11271" max="11271" width="2.42578125" style="84" customWidth="1"/>
    <col min="11272" max="11272" width="13.5703125" style="84" customWidth="1"/>
    <col min="11273" max="11273" width="2.42578125" style="84" customWidth="1"/>
    <col min="11274" max="11274" width="13.5703125" style="84" customWidth="1"/>
    <col min="11275" max="11275" width="2.42578125" style="84" customWidth="1"/>
    <col min="11276" max="11276" width="13.5703125" style="84" customWidth="1"/>
    <col min="11277" max="11277" width="2.42578125" style="84" customWidth="1"/>
    <col min="11278" max="11278" width="13.5703125" style="84" customWidth="1"/>
    <col min="11279" max="11279" width="2.42578125" style="84" customWidth="1"/>
    <col min="11280" max="11280" width="13.5703125" style="84" customWidth="1"/>
    <col min="11281" max="11281" width="2.42578125" style="84" customWidth="1"/>
    <col min="11282" max="11282" width="13.5703125" style="84" customWidth="1"/>
    <col min="11283" max="11283" width="2.42578125" style="84" customWidth="1"/>
    <col min="11284" max="11284" width="13.5703125" style="84" customWidth="1"/>
    <col min="11285" max="11285" width="4" style="84" customWidth="1"/>
    <col min="11286" max="11286" width="3.5703125" style="84" customWidth="1"/>
    <col min="11287" max="11287" width="6.85546875" style="84" bestFit="1" customWidth="1"/>
    <col min="11288" max="11288" width="12.85546875" style="84" bestFit="1" customWidth="1"/>
    <col min="11289" max="11289" width="40.42578125" style="84" bestFit="1" customWidth="1"/>
    <col min="11290" max="11290" width="2.42578125" style="84" customWidth="1"/>
    <col min="11291" max="11291" width="13.5703125" style="84" customWidth="1"/>
    <col min="11292" max="11292" width="2.42578125" style="84" customWidth="1"/>
    <col min="11293" max="11293" width="13.5703125" style="84" customWidth="1"/>
    <col min="11294" max="11294" width="2.42578125" style="84" customWidth="1"/>
    <col min="11295" max="11295" width="13.5703125" style="84" customWidth="1"/>
    <col min="11296" max="11296" width="2.42578125" style="84" customWidth="1"/>
    <col min="11297" max="11297" width="13.5703125" style="84" customWidth="1"/>
    <col min="11298" max="11298" width="2.42578125" style="84" customWidth="1"/>
    <col min="11299" max="11299" width="13.5703125" style="84" customWidth="1"/>
    <col min="11300" max="11300" width="2.42578125" style="84" customWidth="1"/>
    <col min="11301" max="11301" width="13.5703125" style="84" customWidth="1"/>
    <col min="11302" max="11302" width="2.42578125" style="84" customWidth="1"/>
    <col min="11303" max="11303" width="13.5703125" style="84" customWidth="1"/>
    <col min="11304" max="11304" width="2.42578125" style="84" customWidth="1"/>
    <col min="11305" max="11305" width="13.5703125" style="84" customWidth="1"/>
    <col min="11306" max="11306" width="3.42578125" style="84" customWidth="1"/>
    <col min="11307" max="11520" width="9.140625" style="84"/>
    <col min="11521" max="11521" width="3.5703125" style="84" customWidth="1"/>
    <col min="11522" max="11522" width="6.85546875" style="84" bestFit="1" customWidth="1"/>
    <col min="11523" max="11523" width="12" style="84" bestFit="1" customWidth="1"/>
    <col min="11524" max="11524" width="40.42578125" style="84" bestFit="1" customWidth="1"/>
    <col min="11525" max="11525" width="2.42578125" style="84" customWidth="1"/>
    <col min="11526" max="11526" width="13.5703125" style="84" customWidth="1"/>
    <col min="11527" max="11527" width="2.42578125" style="84" customWidth="1"/>
    <col min="11528" max="11528" width="13.5703125" style="84" customWidth="1"/>
    <col min="11529" max="11529" width="2.42578125" style="84" customWidth="1"/>
    <col min="11530" max="11530" width="13.5703125" style="84" customWidth="1"/>
    <col min="11531" max="11531" width="2.42578125" style="84" customWidth="1"/>
    <col min="11532" max="11532" width="13.5703125" style="84" customWidth="1"/>
    <col min="11533" max="11533" width="2.42578125" style="84" customWidth="1"/>
    <col min="11534" max="11534" width="13.5703125" style="84" customWidth="1"/>
    <col min="11535" max="11535" width="2.42578125" style="84" customWidth="1"/>
    <col min="11536" max="11536" width="13.5703125" style="84" customWidth="1"/>
    <col min="11537" max="11537" width="2.42578125" style="84" customWidth="1"/>
    <col min="11538" max="11538" width="13.5703125" style="84" customWidth="1"/>
    <col min="11539" max="11539" width="2.42578125" style="84" customWidth="1"/>
    <col min="11540" max="11540" width="13.5703125" style="84" customWidth="1"/>
    <col min="11541" max="11541" width="4" style="84" customWidth="1"/>
    <col min="11542" max="11542" width="3.5703125" style="84" customWidth="1"/>
    <col min="11543" max="11543" width="6.85546875" style="84" bestFit="1" customWidth="1"/>
    <col min="11544" max="11544" width="12.85546875" style="84" bestFit="1" customWidth="1"/>
    <col min="11545" max="11545" width="40.42578125" style="84" bestFit="1" customWidth="1"/>
    <col min="11546" max="11546" width="2.42578125" style="84" customWidth="1"/>
    <col min="11547" max="11547" width="13.5703125" style="84" customWidth="1"/>
    <col min="11548" max="11548" width="2.42578125" style="84" customWidth="1"/>
    <col min="11549" max="11549" width="13.5703125" style="84" customWidth="1"/>
    <col min="11550" max="11550" width="2.42578125" style="84" customWidth="1"/>
    <col min="11551" max="11551" width="13.5703125" style="84" customWidth="1"/>
    <col min="11552" max="11552" width="2.42578125" style="84" customWidth="1"/>
    <col min="11553" max="11553" width="13.5703125" style="84" customWidth="1"/>
    <col min="11554" max="11554" width="2.42578125" style="84" customWidth="1"/>
    <col min="11555" max="11555" width="13.5703125" style="84" customWidth="1"/>
    <col min="11556" max="11556" width="2.42578125" style="84" customWidth="1"/>
    <col min="11557" max="11557" width="13.5703125" style="84" customWidth="1"/>
    <col min="11558" max="11558" width="2.42578125" style="84" customWidth="1"/>
    <col min="11559" max="11559" width="13.5703125" style="84" customWidth="1"/>
    <col min="11560" max="11560" width="2.42578125" style="84" customWidth="1"/>
    <col min="11561" max="11561" width="13.5703125" style="84" customWidth="1"/>
    <col min="11562" max="11562" width="3.42578125" style="84" customWidth="1"/>
    <col min="11563" max="11776" width="9.140625" style="84"/>
    <col min="11777" max="11777" width="3.5703125" style="84" customWidth="1"/>
    <col min="11778" max="11778" width="6.85546875" style="84" bestFit="1" customWidth="1"/>
    <col min="11779" max="11779" width="12" style="84" bestFit="1" customWidth="1"/>
    <col min="11780" max="11780" width="40.42578125" style="84" bestFit="1" customWidth="1"/>
    <col min="11781" max="11781" width="2.42578125" style="84" customWidth="1"/>
    <col min="11782" max="11782" width="13.5703125" style="84" customWidth="1"/>
    <col min="11783" max="11783" width="2.42578125" style="84" customWidth="1"/>
    <col min="11784" max="11784" width="13.5703125" style="84" customWidth="1"/>
    <col min="11785" max="11785" width="2.42578125" style="84" customWidth="1"/>
    <col min="11786" max="11786" width="13.5703125" style="84" customWidth="1"/>
    <col min="11787" max="11787" width="2.42578125" style="84" customWidth="1"/>
    <col min="11788" max="11788" width="13.5703125" style="84" customWidth="1"/>
    <col min="11789" max="11789" width="2.42578125" style="84" customWidth="1"/>
    <col min="11790" max="11790" width="13.5703125" style="84" customWidth="1"/>
    <col min="11791" max="11791" width="2.42578125" style="84" customWidth="1"/>
    <col min="11792" max="11792" width="13.5703125" style="84" customWidth="1"/>
    <col min="11793" max="11793" width="2.42578125" style="84" customWidth="1"/>
    <col min="11794" max="11794" width="13.5703125" style="84" customWidth="1"/>
    <col min="11795" max="11795" width="2.42578125" style="84" customWidth="1"/>
    <col min="11796" max="11796" width="13.5703125" style="84" customWidth="1"/>
    <col min="11797" max="11797" width="4" style="84" customWidth="1"/>
    <col min="11798" max="11798" width="3.5703125" style="84" customWidth="1"/>
    <col min="11799" max="11799" width="6.85546875" style="84" bestFit="1" customWidth="1"/>
    <col min="11800" max="11800" width="12.85546875" style="84" bestFit="1" customWidth="1"/>
    <col min="11801" max="11801" width="40.42578125" style="84" bestFit="1" customWidth="1"/>
    <col min="11802" max="11802" width="2.42578125" style="84" customWidth="1"/>
    <col min="11803" max="11803" width="13.5703125" style="84" customWidth="1"/>
    <col min="11804" max="11804" width="2.42578125" style="84" customWidth="1"/>
    <col min="11805" max="11805" width="13.5703125" style="84" customWidth="1"/>
    <col min="11806" max="11806" width="2.42578125" style="84" customWidth="1"/>
    <col min="11807" max="11807" width="13.5703125" style="84" customWidth="1"/>
    <col min="11808" max="11808" width="2.42578125" style="84" customWidth="1"/>
    <col min="11809" max="11809" width="13.5703125" style="84" customWidth="1"/>
    <col min="11810" max="11810" width="2.42578125" style="84" customWidth="1"/>
    <col min="11811" max="11811" width="13.5703125" style="84" customWidth="1"/>
    <col min="11812" max="11812" width="2.42578125" style="84" customWidth="1"/>
    <col min="11813" max="11813" width="13.5703125" style="84" customWidth="1"/>
    <col min="11814" max="11814" width="2.42578125" style="84" customWidth="1"/>
    <col min="11815" max="11815" width="13.5703125" style="84" customWidth="1"/>
    <col min="11816" max="11816" width="2.42578125" style="84" customWidth="1"/>
    <col min="11817" max="11817" width="13.5703125" style="84" customWidth="1"/>
    <col min="11818" max="11818" width="3.42578125" style="84" customWidth="1"/>
    <col min="11819" max="12032" width="9.140625" style="84"/>
    <col min="12033" max="12033" width="3.5703125" style="84" customWidth="1"/>
    <col min="12034" max="12034" width="6.85546875" style="84" bestFit="1" customWidth="1"/>
    <col min="12035" max="12035" width="12" style="84" bestFit="1" customWidth="1"/>
    <col min="12036" max="12036" width="40.42578125" style="84" bestFit="1" customWidth="1"/>
    <col min="12037" max="12037" width="2.42578125" style="84" customWidth="1"/>
    <col min="12038" max="12038" width="13.5703125" style="84" customWidth="1"/>
    <col min="12039" max="12039" width="2.42578125" style="84" customWidth="1"/>
    <col min="12040" max="12040" width="13.5703125" style="84" customWidth="1"/>
    <col min="12041" max="12041" width="2.42578125" style="84" customWidth="1"/>
    <col min="12042" max="12042" width="13.5703125" style="84" customWidth="1"/>
    <col min="12043" max="12043" width="2.42578125" style="84" customWidth="1"/>
    <col min="12044" max="12044" width="13.5703125" style="84" customWidth="1"/>
    <col min="12045" max="12045" width="2.42578125" style="84" customWidth="1"/>
    <col min="12046" max="12046" width="13.5703125" style="84" customWidth="1"/>
    <col min="12047" max="12047" width="2.42578125" style="84" customWidth="1"/>
    <col min="12048" max="12048" width="13.5703125" style="84" customWidth="1"/>
    <col min="12049" max="12049" width="2.42578125" style="84" customWidth="1"/>
    <col min="12050" max="12050" width="13.5703125" style="84" customWidth="1"/>
    <col min="12051" max="12051" width="2.42578125" style="84" customWidth="1"/>
    <col min="12052" max="12052" width="13.5703125" style="84" customWidth="1"/>
    <col min="12053" max="12053" width="4" style="84" customWidth="1"/>
    <col min="12054" max="12054" width="3.5703125" style="84" customWidth="1"/>
    <col min="12055" max="12055" width="6.85546875" style="84" bestFit="1" customWidth="1"/>
    <col min="12056" max="12056" width="12.85546875" style="84" bestFit="1" customWidth="1"/>
    <col min="12057" max="12057" width="40.42578125" style="84" bestFit="1" customWidth="1"/>
    <col min="12058" max="12058" width="2.42578125" style="84" customWidth="1"/>
    <col min="12059" max="12059" width="13.5703125" style="84" customWidth="1"/>
    <col min="12060" max="12060" width="2.42578125" style="84" customWidth="1"/>
    <col min="12061" max="12061" width="13.5703125" style="84" customWidth="1"/>
    <col min="12062" max="12062" width="2.42578125" style="84" customWidth="1"/>
    <col min="12063" max="12063" width="13.5703125" style="84" customWidth="1"/>
    <col min="12064" max="12064" width="2.42578125" style="84" customWidth="1"/>
    <col min="12065" max="12065" width="13.5703125" style="84" customWidth="1"/>
    <col min="12066" max="12066" width="2.42578125" style="84" customWidth="1"/>
    <col min="12067" max="12067" width="13.5703125" style="84" customWidth="1"/>
    <col min="12068" max="12068" width="2.42578125" style="84" customWidth="1"/>
    <col min="12069" max="12069" width="13.5703125" style="84" customWidth="1"/>
    <col min="12070" max="12070" width="2.42578125" style="84" customWidth="1"/>
    <col min="12071" max="12071" width="13.5703125" style="84" customWidth="1"/>
    <col min="12072" max="12072" width="2.42578125" style="84" customWidth="1"/>
    <col min="12073" max="12073" width="13.5703125" style="84" customWidth="1"/>
    <col min="12074" max="12074" width="3.42578125" style="84" customWidth="1"/>
    <col min="12075" max="12288" width="9.140625" style="84"/>
    <col min="12289" max="12289" width="3.5703125" style="84" customWidth="1"/>
    <col min="12290" max="12290" width="6.85546875" style="84" bestFit="1" customWidth="1"/>
    <col min="12291" max="12291" width="12" style="84" bestFit="1" customWidth="1"/>
    <col min="12292" max="12292" width="40.42578125" style="84" bestFit="1" customWidth="1"/>
    <col min="12293" max="12293" width="2.42578125" style="84" customWidth="1"/>
    <col min="12294" max="12294" width="13.5703125" style="84" customWidth="1"/>
    <col min="12295" max="12295" width="2.42578125" style="84" customWidth="1"/>
    <col min="12296" max="12296" width="13.5703125" style="84" customWidth="1"/>
    <col min="12297" max="12297" width="2.42578125" style="84" customWidth="1"/>
    <col min="12298" max="12298" width="13.5703125" style="84" customWidth="1"/>
    <col min="12299" max="12299" width="2.42578125" style="84" customWidth="1"/>
    <col min="12300" max="12300" width="13.5703125" style="84" customWidth="1"/>
    <col min="12301" max="12301" width="2.42578125" style="84" customWidth="1"/>
    <col min="12302" max="12302" width="13.5703125" style="84" customWidth="1"/>
    <col min="12303" max="12303" width="2.42578125" style="84" customWidth="1"/>
    <col min="12304" max="12304" width="13.5703125" style="84" customWidth="1"/>
    <col min="12305" max="12305" width="2.42578125" style="84" customWidth="1"/>
    <col min="12306" max="12306" width="13.5703125" style="84" customWidth="1"/>
    <col min="12307" max="12307" width="2.42578125" style="84" customWidth="1"/>
    <col min="12308" max="12308" width="13.5703125" style="84" customWidth="1"/>
    <col min="12309" max="12309" width="4" style="84" customWidth="1"/>
    <col min="12310" max="12310" width="3.5703125" style="84" customWidth="1"/>
    <col min="12311" max="12311" width="6.85546875" style="84" bestFit="1" customWidth="1"/>
    <col min="12312" max="12312" width="12.85546875" style="84" bestFit="1" customWidth="1"/>
    <col min="12313" max="12313" width="40.42578125" style="84" bestFit="1" customWidth="1"/>
    <col min="12314" max="12314" width="2.42578125" style="84" customWidth="1"/>
    <col min="12315" max="12315" width="13.5703125" style="84" customWidth="1"/>
    <col min="12316" max="12316" width="2.42578125" style="84" customWidth="1"/>
    <col min="12317" max="12317" width="13.5703125" style="84" customWidth="1"/>
    <col min="12318" max="12318" width="2.42578125" style="84" customWidth="1"/>
    <col min="12319" max="12319" width="13.5703125" style="84" customWidth="1"/>
    <col min="12320" max="12320" width="2.42578125" style="84" customWidth="1"/>
    <col min="12321" max="12321" width="13.5703125" style="84" customWidth="1"/>
    <col min="12322" max="12322" width="2.42578125" style="84" customWidth="1"/>
    <col min="12323" max="12323" width="13.5703125" style="84" customWidth="1"/>
    <col min="12324" max="12324" width="2.42578125" style="84" customWidth="1"/>
    <col min="12325" max="12325" width="13.5703125" style="84" customWidth="1"/>
    <col min="12326" max="12326" width="2.42578125" style="84" customWidth="1"/>
    <col min="12327" max="12327" width="13.5703125" style="84" customWidth="1"/>
    <col min="12328" max="12328" width="2.42578125" style="84" customWidth="1"/>
    <col min="12329" max="12329" width="13.5703125" style="84" customWidth="1"/>
    <col min="12330" max="12330" width="3.42578125" style="84" customWidth="1"/>
    <col min="12331" max="12544" width="9.140625" style="84"/>
    <col min="12545" max="12545" width="3.5703125" style="84" customWidth="1"/>
    <col min="12546" max="12546" width="6.85546875" style="84" bestFit="1" customWidth="1"/>
    <col min="12547" max="12547" width="12" style="84" bestFit="1" customWidth="1"/>
    <col min="12548" max="12548" width="40.42578125" style="84" bestFit="1" customWidth="1"/>
    <col min="12549" max="12549" width="2.42578125" style="84" customWidth="1"/>
    <col min="12550" max="12550" width="13.5703125" style="84" customWidth="1"/>
    <col min="12551" max="12551" width="2.42578125" style="84" customWidth="1"/>
    <col min="12552" max="12552" width="13.5703125" style="84" customWidth="1"/>
    <col min="12553" max="12553" width="2.42578125" style="84" customWidth="1"/>
    <col min="12554" max="12554" width="13.5703125" style="84" customWidth="1"/>
    <col min="12555" max="12555" width="2.42578125" style="84" customWidth="1"/>
    <col min="12556" max="12556" width="13.5703125" style="84" customWidth="1"/>
    <col min="12557" max="12557" width="2.42578125" style="84" customWidth="1"/>
    <col min="12558" max="12558" width="13.5703125" style="84" customWidth="1"/>
    <col min="12559" max="12559" width="2.42578125" style="84" customWidth="1"/>
    <col min="12560" max="12560" width="13.5703125" style="84" customWidth="1"/>
    <col min="12561" max="12561" width="2.42578125" style="84" customWidth="1"/>
    <col min="12562" max="12562" width="13.5703125" style="84" customWidth="1"/>
    <col min="12563" max="12563" width="2.42578125" style="84" customWidth="1"/>
    <col min="12564" max="12564" width="13.5703125" style="84" customWidth="1"/>
    <col min="12565" max="12565" width="4" style="84" customWidth="1"/>
    <col min="12566" max="12566" width="3.5703125" style="84" customWidth="1"/>
    <col min="12567" max="12567" width="6.85546875" style="84" bestFit="1" customWidth="1"/>
    <col min="12568" max="12568" width="12.85546875" style="84" bestFit="1" customWidth="1"/>
    <col min="12569" max="12569" width="40.42578125" style="84" bestFit="1" customWidth="1"/>
    <col min="12570" max="12570" width="2.42578125" style="84" customWidth="1"/>
    <col min="12571" max="12571" width="13.5703125" style="84" customWidth="1"/>
    <col min="12572" max="12572" width="2.42578125" style="84" customWidth="1"/>
    <col min="12573" max="12573" width="13.5703125" style="84" customWidth="1"/>
    <col min="12574" max="12574" width="2.42578125" style="84" customWidth="1"/>
    <col min="12575" max="12575" width="13.5703125" style="84" customWidth="1"/>
    <col min="12576" max="12576" width="2.42578125" style="84" customWidth="1"/>
    <col min="12577" max="12577" width="13.5703125" style="84" customWidth="1"/>
    <col min="12578" max="12578" width="2.42578125" style="84" customWidth="1"/>
    <col min="12579" max="12579" width="13.5703125" style="84" customWidth="1"/>
    <col min="12580" max="12580" width="2.42578125" style="84" customWidth="1"/>
    <col min="12581" max="12581" width="13.5703125" style="84" customWidth="1"/>
    <col min="12582" max="12582" width="2.42578125" style="84" customWidth="1"/>
    <col min="12583" max="12583" width="13.5703125" style="84" customWidth="1"/>
    <col min="12584" max="12584" width="2.42578125" style="84" customWidth="1"/>
    <col min="12585" max="12585" width="13.5703125" style="84" customWidth="1"/>
    <col min="12586" max="12586" width="3.42578125" style="84" customWidth="1"/>
    <col min="12587" max="12800" width="9.140625" style="84"/>
    <col min="12801" max="12801" width="3.5703125" style="84" customWidth="1"/>
    <col min="12802" max="12802" width="6.85546875" style="84" bestFit="1" customWidth="1"/>
    <col min="12803" max="12803" width="12" style="84" bestFit="1" customWidth="1"/>
    <col min="12804" max="12804" width="40.42578125" style="84" bestFit="1" customWidth="1"/>
    <col min="12805" max="12805" width="2.42578125" style="84" customWidth="1"/>
    <col min="12806" max="12806" width="13.5703125" style="84" customWidth="1"/>
    <col min="12807" max="12807" width="2.42578125" style="84" customWidth="1"/>
    <col min="12808" max="12808" width="13.5703125" style="84" customWidth="1"/>
    <col min="12809" max="12809" width="2.42578125" style="84" customWidth="1"/>
    <col min="12810" max="12810" width="13.5703125" style="84" customWidth="1"/>
    <col min="12811" max="12811" width="2.42578125" style="84" customWidth="1"/>
    <col min="12812" max="12812" width="13.5703125" style="84" customWidth="1"/>
    <col min="12813" max="12813" width="2.42578125" style="84" customWidth="1"/>
    <col min="12814" max="12814" width="13.5703125" style="84" customWidth="1"/>
    <col min="12815" max="12815" width="2.42578125" style="84" customWidth="1"/>
    <col min="12816" max="12816" width="13.5703125" style="84" customWidth="1"/>
    <col min="12817" max="12817" width="2.42578125" style="84" customWidth="1"/>
    <col min="12818" max="12818" width="13.5703125" style="84" customWidth="1"/>
    <col min="12819" max="12819" width="2.42578125" style="84" customWidth="1"/>
    <col min="12820" max="12820" width="13.5703125" style="84" customWidth="1"/>
    <col min="12821" max="12821" width="4" style="84" customWidth="1"/>
    <col min="12822" max="12822" width="3.5703125" style="84" customWidth="1"/>
    <col min="12823" max="12823" width="6.85546875" style="84" bestFit="1" customWidth="1"/>
    <col min="12824" max="12824" width="12.85546875" style="84" bestFit="1" customWidth="1"/>
    <col min="12825" max="12825" width="40.42578125" style="84" bestFit="1" customWidth="1"/>
    <col min="12826" max="12826" width="2.42578125" style="84" customWidth="1"/>
    <col min="12827" max="12827" width="13.5703125" style="84" customWidth="1"/>
    <col min="12828" max="12828" width="2.42578125" style="84" customWidth="1"/>
    <col min="12829" max="12829" width="13.5703125" style="84" customWidth="1"/>
    <col min="12830" max="12830" width="2.42578125" style="84" customWidth="1"/>
    <col min="12831" max="12831" width="13.5703125" style="84" customWidth="1"/>
    <col min="12832" max="12832" width="2.42578125" style="84" customWidth="1"/>
    <col min="12833" max="12833" width="13.5703125" style="84" customWidth="1"/>
    <col min="12834" max="12834" width="2.42578125" style="84" customWidth="1"/>
    <col min="12835" max="12835" width="13.5703125" style="84" customWidth="1"/>
    <col min="12836" max="12836" width="2.42578125" style="84" customWidth="1"/>
    <col min="12837" max="12837" width="13.5703125" style="84" customWidth="1"/>
    <col min="12838" max="12838" width="2.42578125" style="84" customWidth="1"/>
    <col min="12839" max="12839" width="13.5703125" style="84" customWidth="1"/>
    <col min="12840" max="12840" width="2.42578125" style="84" customWidth="1"/>
    <col min="12841" max="12841" width="13.5703125" style="84" customWidth="1"/>
    <col min="12842" max="12842" width="3.42578125" style="84" customWidth="1"/>
    <col min="12843" max="13056" width="9.140625" style="84"/>
    <col min="13057" max="13057" width="3.5703125" style="84" customWidth="1"/>
    <col min="13058" max="13058" width="6.85546875" style="84" bestFit="1" customWidth="1"/>
    <col min="13059" max="13059" width="12" style="84" bestFit="1" customWidth="1"/>
    <col min="13060" max="13060" width="40.42578125" style="84" bestFit="1" customWidth="1"/>
    <col min="13061" max="13061" width="2.42578125" style="84" customWidth="1"/>
    <col min="13062" max="13062" width="13.5703125" style="84" customWidth="1"/>
    <col min="13063" max="13063" width="2.42578125" style="84" customWidth="1"/>
    <col min="13064" max="13064" width="13.5703125" style="84" customWidth="1"/>
    <col min="13065" max="13065" width="2.42578125" style="84" customWidth="1"/>
    <col min="13066" max="13066" width="13.5703125" style="84" customWidth="1"/>
    <col min="13067" max="13067" width="2.42578125" style="84" customWidth="1"/>
    <col min="13068" max="13068" width="13.5703125" style="84" customWidth="1"/>
    <col min="13069" max="13069" width="2.42578125" style="84" customWidth="1"/>
    <col min="13070" max="13070" width="13.5703125" style="84" customWidth="1"/>
    <col min="13071" max="13071" width="2.42578125" style="84" customWidth="1"/>
    <col min="13072" max="13072" width="13.5703125" style="84" customWidth="1"/>
    <col min="13073" max="13073" width="2.42578125" style="84" customWidth="1"/>
    <col min="13074" max="13074" width="13.5703125" style="84" customWidth="1"/>
    <col min="13075" max="13075" width="2.42578125" style="84" customWidth="1"/>
    <col min="13076" max="13076" width="13.5703125" style="84" customWidth="1"/>
    <col min="13077" max="13077" width="4" style="84" customWidth="1"/>
    <col min="13078" max="13078" width="3.5703125" style="84" customWidth="1"/>
    <col min="13079" max="13079" width="6.85546875" style="84" bestFit="1" customWidth="1"/>
    <col min="13080" max="13080" width="12.85546875" style="84" bestFit="1" customWidth="1"/>
    <col min="13081" max="13081" width="40.42578125" style="84" bestFit="1" customWidth="1"/>
    <col min="13082" max="13082" width="2.42578125" style="84" customWidth="1"/>
    <col min="13083" max="13083" width="13.5703125" style="84" customWidth="1"/>
    <col min="13084" max="13084" width="2.42578125" style="84" customWidth="1"/>
    <col min="13085" max="13085" width="13.5703125" style="84" customWidth="1"/>
    <col min="13086" max="13086" width="2.42578125" style="84" customWidth="1"/>
    <col min="13087" max="13087" width="13.5703125" style="84" customWidth="1"/>
    <col min="13088" max="13088" width="2.42578125" style="84" customWidth="1"/>
    <col min="13089" max="13089" width="13.5703125" style="84" customWidth="1"/>
    <col min="13090" max="13090" width="2.42578125" style="84" customWidth="1"/>
    <col min="13091" max="13091" width="13.5703125" style="84" customWidth="1"/>
    <col min="13092" max="13092" width="2.42578125" style="84" customWidth="1"/>
    <col min="13093" max="13093" width="13.5703125" style="84" customWidth="1"/>
    <col min="13094" max="13094" width="2.42578125" style="84" customWidth="1"/>
    <col min="13095" max="13095" width="13.5703125" style="84" customWidth="1"/>
    <col min="13096" max="13096" width="2.42578125" style="84" customWidth="1"/>
    <col min="13097" max="13097" width="13.5703125" style="84" customWidth="1"/>
    <col min="13098" max="13098" width="3.42578125" style="84" customWidth="1"/>
    <col min="13099" max="13312" width="9.140625" style="84"/>
    <col min="13313" max="13313" width="3.5703125" style="84" customWidth="1"/>
    <col min="13314" max="13314" width="6.85546875" style="84" bestFit="1" customWidth="1"/>
    <col min="13315" max="13315" width="12" style="84" bestFit="1" customWidth="1"/>
    <col min="13316" max="13316" width="40.42578125" style="84" bestFit="1" customWidth="1"/>
    <col min="13317" max="13317" width="2.42578125" style="84" customWidth="1"/>
    <col min="13318" max="13318" width="13.5703125" style="84" customWidth="1"/>
    <col min="13319" max="13319" width="2.42578125" style="84" customWidth="1"/>
    <col min="13320" max="13320" width="13.5703125" style="84" customWidth="1"/>
    <col min="13321" max="13321" width="2.42578125" style="84" customWidth="1"/>
    <col min="13322" max="13322" width="13.5703125" style="84" customWidth="1"/>
    <col min="13323" max="13323" width="2.42578125" style="84" customWidth="1"/>
    <col min="13324" max="13324" width="13.5703125" style="84" customWidth="1"/>
    <col min="13325" max="13325" width="2.42578125" style="84" customWidth="1"/>
    <col min="13326" max="13326" width="13.5703125" style="84" customWidth="1"/>
    <col min="13327" max="13327" width="2.42578125" style="84" customWidth="1"/>
    <col min="13328" max="13328" width="13.5703125" style="84" customWidth="1"/>
    <col min="13329" max="13329" width="2.42578125" style="84" customWidth="1"/>
    <col min="13330" max="13330" width="13.5703125" style="84" customWidth="1"/>
    <col min="13331" max="13331" width="2.42578125" style="84" customWidth="1"/>
    <col min="13332" max="13332" width="13.5703125" style="84" customWidth="1"/>
    <col min="13333" max="13333" width="4" style="84" customWidth="1"/>
    <col min="13334" max="13334" width="3.5703125" style="84" customWidth="1"/>
    <col min="13335" max="13335" width="6.85546875" style="84" bestFit="1" customWidth="1"/>
    <col min="13336" max="13336" width="12.85546875" style="84" bestFit="1" customWidth="1"/>
    <col min="13337" max="13337" width="40.42578125" style="84" bestFit="1" customWidth="1"/>
    <col min="13338" max="13338" width="2.42578125" style="84" customWidth="1"/>
    <col min="13339" max="13339" width="13.5703125" style="84" customWidth="1"/>
    <col min="13340" max="13340" width="2.42578125" style="84" customWidth="1"/>
    <col min="13341" max="13341" width="13.5703125" style="84" customWidth="1"/>
    <col min="13342" max="13342" width="2.42578125" style="84" customWidth="1"/>
    <col min="13343" max="13343" width="13.5703125" style="84" customWidth="1"/>
    <col min="13344" max="13344" width="2.42578125" style="84" customWidth="1"/>
    <col min="13345" max="13345" width="13.5703125" style="84" customWidth="1"/>
    <col min="13346" max="13346" width="2.42578125" style="84" customWidth="1"/>
    <col min="13347" max="13347" width="13.5703125" style="84" customWidth="1"/>
    <col min="13348" max="13348" width="2.42578125" style="84" customWidth="1"/>
    <col min="13349" max="13349" width="13.5703125" style="84" customWidth="1"/>
    <col min="13350" max="13350" width="2.42578125" style="84" customWidth="1"/>
    <col min="13351" max="13351" width="13.5703125" style="84" customWidth="1"/>
    <col min="13352" max="13352" width="2.42578125" style="84" customWidth="1"/>
    <col min="13353" max="13353" width="13.5703125" style="84" customWidth="1"/>
    <col min="13354" max="13354" width="3.42578125" style="84" customWidth="1"/>
    <col min="13355" max="13568" width="9.140625" style="84"/>
    <col min="13569" max="13569" width="3.5703125" style="84" customWidth="1"/>
    <col min="13570" max="13570" width="6.85546875" style="84" bestFit="1" customWidth="1"/>
    <col min="13571" max="13571" width="12" style="84" bestFit="1" customWidth="1"/>
    <col min="13572" max="13572" width="40.42578125" style="84" bestFit="1" customWidth="1"/>
    <col min="13573" max="13573" width="2.42578125" style="84" customWidth="1"/>
    <col min="13574" max="13574" width="13.5703125" style="84" customWidth="1"/>
    <col min="13575" max="13575" width="2.42578125" style="84" customWidth="1"/>
    <col min="13576" max="13576" width="13.5703125" style="84" customWidth="1"/>
    <col min="13577" max="13577" width="2.42578125" style="84" customWidth="1"/>
    <col min="13578" max="13578" width="13.5703125" style="84" customWidth="1"/>
    <col min="13579" max="13579" width="2.42578125" style="84" customWidth="1"/>
    <col min="13580" max="13580" width="13.5703125" style="84" customWidth="1"/>
    <col min="13581" max="13581" width="2.42578125" style="84" customWidth="1"/>
    <col min="13582" max="13582" width="13.5703125" style="84" customWidth="1"/>
    <col min="13583" max="13583" width="2.42578125" style="84" customWidth="1"/>
    <col min="13584" max="13584" width="13.5703125" style="84" customWidth="1"/>
    <col min="13585" max="13585" width="2.42578125" style="84" customWidth="1"/>
    <col min="13586" max="13586" width="13.5703125" style="84" customWidth="1"/>
    <col min="13587" max="13587" width="2.42578125" style="84" customWidth="1"/>
    <col min="13588" max="13588" width="13.5703125" style="84" customWidth="1"/>
    <col min="13589" max="13589" width="4" style="84" customWidth="1"/>
    <col min="13590" max="13590" width="3.5703125" style="84" customWidth="1"/>
    <col min="13591" max="13591" width="6.85546875" style="84" bestFit="1" customWidth="1"/>
    <col min="13592" max="13592" width="12.85546875" style="84" bestFit="1" customWidth="1"/>
    <col min="13593" max="13593" width="40.42578125" style="84" bestFit="1" customWidth="1"/>
    <col min="13594" max="13594" width="2.42578125" style="84" customWidth="1"/>
    <col min="13595" max="13595" width="13.5703125" style="84" customWidth="1"/>
    <col min="13596" max="13596" width="2.42578125" style="84" customWidth="1"/>
    <col min="13597" max="13597" width="13.5703125" style="84" customWidth="1"/>
    <col min="13598" max="13598" width="2.42578125" style="84" customWidth="1"/>
    <col min="13599" max="13599" width="13.5703125" style="84" customWidth="1"/>
    <col min="13600" max="13600" width="2.42578125" style="84" customWidth="1"/>
    <col min="13601" max="13601" width="13.5703125" style="84" customWidth="1"/>
    <col min="13602" max="13602" width="2.42578125" style="84" customWidth="1"/>
    <col min="13603" max="13603" width="13.5703125" style="84" customWidth="1"/>
    <col min="13604" max="13604" width="2.42578125" style="84" customWidth="1"/>
    <col min="13605" max="13605" width="13.5703125" style="84" customWidth="1"/>
    <col min="13606" max="13606" width="2.42578125" style="84" customWidth="1"/>
    <col min="13607" max="13607" width="13.5703125" style="84" customWidth="1"/>
    <col min="13608" max="13608" width="2.42578125" style="84" customWidth="1"/>
    <col min="13609" max="13609" width="13.5703125" style="84" customWidth="1"/>
    <col min="13610" max="13610" width="3.42578125" style="84" customWidth="1"/>
    <col min="13611" max="13824" width="9.140625" style="84"/>
    <col min="13825" max="13825" width="3.5703125" style="84" customWidth="1"/>
    <col min="13826" max="13826" width="6.85546875" style="84" bestFit="1" customWidth="1"/>
    <col min="13827" max="13827" width="12" style="84" bestFit="1" customWidth="1"/>
    <col min="13828" max="13828" width="40.42578125" style="84" bestFit="1" customWidth="1"/>
    <col min="13829" max="13829" width="2.42578125" style="84" customWidth="1"/>
    <col min="13830" max="13830" width="13.5703125" style="84" customWidth="1"/>
    <col min="13831" max="13831" width="2.42578125" style="84" customWidth="1"/>
    <col min="13832" max="13832" width="13.5703125" style="84" customWidth="1"/>
    <col min="13833" max="13833" width="2.42578125" style="84" customWidth="1"/>
    <col min="13834" max="13834" width="13.5703125" style="84" customWidth="1"/>
    <col min="13835" max="13835" width="2.42578125" style="84" customWidth="1"/>
    <col min="13836" max="13836" width="13.5703125" style="84" customWidth="1"/>
    <col min="13837" max="13837" width="2.42578125" style="84" customWidth="1"/>
    <col min="13838" max="13838" width="13.5703125" style="84" customWidth="1"/>
    <col min="13839" max="13839" width="2.42578125" style="84" customWidth="1"/>
    <col min="13840" max="13840" width="13.5703125" style="84" customWidth="1"/>
    <col min="13841" max="13841" width="2.42578125" style="84" customWidth="1"/>
    <col min="13842" max="13842" width="13.5703125" style="84" customWidth="1"/>
    <col min="13843" max="13843" width="2.42578125" style="84" customWidth="1"/>
    <col min="13844" max="13844" width="13.5703125" style="84" customWidth="1"/>
    <col min="13845" max="13845" width="4" style="84" customWidth="1"/>
    <col min="13846" max="13846" width="3.5703125" style="84" customWidth="1"/>
    <col min="13847" max="13847" width="6.85546875" style="84" bestFit="1" customWidth="1"/>
    <col min="13848" max="13848" width="12.85546875" style="84" bestFit="1" customWidth="1"/>
    <col min="13849" max="13849" width="40.42578125" style="84" bestFit="1" customWidth="1"/>
    <col min="13850" max="13850" width="2.42578125" style="84" customWidth="1"/>
    <col min="13851" max="13851" width="13.5703125" style="84" customWidth="1"/>
    <col min="13852" max="13852" width="2.42578125" style="84" customWidth="1"/>
    <col min="13853" max="13853" width="13.5703125" style="84" customWidth="1"/>
    <col min="13854" max="13854" width="2.42578125" style="84" customWidth="1"/>
    <col min="13855" max="13855" width="13.5703125" style="84" customWidth="1"/>
    <col min="13856" max="13856" width="2.42578125" style="84" customWidth="1"/>
    <col min="13857" max="13857" width="13.5703125" style="84" customWidth="1"/>
    <col min="13858" max="13858" width="2.42578125" style="84" customWidth="1"/>
    <col min="13859" max="13859" width="13.5703125" style="84" customWidth="1"/>
    <col min="13860" max="13860" width="2.42578125" style="84" customWidth="1"/>
    <col min="13861" max="13861" width="13.5703125" style="84" customWidth="1"/>
    <col min="13862" max="13862" width="2.42578125" style="84" customWidth="1"/>
    <col min="13863" max="13863" width="13.5703125" style="84" customWidth="1"/>
    <col min="13864" max="13864" width="2.42578125" style="84" customWidth="1"/>
    <col min="13865" max="13865" width="13.5703125" style="84" customWidth="1"/>
    <col min="13866" max="13866" width="3.42578125" style="84" customWidth="1"/>
    <col min="13867" max="14080" width="9.140625" style="84"/>
    <col min="14081" max="14081" width="3.5703125" style="84" customWidth="1"/>
    <col min="14082" max="14082" width="6.85546875" style="84" bestFit="1" customWidth="1"/>
    <col min="14083" max="14083" width="12" style="84" bestFit="1" customWidth="1"/>
    <col min="14084" max="14084" width="40.42578125" style="84" bestFit="1" customWidth="1"/>
    <col min="14085" max="14085" width="2.42578125" style="84" customWidth="1"/>
    <col min="14086" max="14086" width="13.5703125" style="84" customWidth="1"/>
    <col min="14087" max="14087" width="2.42578125" style="84" customWidth="1"/>
    <col min="14088" max="14088" width="13.5703125" style="84" customWidth="1"/>
    <col min="14089" max="14089" width="2.42578125" style="84" customWidth="1"/>
    <col min="14090" max="14090" width="13.5703125" style="84" customWidth="1"/>
    <col min="14091" max="14091" width="2.42578125" style="84" customWidth="1"/>
    <col min="14092" max="14092" width="13.5703125" style="84" customWidth="1"/>
    <col min="14093" max="14093" width="2.42578125" style="84" customWidth="1"/>
    <col min="14094" max="14094" width="13.5703125" style="84" customWidth="1"/>
    <col min="14095" max="14095" width="2.42578125" style="84" customWidth="1"/>
    <col min="14096" max="14096" width="13.5703125" style="84" customWidth="1"/>
    <col min="14097" max="14097" width="2.42578125" style="84" customWidth="1"/>
    <col min="14098" max="14098" width="13.5703125" style="84" customWidth="1"/>
    <col min="14099" max="14099" width="2.42578125" style="84" customWidth="1"/>
    <col min="14100" max="14100" width="13.5703125" style="84" customWidth="1"/>
    <col min="14101" max="14101" width="4" style="84" customWidth="1"/>
    <col min="14102" max="14102" width="3.5703125" style="84" customWidth="1"/>
    <col min="14103" max="14103" width="6.85546875" style="84" bestFit="1" customWidth="1"/>
    <col min="14104" max="14104" width="12.85546875" style="84" bestFit="1" customWidth="1"/>
    <col min="14105" max="14105" width="40.42578125" style="84" bestFit="1" customWidth="1"/>
    <col min="14106" max="14106" width="2.42578125" style="84" customWidth="1"/>
    <col min="14107" max="14107" width="13.5703125" style="84" customWidth="1"/>
    <col min="14108" max="14108" width="2.42578125" style="84" customWidth="1"/>
    <col min="14109" max="14109" width="13.5703125" style="84" customWidth="1"/>
    <col min="14110" max="14110" width="2.42578125" style="84" customWidth="1"/>
    <col min="14111" max="14111" width="13.5703125" style="84" customWidth="1"/>
    <col min="14112" max="14112" width="2.42578125" style="84" customWidth="1"/>
    <col min="14113" max="14113" width="13.5703125" style="84" customWidth="1"/>
    <col min="14114" max="14114" width="2.42578125" style="84" customWidth="1"/>
    <col min="14115" max="14115" width="13.5703125" style="84" customWidth="1"/>
    <col min="14116" max="14116" width="2.42578125" style="84" customWidth="1"/>
    <col min="14117" max="14117" width="13.5703125" style="84" customWidth="1"/>
    <col min="14118" max="14118" width="2.42578125" style="84" customWidth="1"/>
    <col min="14119" max="14119" width="13.5703125" style="84" customWidth="1"/>
    <col min="14120" max="14120" width="2.42578125" style="84" customWidth="1"/>
    <col min="14121" max="14121" width="13.5703125" style="84" customWidth="1"/>
    <col min="14122" max="14122" width="3.42578125" style="84" customWidth="1"/>
    <col min="14123" max="14336" width="9.140625" style="84"/>
    <col min="14337" max="14337" width="3.5703125" style="84" customWidth="1"/>
    <col min="14338" max="14338" width="6.85546875" style="84" bestFit="1" customWidth="1"/>
    <col min="14339" max="14339" width="12" style="84" bestFit="1" customWidth="1"/>
    <col min="14340" max="14340" width="40.42578125" style="84" bestFit="1" customWidth="1"/>
    <col min="14341" max="14341" width="2.42578125" style="84" customWidth="1"/>
    <col min="14342" max="14342" width="13.5703125" style="84" customWidth="1"/>
    <col min="14343" max="14343" width="2.42578125" style="84" customWidth="1"/>
    <col min="14344" max="14344" width="13.5703125" style="84" customWidth="1"/>
    <col min="14345" max="14345" width="2.42578125" style="84" customWidth="1"/>
    <col min="14346" max="14346" width="13.5703125" style="84" customWidth="1"/>
    <col min="14347" max="14347" width="2.42578125" style="84" customWidth="1"/>
    <col min="14348" max="14348" width="13.5703125" style="84" customWidth="1"/>
    <col min="14349" max="14349" width="2.42578125" style="84" customWidth="1"/>
    <col min="14350" max="14350" width="13.5703125" style="84" customWidth="1"/>
    <col min="14351" max="14351" width="2.42578125" style="84" customWidth="1"/>
    <col min="14352" max="14352" width="13.5703125" style="84" customWidth="1"/>
    <col min="14353" max="14353" width="2.42578125" style="84" customWidth="1"/>
    <col min="14354" max="14354" width="13.5703125" style="84" customWidth="1"/>
    <col min="14355" max="14355" width="2.42578125" style="84" customWidth="1"/>
    <col min="14356" max="14356" width="13.5703125" style="84" customWidth="1"/>
    <col min="14357" max="14357" width="4" style="84" customWidth="1"/>
    <col min="14358" max="14358" width="3.5703125" style="84" customWidth="1"/>
    <col min="14359" max="14359" width="6.85546875" style="84" bestFit="1" customWidth="1"/>
    <col min="14360" max="14360" width="12.85546875" style="84" bestFit="1" customWidth="1"/>
    <col min="14361" max="14361" width="40.42578125" style="84" bestFit="1" customWidth="1"/>
    <col min="14362" max="14362" width="2.42578125" style="84" customWidth="1"/>
    <col min="14363" max="14363" width="13.5703125" style="84" customWidth="1"/>
    <col min="14364" max="14364" width="2.42578125" style="84" customWidth="1"/>
    <col min="14365" max="14365" width="13.5703125" style="84" customWidth="1"/>
    <col min="14366" max="14366" width="2.42578125" style="84" customWidth="1"/>
    <col min="14367" max="14367" width="13.5703125" style="84" customWidth="1"/>
    <col min="14368" max="14368" width="2.42578125" style="84" customWidth="1"/>
    <col min="14369" max="14369" width="13.5703125" style="84" customWidth="1"/>
    <col min="14370" max="14370" width="2.42578125" style="84" customWidth="1"/>
    <col min="14371" max="14371" width="13.5703125" style="84" customWidth="1"/>
    <col min="14372" max="14372" width="2.42578125" style="84" customWidth="1"/>
    <col min="14373" max="14373" width="13.5703125" style="84" customWidth="1"/>
    <col min="14374" max="14374" width="2.42578125" style="84" customWidth="1"/>
    <col min="14375" max="14375" width="13.5703125" style="84" customWidth="1"/>
    <col min="14376" max="14376" width="2.42578125" style="84" customWidth="1"/>
    <col min="14377" max="14377" width="13.5703125" style="84" customWidth="1"/>
    <col min="14378" max="14378" width="3.42578125" style="84" customWidth="1"/>
    <col min="14379" max="14592" width="9.140625" style="84"/>
    <col min="14593" max="14593" width="3.5703125" style="84" customWidth="1"/>
    <col min="14594" max="14594" width="6.85546875" style="84" bestFit="1" customWidth="1"/>
    <col min="14595" max="14595" width="12" style="84" bestFit="1" customWidth="1"/>
    <col min="14596" max="14596" width="40.42578125" style="84" bestFit="1" customWidth="1"/>
    <col min="14597" max="14597" width="2.42578125" style="84" customWidth="1"/>
    <col min="14598" max="14598" width="13.5703125" style="84" customWidth="1"/>
    <col min="14599" max="14599" width="2.42578125" style="84" customWidth="1"/>
    <col min="14600" max="14600" width="13.5703125" style="84" customWidth="1"/>
    <col min="14601" max="14601" width="2.42578125" style="84" customWidth="1"/>
    <col min="14602" max="14602" width="13.5703125" style="84" customWidth="1"/>
    <col min="14603" max="14603" width="2.42578125" style="84" customWidth="1"/>
    <col min="14604" max="14604" width="13.5703125" style="84" customWidth="1"/>
    <col min="14605" max="14605" width="2.42578125" style="84" customWidth="1"/>
    <col min="14606" max="14606" width="13.5703125" style="84" customWidth="1"/>
    <col min="14607" max="14607" width="2.42578125" style="84" customWidth="1"/>
    <col min="14608" max="14608" width="13.5703125" style="84" customWidth="1"/>
    <col min="14609" max="14609" width="2.42578125" style="84" customWidth="1"/>
    <col min="14610" max="14610" width="13.5703125" style="84" customWidth="1"/>
    <col min="14611" max="14611" width="2.42578125" style="84" customWidth="1"/>
    <col min="14612" max="14612" width="13.5703125" style="84" customWidth="1"/>
    <col min="14613" max="14613" width="4" style="84" customWidth="1"/>
    <col min="14614" max="14614" width="3.5703125" style="84" customWidth="1"/>
    <col min="14615" max="14615" width="6.85546875" style="84" bestFit="1" customWidth="1"/>
    <col min="14616" max="14616" width="12.85546875" style="84" bestFit="1" customWidth="1"/>
    <col min="14617" max="14617" width="40.42578125" style="84" bestFit="1" customWidth="1"/>
    <col min="14618" max="14618" width="2.42578125" style="84" customWidth="1"/>
    <col min="14619" max="14619" width="13.5703125" style="84" customWidth="1"/>
    <col min="14620" max="14620" width="2.42578125" style="84" customWidth="1"/>
    <col min="14621" max="14621" width="13.5703125" style="84" customWidth="1"/>
    <col min="14622" max="14622" width="2.42578125" style="84" customWidth="1"/>
    <col min="14623" max="14623" width="13.5703125" style="84" customWidth="1"/>
    <col min="14624" max="14624" width="2.42578125" style="84" customWidth="1"/>
    <col min="14625" max="14625" width="13.5703125" style="84" customWidth="1"/>
    <col min="14626" max="14626" width="2.42578125" style="84" customWidth="1"/>
    <col min="14627" max="14627" width="13.5703125" style="84" customWidth="1"/>
    <col min="14628" max="14628" width="2.42578125" style="84" customWidth="1"/>
    <col min="14629" max="14629" width="13.5703125" style="84" customWidth="1"/>
    <col min="14630" max="14630" width="2.42578125" style="84" customWidth="1"/>
    <col min="14631" max="14631" width="13.5703125" style="84" customWidth="1"/>
    <col min="14632" max="14632" width="2.42578125" style="84" customWidth="1"/>
    <col min="14633" max="14633" width="13.5703125" style="84" customWidth="1"/>
    <col min="14634" max="14634" width="3.42578125" style="84" customWidth="1"/>
    <col min="14635" max="14848" width="9.140625" style="84"/>
    <col min="14849" max="14849" width="3.5703125" style="84" customWidth="1"/>
    <col min="14850" max="14850" width="6.85546875" style="84" bestFit="1" customWidth="1"/>
    <col min="14851" max="14851" width="12" style="84" bestFit="1" customWidth="1"/>
    <col min="14852" max="14852" width="40.42578125" style="84" bestFit="1" customWidth="1"/>
    <col min="14853" max="14853" width="2.42578125" style="84" customWidth="1"/>
    <col min="14854" max="14854" width="13.5703125" style="84" customWidth="1"/>
    <col min="14855" max="14855" width="2.42578125" style="84" customWidth="1"/>
    <col min="14856" max="14856" width="13.5703125" style="84" customWidth="1"/>
    <col min="14857" max="14857" width="2.42578125" style="84" customWidth="1"/>
    <col min="14858" max="14858" width="13.5703125" style="84" customWidth="1"/>
    <col min="14859" max="14859" width="2.42578125" style="84" customWidth="1"/>
    <col min="14860" max="14860" width="13.5703125" style="84" customWidth="1"/>
    <col min="14861" max="14861" width="2.42578125" style="84" customWidth="1"/>
    <col min="14862" max="14862" width="13.5703125" style="84" customWidth="1"/>
    <col min="14863" max="14863" width="2.42578125" style="84" customWidth="1"/>
    <col min="14864" max="14864" width="13.5703125" style="84" customWidth="1"/>
    <col min="14865" max="14865" width="2.42578125" style="84" customWidth="1"/>
    <col min="14866" max="14866" width="13.5703125" style="84" customWidth="1"/>
    <col min="14867" max="14867" width="2.42578125" style="84" customWidth="1"/>
    <col min="14868" max="14868" width="13.5703125" style="84" customWidth="1"/>
    <col min="14869" max="14869" width="4" style="84" customWidth="1"/>
    <col min="14870" max="14870" width="3.5703125" style="84" customWidth="1"/>
    <col min="14871" max="14871" width="6.85546875" style="84" bestFit="1" customWidth="1"/>
    <col min="14872" max="14872" width="12.85546875" style="84" bestFit="1" customWidth="1"/>
    <col min="14873" max="14873" width="40.42578125" style="84" bestFit="1" customWidth="1"/>
    <col min="14874" max="14874" width="2.42578125" style="84" customWidth="1"/>
    <col min="14875" max="14875" width="13.5703125" style="84" customWidth="1"/>
    <col min="14876" max="14876" width="2.42578125" style="84" customWidth="1"/>
    <col min="14877" max="14877" width="13.5703125" style="84" customWidth="1"/>
    <col min="14878" max="14878" width="2.42578125" style="84" customWidth="1"/>
    <col min="14879" max="14879" width="13.5703125" style="84" customWidth="1"/>
    <col min="14880" max="14880" width="2.42578125" style="84" customWidth="1"/>
    <col min="14881" max="14881" width="13.5703125" style="84" customWidth="1"/>
    <col min="14882" max="14882" width="2.42578125" style="84" customWidth="1"/>
    <col min="14883" max="14883" width="13.5703125" style="84" customWidth="1"/>
    <col min="14884" max="14884" width="2.42578125" style="84" customWidth="1"/>
    <col min="14885" max="14885" width="13.5703125" style="84" customWidth="1"/>
    <col min="14886" max="14886" width="2.42578125" style="84" customWidth="1"/>
    <col min="14887" max="14887" width="13.5703125" style="84" customWidth="1"/>
    <col min="14888" max="14888" width="2.42578125" style="84" customWidth="1"/>
    <col min="14889" max="14889" width="13.5703125" style="84" customWidth="1"/>
    <col min="14890" max="14890" width="3.42578125" style="84" customWidth="1"/>
    <col min="14891" max="15104" width="9.140625" style="84"/>
    <col min="15105" max="15105" width="3.5703125" style="84" customWidth="1"/>
    <col min="15106" max="15106" width="6.85546875" style="84" bestFit="1" customWidth="1"/>
    <col min="15107" max="15107" width="12" style="84" bestFit="1" customWidth="1"/>
    <col min="15108" max="15108" width="40.42578125" style="84" bestFit="1" customWidth="1"/>
    <col min="15109" max="15109" width="2.42578125" style="84" customWidth="1"/>
    <col min="15110" max="15110" width="13.5703125" style="84" customWidth="1"/>
    <col min="15111" max="15111" width="2.42578125" style="84" customWidth="1"/>
    <col min="15112" max="15112" width="13.5703125" style="84" customWidth="1"/>
    <col min="15113" max="15113" width="2.42578125" style="84" customWidth="1"/>
    <col min="15114" max="15114" width="13.5703125" style="84" customWidth="1"/>
    <col min="15115" max="15115" width="2.42578125" style="84" customWidth="1"/>
    <col min="15116" max="15116" width="13.5703125" style="84" customWidth="1"/>
    <col min="15117" max="15117" width="2.42578125" style="84" customWidth="1"/>
    <col min="15118" max="15118" width="13.5703125" style="84" customWidth="1"/>
    <col min="15119" max="15119" width="2.42578125" style="84" customWidth="1"/>
    <col min="15120" max="15120" width="13.5703125" style="84" customWidth="1"/>
    <col min="15121" max="15121" width="2.42578125" style="84" customWidth="1"/>
    <col min="15122" max="15122" width="13.5703125" style="84" customWidth="1"/>
    <col min="15123" max="15123" width="2.42578125" style="84" customWidth="1"/>
    <col min="15124" max="15124" width="13.5703125" style="84" customWidth="1"/>
    <col min="15125" max="15125" width="4" style="84" customWidth="1"/>
    <col min="15126" max="15126" width="3.5703125" style="84" customWidth="1"/>
    <col min="15127" max="15127" width="6.85546875" style="84" bestFit="1" customWidth="1"/>
    <col min="15128" max="15128" width="12.85546875" style="84" bestFit="1" customWidth="1"/>
    <col min="15129" max="15129" width="40.42578125" style="84" bestFit="1" customWidth="1"/>
    <col min="15130" max="15130" width="2.42578125" style="84" customWidth="1"/>
    <col min="15131" max="15131" width="13.5703125" style="84" customWidth="1"/>
    <col min="15132" max="15132" width="2.42578125" style="84" customWidth="1"/>
    <col min="15133" max="15133" width="13.5703125" style="84" customWidth="1"/>
    <col min="15134" max="15134" width="2.42578125" style="84" customWidth="1"/>
    <col min="15135" max="15135" width="13.5703125" style="84" customWidth="1"/>
    <col min="15136" max="15136" width="2.42578125" style="84" customWidth="1"/>
    <col min="15137" max="15137" width="13.5703125" style="84" customWidth="1"/>
    <col min="15138" max="15138" width="2.42578125" style="84" customWidth="1"/>
    <col min="15139" max="15139" width="13.5703125" style="84" customWidth="1"/>
    <col min="15140" max="15140" width="2.42578125" style="84" customWidth="1"/>
    <col min="15141" max="15141" width="13.5703125" style="84" customWidth="1"/>
    <col min="15142" max="15142" width="2.42578125" style="84" customWidth="1"/>
    <col min="15143" max="15143" width="13.5703125" style="84" customWidth="1"/>
    <col min="15144" max="15144" width="2.42578125" style="84" customWidth="1"/>
    <col min="15145" max="15145" width="13.5703125" style="84" customWidth="1"/>
    <col min="15146" max="15146" width="3.42578125" style="84" customWidth="1"/>
    <col min="15147" max="15360" width="9.140625" style="84"/>
    <col min="15361" max="15361" width="3.5703125" style="84" customWidth="1"/>
    <col min="15362" max="15362" width="6.85546875" style="84" bestFit="1" customWidth="1"/>
    <col min="15363" max="15363" width="12" style="84" bestFit="1" customWidth="1"/>
    <col min="15364" max="15364" width="40.42578125" style="84" bestFit="1" customWidth="1"/>
    <col min="15365" max="15365" width="2.42578125" style="84" customWidth="1"/>
    <col min="15366" max="15366" width="13.5703125" style="84" customWidth="1"/>
    <col min="15367" max="15367" width="2.42578125" style="84" customWidth="1"/>
    <col min="15368" max="15368" width="13.5703125" style="84" customWidth="1"/>
    <col min="15369" max="15369" width="2.42578125" style="84" customWidth="1"/>
    <col min="15370" max="15370" width="13.5703125" style="84" customWidth="1"/>
    <col min="15371" max="15371" width="2.42578125" style="84" customWidth="1"/>
    <col min="15372" max="15372" width="13.5703125" style="84" customWidth="1"/>
    <col min="15373" max="15373" width="2.42578125" style="84" customWidth="1"/>
    <col min="15374" max="15374" width="13.5703125" style="84" customWidth="1"/>
    <col min="15375" max="15375" width="2.42578125" style="84" customWidth="1"/>
    <col min="15376" max="15376" width="13.5703125" style="84" customWidth="1"/>
    <col min="15377" max="15377" width="2.42578125" style="84" customWidth="1"/>
    <col min="15378" max="15378" width="13.5703125" style="84" customWidth="1"/>
    <col min="15379" max="15379" width="2.42578125" style="84" customWidth="1"/>
    <col min="15380" max="15380" width="13.5703125" style="84" customWidth="1"/>
    <col min="15381" max="15381" width="4" style="84" customWidth="1"/>
    <col min="15382" max="15382" width="3.5703125" style="84" customWidth="1"/>
    <col min="15383" max="15383" width="6.85546875" style="84" bestFit="1" customWidth="1"/>
    <col min="15384" max="15384" width="12.85546875" style="84" bestFit="1" customWidth="1"/>
    <col min="15385" max="15385" width="40.42578125" style="84" bestFit="1" customWidth="1"/>
    <col min="15386" max="15386" width="2.42578125" style="84" customWidth="1"/>
    <col min="15387" max="15387" width="13.5703125" style="84" customWidth="1"/>
    <col min="15388" max="15388" width="2.42578125" style="84" customWidth="1"/>
    <col min="15389" max="15389" width="13.5703125" style="84" customWidth="1"/>
    <col min="15390" max="15390" width="2.42578125" style="84" customWidth="1"/>
    <col min="15391" max="15391" width="13.5703125" style="84" customWidth="1"/>
    <col min="15392" max="15392" width="2.42578125" style="84" customWidth="1"/>
    <col min="15393" max="15393" width="13.5703125" style="84" customWidth="1"/>
    <col min="15394" max="15394" width="2.42578125" style="84" customWidth="1"/>
    <col min="15395" max="15395" width="13.5703125" style="84" customWidth="1"/>
    <col min="15396" max="15396" width="2.42578125" style="84" customWidth="1"/>
    <col min="15397" max="15397" width="13.5703125" style="84" customWidth="1"/>
    <col min="15398" max="15398" width="2.42578125" style="84" customWidth="1"/>
    <col min="15399" max="15399" width="13.5703125" style="84" customWidth="1"/>
    <col min="15400" max="15400" width="2.42578125" style="84" customWidth="1"/>
    <col min="15401" max="15401" width="13.5703125" style="84" customWidth="1"/>
    <col min="15402" max="15402" width="3.42578125" style="84" customWidth="1"/>
    <col min="15403" max="15616" width="9.140625" style="84"/>
    <col min="15617" max="15617" width="3.5703125" style="84" customWidth="1"/>
    <col min="15618" max="15618" width="6.85546875" style="84" bestFit="1" customWidth="1"/>
    <col min="15619" max="15619" width="12" style="84" bestFit="1" customWidth="1"/>
    <col min="15620" max="15620" width="40.42578125" style="84" bestFit="1" customWidth="1"/>
    <col min="15621" max="15621" width="2.42578125" style="84" customWidth="1"/>
    <col min="15622" max="15622" width="13.5703125" style="84" customWidth="1"/>
    <col min="15623" max="15623" width="2.42578125" style="84" customWidth="1"/>
    <col min="15624" max="15624" width="13.5703125" style="84" customWidth="1"/>
    <col min="15625" max="15625" width="2.42578125" style="84" customWidth="1"/>
    <col min="15626" max="15626" width="13.5703125" style="84" customWidth="1"/>
    <col min="15627" max="15627" width="2.42578125" style="84" customWidth="1"/>
    <col min="15628" max="15628" width="13.5703125" style="84" customWidth="1"/>
    <col min="15629" max="15629" width="2.42578125" style="84" customWidth="1"/>
    <col min="15630" max="15630" width="13.5703125" style="84" customWidth="1"/>
    <col min="15631" max="15631" width="2.42578125" style="84" customWidth="1"/>
    <col min="15632" max="15632" width="13.5703125" style="84" customWidth="1"/>
    <col min="15633" max="15633" width="2.42578125" style="84" customWidth="1"/>
    <col min="15634" max="15634" width="13.5703125" style="84" customWidth="1"/>
    <col min="15635" max="15635" width="2.42578125" style="84" customWidth="1"/>
    <col min="15636" max="15636" width="13.5703125" style="84" customWidth="1"/>
    <col min="15637" max="15637" width="4" style="84" customWidth="1"/>
    <col min="15638" max="15638" width="3.5703125" style="84" customWidth="1"/>
    <col min="15639" max="15639" width="6.85546875" style="84" bestFit="1" customWidth="1"/>
    <col min="15640" max="15640" width="12.85546875" style="84" bestFit="1" customWidth="1"/>
    <col min="15641" max="15641" width="40.42578125" style="84" bestFit="1" customWidth="1"/>
    <col min="15642" max="15642" width="2.42578125" style="84" customWidth="1"/>
    <col min="15643" max="15643" width="13.5703125" style="84" customWidth="1"/>
    <col min="15644" max="15644" width="2.42578125" style="84" customWidth="1"/>
    <col min="15645" max="15645" width="13.5703125" style="84" customWidth="1"/>
    <col min="15646" max="15646" width="2.42578125" style="84" customWidth="1"/>
    <col min="15647" max="15647" width="13.5703125" style="84" customWidth="1"/>
    <col min="15648" max="15648" width="2.42578125" style="84" customWidth="1"/>
    <col min="15649" max="15649" width="13.5703125" style="84" customWidth="1"/>
    <col min="15650" max="15650" width="2.42578125" style="84" customWidth="1"/>
    <col min="15651" max="15651" width="13.5703125" style="84" customWidth="1"/>
    <col min="15652" max="15652" width="2.42578125" style="84" customWidth="1"/>
    <col min="15653" max="15653" width="13.5703125" style="84" customWidth="1"/>
    <col min="15654" max="15654" width="2.42578125" style="84" customWidth="1"/>
    <col min="15655" max="15655" width="13.5703125" style="84" customWidth="1"/>
    <col min="15656" max="15656" width="2.42578125" style="84" customWidth="1"/>
    <col min="15657" max="15657" width="13.5703125" style="84" customWidth="1"/>
    <col min="15658" max="15658" width="3.42578125" style="84" customWidth="1"/>
    <col min="15659" max="15872" width="9.140625" style="84"/>
    <col min="15873" max="15873" width="3.5703125" style="84" customWidth="1"/>
    <col min="15874" max="15874" width="6.85546875" style="84" bestFit="1" customWidth="1"/>
    <col min="15875" max="15875" width="12" style="84" bestFit="1" customWidth="1"/>
    <col min="15876" max="15876" width="40.42578125" style="84" bestFit="1" customWidth="1"/>
    <col min="15877" max="15877" width="2.42578125" style="84" customWidth="1"/>
    <col min="15878" max="15878" width="13.5703125" style="84" customWidth="1"/>
    <col min="15879" max="15879" width="2.42578125" style="84" customWidth="1"/>
    <col min="15880" max="15880" width="13.5703125" style="84" customWidth="1"/>
    <col min="15881" max="15881" width="2.42578125" style="84" customWidth="1"/>
    <col min="15882" max="15882" width="13.5703125" style="84" customWidth="1"/>
    <col min="15883" max="15883" width="2.42578125" style="84" customWidth="1"/>
    <col min="15884" max="15884" width="13.5703125" style="84" customWidth="1"/>
    <col min="15885" max="15885" width="2.42578125" style="84" customWidth="1"/>
    <col min="15886" max="15886" width="13.5703125" style="84" customWidth="1"/>
    <col min="15887" max="15887" width="2.42578125" style="84" customWidth="1"/>
    <col min="15888" max="15888" width="13.5703125" style="84" customWidth="1"/>
    <col min="15889" max="15889" width="2.42578125" style="84" customWidth="1"/>
    <col min="15890" max="15890" width="13.5703125" style="84" customWidth="1"/>
    <col min="15891" max="15891" width="2.42578125" style="84" customWidth="1"/>
    <col min="15892" max="15892" width="13.5703125" style="84" customWidth="1"/>
    <col min="15893" max="15893" width="4" style="84" customWidth="1"/>
    <col min="15894" max="15894" width="3.5703125" style="84" customWidth="1"/>
    <col min="15895" max="15895" width="6.85546875" style="84" bestFit="1" customWidth="1"/>
    <col min="15896" max="15896" width="12.85546875" style="84" bestFit="1" customWidth="1"/>
    <col min="15897" max="15897" width="40.42578125" style="84" bestFit="1" customWidth="1"/>
    <col min="15898" max="15898" width="2.42578125" style="84" customWidth="1"/>
    <col min="15899" max="15899" width="13.5703125" style="84" customWidth="1"/>
    <col min="15900" max="15900" width="2.42578125" style="84" customWidth="1"/>
    <col min="15901" max="15901" width="13.5703125" style="84" customWidth="1"/>
    <col min="15902" max="15902" width="2.42578125" style="84" customWidth="1"/>
    <col min="15903" max="15903" width="13.5703125" style="84" customWidth="1"/>
    <col min="15904" max="15904" width="2.42578125" style="84" customWidth="1"/>
    <col min="15905" max="15905" width="13.5703125" style="84" customWidth="1"/>
    <col min="15906" max="15906" width="2.42578125" style="84" customWidth="1"/>
    <col min="15907" max="15907" width="13.5703125" style="84" customWidth="1"/>
    <col min="15908" max="15908" width="2.42578125" style="84" customWidth="1"/>
    <col min="15909" max="15909" width="13.5703125" style="84" customWidth="1"/>
    <col min="15910" max="15910" width="2.42578125" style="84" customWidth="1"/>
    <col min="15911" max="15911" width="13.5703125" style="84" customWidth="1"/>
    <col min="15912" max="15912" width="2.42578125" style="84" customWidth="1"/>
    <col min="15913" max="15913" width="13.5703125" style="84" customWidth="1"/>
    <col min="15914" max="15914" width="3.42578125" style="84" customWidth="1"/>
    <col min="15915" max="16128" width="9.140625" style="84"/>
    <col min="16129" max="16129" width="3.5703125" style="84" customWidth="1"/>
    <col min="16130" max="16130" width="6.85546875" style="84" bestFit="1" customWidth="1"/>
    <col min="16131" max="16131" width="12" style="84" bestFit="1" customWidth="1"/>
    <col min="16132" max="16132" width="40.42578125" style="84" bestFit="1" customWidth="1"/>
    <col min="16133" max="16133" width="2.42578125" style="84" customWidth="1"/>
    <col min="16134" max="16134" width="13.5703125" style="84" customWidth="1"/>
    <col min="16135" max="16135" width="2.42578125" style="84" customWidth="1"/>
    <col min="16136" max="16136" width="13.5703125" style="84" customWidth="1"/>
    <col min="16137" max="16137" width="2.42578125" style="84" customWidth="1"/>
    <col min="16138" max="16138" width="13.5703125" style="84" customWidth="1"/>
    <col min="16139" max="16139" width="2.42578125" style="84" customWidth="1"/>
    <col min="16140" max="16140" width="13.5703125" style="84" customWidth="1"/>
    <col min="16141" max="16141" width="2.42578125" style="84" customWidth="1"/>
    <col min="16142" max="16142" width="13.5703125" style="84" customWidth="1"/>
    <col min="16143" max="16143" width="2.42578125" style="84" customWidth="1"/>
    <col min="16144" max="16144" width="13.5703125" style="84" customWidth="1"/>
    <col min="16145" max="16145" width="2.42578125" style="84" customWidth="1"/>
    <col min="16146" max="16146" width="13.5703125" style="84" customWidth="1"/>
    <col min="16147" max="16147" width="2.42578125" style="84" customWidth="1"/>
    <col min="16148" max="16148" width="13.5703125" style="84" customWidth="1"/>
    <col min="16149" max="16149" width="4" style="84" customWidth="1"/>
    <col min="16150" max="16150" width="3.5703125" style="84" customWidth="1"/>
    <col min="16151" max="16151" width="6.85546875" style="84" bestFit="1" customWidth="1"/>
    <col min="16152" max="16152" width="12.85546875" style="84" bestFit="1" customWidth="1"/>
    <col min="16153" max="16153" width="40.42578125" style="84" bestFit="1" customWidth="1"/>
    <col min="16154" max="16154" width="2.42578125" style="84" customWidth="1"/>
    <col min="16155" max="16155" width="13.5703125" style="84" customWidth="1"/>
    <col min="16156" max="16156" width="2.42578125" style="84" customWidth="1"/>
    <col min="16157" max="16157" width="13.5703125" style="84" customWidth="1"/>
    <col min="16158" max="16158" width="2.42578125" style="84" customWidth="1"/>
    <col min="16159" max="16159" width="13.5703125" style="84" customWidth="1"/>
    <col min="16160" max="16160" width="2.42578125" style="84" customWidth="1"/>
    <col min="16161" max="16161" width="13.5703125" style="84" customWidth="1"/>
    <col min="16162" max="16162" width="2.42578125" style="84" customWidth="1"/>
    <col min="16163" max="16163" width="13.5703125" style="84" customWidth="1"/>
    <col min="16164" max="16164" width="2.42578125" style="84" customWidth="1"/>
    <col min="16165" max="16165" width="13.5703125" style="84" customWidth="1"/>
    <col min="16166" max="16166" width="2.42578125" style="84" customWidth="1"/>
    <col min="16167" max="16167" width="13.5703125" style="84" customWidth="1"/>
    <col min="16168" max="16168" width="2.42578125" style="84" customWidth="1"/>
    <col min="16169" max="16169" width="13.5703125" style="84" customWidth="1"/>
    <col min="16170" max="16170" width="3.42578125" style="84" customWidth="1"/>
    <col min="16171" max="16384" width="9.140625" style="84"/>
  </cols>
  <sheetData>
    <row r="1" spans="1:41" ht="13.5" thickBot="1" x14ac:dyDescent="0.25">
      <c r="A1" s="605" t="s">
        <v>301</v>
      </c>
      <c r="B1" s="114"/>
      <c r="C1" s="114"/>
      <c r="D1" s="114"/>
      <c r="E1" s="114"/>
      <c r="F1" s="114" t="s">
        <v>302</v>
      </c>
      <c r="G1" s="114"/>
      <c r="H1" s="114"/>
      <c r="I1" s="114"/>
      <c r="J1" s="114"/>
      <c r="K1" s="114"/>
      <c r="L1" s="114"/>
      <c r="M1" s="114"/>
      <c r="N1" s="114"/>
      <c r="O1" s="114"/>
      <c r="P1" s="638">
        <v>10</v>
      </c>
      <c r="Q1" s="114"/>
      <c r="R1" s="638">
        <v>10</v>
      </c>
      <c r="S1" s="114"/>
      <c r="T1" s="114" t="s">
        <v>323</v>
      </c>
      <c r="V1" s="605" t="s">
        <v>301</v>
      </c>
      <c r="W1" s="335"/>
      <c r="X1" s="335"/>
      <c r="Y1" s="114"/>
      <c r="Z1" s="114"/>
      <c r="AA1" s="114" t="s">
        <v>302</v>
      </c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 t="s">
        <v>324</v>
      </c>
    </row>
    <row r="2" spans="1:41" ht="14.1" customHeight="1" x14ac:dyDescent="0.2">
      <c r="A2" s="84" t="s">
        <v>129</v>
      </c>
      <c r="E2" s="88" t="s">
        <v>130</v>
      </c>
      <c r="F2" s="616" t="s">
        <v>303</v>
      </c>
      <c r="J2" s="623"/>
      <c r="K2" s="623"/>
      <c r="P2" s="623"/>
      <c r="Q2" s="623"/>
      <c r="R2" s="623" t="s">
        <v>132</v>
      </c>
      <c r="T2" s="604"/>
      <c r="V2" s="84" t="s">
        <v>129</v>
      </c>
      <c r="Z2" s="88" t="s">
        <v>130</v>
      </c>
      <c r="AA2" s="84" t="s">
        <v>303</v>
      </c>
      <c r="AE2" s="623"/>
      <c r="AF2" s="623"/>
      <c r="AH2" s="623"/>
      <c r="AJ2" s="623"/>
      <c r="AK2" s="623"/>
      <c r="AL2" s="623"/>
      <c r="AM2" s="623" t="s">
        <v>132</v>
      </c>
      <c r="AO2" s="604"/>
    </row>
    <row r="3" spans="1:41" ht="14.1" customHeight="1" x14ac:dyDescent="0.2">
      <c r="F3" s="616" t="s">
        <v>304</v>
      </c>
      <c r="J3" s="88"/>
      <c r="K3" s="604"/>
      <c r="P3" s="88"/>
      <c r="Q3" s="88"/>
      <c r="R3" s="604" t="s">
        <v>844</v>
      </c>
      <c r="T3" s="88"/>
      <c r="AA3" s="84" t="s">
        <v>304</v>
      </c>
      <c r="AE3" s="88"/>
      <c r="AF3" s="604"/>
      <c r="AH3" s="604"/>
      <c r="AK3" s="88"/>
      <c r="AL3" s="88"/>
      <c r="AM3" s="604" t="s">
        <v>844</v>
      </c>
      <c r="AO3" s="88"/>
    </row>
    <row r="4" spans="1:41" ht="14.1" customHeight="1" x14ac:dyDescent="0.2">
      <c r="A4" s="84" t="s">
        <v>134</v>
      </c>
      <c r="J4" s="88"/>
      <c r="K4" s="604"/>
      <c r="L4" s="88"/>
      <c r="N4" s="88"/>
      <c r="Q4" s="88"/>
      <c r="R4" s="604"/>
      <c r="T4" s="88"/>
      <c r="V4" s="84" t="s">
        <v>134</v>
      </c>
      <c r="AE4" s="88"/>
      <c r="AF4" s="604"/>
      <c r="AG4" s="88"/>
      <c r="AH4" s="604"/>
      <c r="AI4" s="88"/>
      <c r="AL4" s="88"/>
      <c r="AM4" s="604"/>
      <c r="AO4" s="88"/>
    </row>
    <row r="5" spans="1:41" ht="14.1" customHeight="1" x14ac:dyDescent="0.2">
      <c r="J5" s="88"/>
      <c r="K5" s="604"/>
      <c r="L5" s="88"/>
      <c r="N5" s="88"/>
      <c r="Q5" s="88"/>
      <c r="R5" s="604"/>
      <c r="T5" s="88"/>
      <c r="AE5" s="88"/>
      <c r="AF5" s="604"/>
      <c r="AG5" s="88"/>
      <c r="AH5" s="604"/>
      <c r="AI5" s="88"/>
      <c r="AL5" s="88"/>
      <c r="AM5" s="604"/>
      <c r="AO5" s="88"/>
    </row>
    <row r="6" spans="1:41" ht="14.1" customHeight="1" thickBot="1" x14ac:dyDescent="0.25">
      <c r="A6" s="605" t="s">
        <v>135</v>
      </c>
      <c r="B6" s="114"/>
      <c r="C6" s="114"/>
      <c r="D6" s="114"/>
      <c r="E6" s="114"/>
      <c r="F6" s="114"/>
      <c r="G6" s="114"/>
      <c r="H6" s="606"/>
      <c r="I6" s="114"/>
      <c r="J6" s="114"/>
      <c r="K6" s="114"/>
      <c r="L6" s="114"/>
      <c r="M6" s="114"/>
      <c r="N6" s="114"/>
      <c r="O6" s="114"/>
      <c r="P6" s="114"/>
      <c r="Q6" s="114"/>
      <c r="R6" s="605"/>
      <c r="S6" s="114"/>
      <c r="T6" s="114"/>
      <c r="V6" s="605" t="s">
        <v>135</v>
      </c>
      <c r="W6" s="335"/>
      <c r="X6" s="335"/>
      <c r="Y6" s="114"/>
      <c r="Z6" s="114"/>
      <c r="AA6" s="114"/>
      <c r="AB6" s="114"/>
      <c r="AC6" s="606"/>
      <c r="AD6" s="114"/>
      <c r="AE6" s="114"/>
      <c r="AF6" s="114"/>
      <c r="AG6" s="114"/>
      <c r="AH6" s="114"/>
      <c r="AI6" s="114"/>
      <c r="AJ6" s="114"/>
      <c r="AK6" s="114"/>
      <c r="AL6" s="114"/>
      <c r="AM6" s="605"/>
      <c r="AN6" s="114"/>
      <c r="AO6" s="114"/>
    </row>
    <row r="7" spans="1:41" ht="14.1" customHeight="1" x14ac:dyDescent="0.2">
      <c r="C7" s="607"/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X7" s="336"/>
      <c r="Y7" s="607"/>
      <c r="Z7" s="607"/>
      <c r="AA7" s="607"/>
      <c r="AB7" s="607"/>
      <c r="AC7" s="607"/>
      <c r="AD7" s="607"/>
      <c r="AE7" s="607"/>
      <c r="AF7" s="607"/>
      <c r="AG7" s="607"/>
      <c r="AH7" s="607"/>
      <c r="AI7" s="607"/>
      <c r="AJ7" s="607"/>
      <c r="AK7" s="607"/>
      <c r="AL7" s="607"/>
      <c r="AM7" s="607"/>
      <c r="AN7" s="607"/>
      <c r="AO7" s="607"/>
    </row>
    <row r="8" spans="1:41" ht="14.1" customHeight="1" x14ac:dyDescent="0.2">
      <c r="C8" s="607" t="s">
        <v>136</v>
      </c>
      <c r="D8" s="607" t="s">
        <v>137</v>
      </c>
      <c r="E8" s="607"/>
      <c r="F8" s="607" t="s">
        <v>138</v>
      </c>
      <c r="G8" s="607"/>
      <c r="H8" s="607" t="s">
        <v>139</v>
      </c>
      <c r="I8" s="607"/>
      <c r="J8" s="237" t="s">
        <v>140</v>
      </c>
      <c r="L8" s="607" t="s">
        <v>141</v>
      </c>
      <c r="M8" s="607"/>
      <c r="N8" s="607" t="s">
        <v>142</v>
      </c>
      <c r="O8" s="607"/>
      <c r="P8" s="607" t="s">
        <v>143</v>
      </c>
      <c r="Q8" s="607"/>
      <c r="R8" s="607" t="s">
        <v>144</v>
      </c>
      <c r="S8" s="607"/>
      <c r="T8" s="607" t="s">
        <v>305</v>
      </c>
      <c r="X8" s="336" t="s">
        <v>136</v>
      </c>
      <c r="Y8" s="607" t="s">
        <v>137</v>
      </c>
      <c r="Z8" s="607"/>
      <c r="AA8" s="607" t="s">
        <v>138</v>
      </c>
      <c r="AB8" s="607"/>
      <c r="AC8" s="607" t="s">
        <v>139</v>
      </c>
      <c r="AD8" s="607"/>
      <c r="AE8" s="237" t="s">
        <v>140</v>
      </c>
      <c r="AG8" s="607" t="s">
        <v>141</v>
      </c>
      <c r="AI8" s="607" t="s">
        <v>142</v>
      </c>
      <c r="AJ8" s="607"/>
      <c r="AK8" s="607" t="s">
        <v>143</v>
      </c>
      <c r="AL8" s="607"/>
      <c r="AM8" s="607" t="s">
        <v>144</v>
      </c>
      <c r="AN8" s="607"/>
      <c r="AO8" s="607" t="s">
        <v>305</v>
      </c>
    </row>
    <row r="9" spans="1:41" ht="14.1" customHeight="1" x14ac:dyDescent="0.2">
      <c r="C9" s="237" t="s">
        <v>145</v>
      </c>
      <c r="D9" s="237" t="s">
        <v>145</v>
      </c>
      <c r="F9" s="607" t="s">
        <v>41</v>
      </c>
      <c r="G9" s="237"/>
      <c r="H9" s="607" t="s">
        <v>40</v>
      </c>
      <c r="I9" s="237"/>
      <c r="J9" s="607"/>
      <c r="K9" s="237"/>
      <c r="L9" s="237"/>
      <c r="M9" s="237"/>
      <c r="N9" s="237"/>
      <c r="O9" s="237"/>
      <c r="P9" s="237"/>
      <c r="Q9" s="237"/>
      <c r="R9" s="237" t="s">
        <v>41</v>
      </c>
      <c r="T9" s="237"/>
      <c r="X9" s="337" t="s">
        <v>145</v>
      </c>
      <c r="Y9" s="237" t="s">
        <v>145</v>
      </c>
      <c r="AA9" s="607" t="s">
        <v>41</v>
      </c>
      <c r="AB9" s="237"/>
      <c r="AC9" s="607" t="s">
        <v>40</v>
      </c>
      <c r="AD9" s="237"/>
      <c r="AE9" s="607"/>
      <c r="AF9" s="237"/>
      <c r="AG9" s="237"/>
      <c r="AH9" s="237"/>
      <c r="AI9" s="237"/>
      <c r="AJ9" s="237"/>
      <c r="AK9" s="237"/>
      <c r="AL9" s="237"/>
      <c r="AM9" s="237" t="s">
        <v>41</v>
      </c>
      <c r="AO9" s="237"/>
    </row>
    <row r="10" spans="1:41" ht="14.1" customHeight="1" x14ac:dyDescent="0.2">
      <c r="A10" s="84" t="s">
        <v>146</v>
      </c>
      <c r="B10" s="237"/>
      <c r="C10" s="237" t="s">
        <v>147</v>
      </c>
      <c r="D10" s="237" t="s">
        <v>147</v>
      </c>
      <c r="E10" s="607"/>
      <c r="F10" s="237" t="s">
        <v>6</v>
      </c>
      <c r="G10" s="237"/>
      <c r="H10" s="237" t="s">
        <v>6</v>
      </c>
      <c r="I10" s="237"/>
      <c r="J10" s="237"/>
      <c r="K10" s="607"/>
      <c r="L10" s="237" t="s">
        <v>306</v>
      </c>
      <c r="M10" s="237"/>
      <c r="N10" s="237" t="s">
        <v>306</v>
      </c>
      <c r="O10" s="237"/>
      <c r="P10" s="237" t="s">
        <v>150</v>
      </c>
      <c r="Q10" s="607"/>
      <c r="R10" s="607" t="s">
        <v>6</v>
      </c>
      <c r="S10" s="607"/>
      <c r="T10" s="237" t="s">
        <v>151</v>
      </c>
      <c r="V10" s="84" t="s">
        <v>146</v>
      </c>
      <c r="W10" s="337"/>
      <c r="X10" s="337" t="s">
        <v>147</v>
      </c>
      <c r="Y10" s="237" t="s">
        <v>147</v>
      </c>
      <c r="Z10" s="607"/>
      <c r="AA10" s="237" t="s">
        <v>6</v>
      </c>
      <c r="AB10" s="237"/>
      <c r="AC10" s="237" t="s">
        <v>6</v>
      </c>
      <c r="AD10" s="237"/>
      <c r="AE10" s="237"/>
      <c r="AF10" s="607"/>
      <c r="AG10" s="237" t="s">
        <v>306</v>
      </c>
      <c r="AH10" s="607"/>
      <c r="AI10" s="237" t="s">
        <v>306</v>
      </c>
      <c r="AJ10" s="604"/>
      <c r="AK10" s="237" t="s">
        <v>150</v>
      </c>
      <c r="AL10" s="607"/>
      <c r="AM10" s="607" t="s">
        <v>6</v>
      </c>
      <c r="AN10" s="607"/>
      <c r="AO10" s="237" t="s">
        <v>151</v>
      </c>
    </row>
    <row r="11" spans="1:41" ht="14.1" customHeight="1" thickBot="1" x14ac:dyDescent="0.25">
      <c r="A11" s="114" t="s">
        <v>152</v>
      </c>
      <c r="B11" s="606"/>
      <c r="C11" s="606" t="s">
        <v>52</v>
      </c>
      <c r="D11" s="606" t="s">
        <v>153</v>
      </c>
      <c r="E11" s="606"/>
      <c r="F11" s="608" t="s">
        <v>154</v>
      </c>
      <c r="G11" s="608"/>
      <c r="H11" s="608" t="s">
        <v>307</v>
      </c>
      <c r="I11" s="609"/>
      <c r="J11" s="608" t="s">
        <v>18</v>
      </c>
      <c r="K11" s="609"/>
      <c r="L11" s="608" t="s">
        <v>19</v>
      </c>
      <c r="M11" s="609"/>
      <c r="N11" s="608" t="s">
        <v>54</v>
      </c>
      <c r="O11" s="609"/>
      <c r="P11" s="610" t="s">
        <v>157</v>
      </c>
      <c r="Q11" s="610"/>
      <c r="R11" s="610" t="s">
        <v>158</v>
      </c>
      <c r="S11" s="610"/>
      <c r="T11" s="610" t="s">
        <v>3</v>
      </c>
      <c r="V11" s="114" t="s">
        <v>152</v>
      </c>
      <c r="W11" s="338"/>
      <c r="X11" s="338" t="s">
        <v>52</v>
      </c>
      <c r="Y11" s="606" t="s">
        <v>153</v>
      </c>
      <c r="Z11" s="606"/>
      <c r="AA11" s="608" t="s">
        <v>154</v>
      </c>
      <c r="AB11" s="608"/>
      <c r="AC11" s="608" t="s">
        <v>307</v>
      </c>
      <c r="AD11" s="609"/>
      <c r="AE11" s="608" t="s">
        <v>18</v>
      </c>
      <c r="AF11" s="609"/>
      <c r="AG11" s="608" t="s">
        <v>19</v>
      </c>
      <c r="AH11" s="609"/>
      <c r="AI11" s="609" t="s">
        <v>54</v>
      </c>
      <c r="AJ11" s="610"/>
      <c r="AK11" s="610" t="s">
        <v>157</v>
      </c>
      <c r="AL11" s="610"/>
      <c r="AM11" s="610" t="s">
        <v>158</v>
      </c>
      <c r="AN11" s="610"/>
      <c r="AO11" s="610" t="s">
        <v>3</v>
      </c>
    </row>
    <row r="12" spans="1:41" ht="14.1" customHeight="1" x14ac:dyDescent="0.2">
      <c r="A12" s="84">
        <v>1</v>
      </c>
      <c r="B12" s="596"/>
      <c r="V12" s="84">
        <v>1</v>
      </c>
      <c r="W12" s="611"/>
    </row>
    <row r="13" spans="1:41" ht="14.1" customHeight="1" x14ac:dyDescent="0.2">
      <c r="A13" s="84">
        <v>2</v>
      </c>
      <c r="B13" s="596"/>
      <c r="D13" s="84" t="s">
        <v>58</v>
      </c>
      <c r="V13" s="84">
        <v>2</v>
      </c>
      <c r="W13" s="611"/>
      <c r="X13" s="339"/>
    </row>
    <row r="14" spans="1:41" ht="14.1" customHeight="1" x14ac:dyDescent="0.2">
      <c r="A14" s="84">
        <v>3</v>
      </c>
      <c r="B14" s="596"/>
      <c r="D14" s="84" t="s">
        <v>159</v>
      </c>
      <c r="F14" s="612">
        <v>10</v>
      </c>
      <c r="G14" s="613"/>
      <c r="H14" s="612">
        <v>11</v>
      </c>
      <c r="I14" s="613"/>
      <c r="J14" s="612">
        <v>12</v>
      </c>
      <c r="K14" s="613"/>
      <c r="L14" s="612">
        <v>13</v>
      </c>
      <c r="M14" s="613"/>
      <c r="N14" s="612">
        <v>14</v>
      </c>
      <c r="O14" s="613"/>
      <c r="P14" s="612">
        <v>15</v>
      </c>
      <c r="Q14" s="613"/>
      <c r="R14" s="612">
        <v>16</v>
      </c>
      <c r="S14" s="613"/>
      <c r="T14" s="612">
        <v>17</v>
      </c>
      <c r="V14" s="84">
        <v>3</v>
      </c>
      <c r="W14" s="611"/>
      <c r="X14" s="78"/>
      <c r="Y14" s="84" t="s">
        <v>68</v>
      </c>
      <c r="AA14" s="110">
        <v>753621135.6400001</v>
      </c>
      <c r="AB14" s="613"/>
      <c r="AC14" s="110">
        <v>73922560.410000011</v>
      </c>
      <c r="AD14" s="613"/>
      <c r="AE14" s="110">
        <v>-8508904.4500000011</v>
      </c>
      <c r="AF14" s="613"/>
      <c r="AG14" s="110">
        <v>-20812974.929999996</v>
      </c>
      <c r="AH14" s="613"/>
      <c r="AI14" s="110">
        <v>337.80000000002474</v>
      </c>
      <c r="AJ14" s="613"/>
      <c r="AK14" s="110">
        <v>43891.57</v>
      </c>
      <c r="AL14" s="613"/>
      <c r="AM14" s="110">
        <v>798266046.0400002</v>
      </c>
      <c r="AN14" s="613"/>
      <c r="AO14" s="110">
        <v>777368400.6023078</v>
      </c>
    </row>
    <row r="15" spans="1:41" ht="14.1" customHeight="1" x14ac:dyDescent="0.2">
      <c r="A15" s="84">
        <v>4</v>
      </c>
      <c r="B15" s="596"/>
      <c r="D15" s="84" t="s">
        <v>160</v>
      </c>
      <c r="G15" s="340"/>
      <c r="H15" s="340"/>
      <c r="I15" s="341"/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1"/>
      <c r="V15" s="84">
        <v>4</v>
      </c>
      <c r="W15" s="611"/>
      <c r="X15" s="78"/>
      <c r="AB15" s="340"/>
      <c r="AC15" s="340"/>
      <c r="AD15" s="340"/>
      <c r="AE15" s="340"/>
      <c r="AF15" s="340"/>
      <c r="AG15" s="340"/>
      <c r="AH15" s="340"/>
      <c r="AI15" s="340"/>
      <c r="AJ15" s="340"/>
      <c r="AK15" s="340"/>
      <c r="AL15" s="340"/>
      <c r="AM15" s="340"/>
      <c r="AN15" s="340"/>
      <c r="AO15" s="340"/>
    </row>
    <row r="16" spans="1:41" ht="14.1" customHeight="1" x14ac:dyDescent="0.2">
      <c r="A16" s="84">
        <v>5</v>
      </c>
      <c r="B16" s="596"/>
      <c r="C16" s="237">
        <v>31140</v>
      </c>
      <c r="D16" s="84" t="s">
        <v>161</v>
      </c>
      <c r="F16" s="68">
        <v>53160868.380000047</v>
      </c>
      <c r="G16" s="75"/>
      <c r="H16" s="68">
        <v>6166116.290000001</v>
      </c>
      <c r="I16" s="75"/>
      <c r="J16" s="68">
        <v>-1455001.3800000001</v>
      </c>
      <c r="K16" s="75"/>
      <c r="L16" s="68">
        <v>-122427.84</v>
      </c>
      <c r="M16" s="75"/>
      <c r="N16" s="68">
        <v>0</v>
      </c>
      <c r="O16" s="75"/>
      <c r="P16" s="68">
        <v>0</v>
      </c>
      <c r="Q16" s="75"/>
      <c r="R16" s="68">
        <v>57749555.45000004</v>
      </c>
      <c r="S16" s="75"/>
      <c r="T16" s="68">
        <v>55732928.092307724</v>
      </c>
      <c r="V16" s="84">
        <v>5</v>
      </c>
      <c r="W16" s="611"/>
      <c r="X16" s="342"/>
      <c r="Y16" s="84" t="s">
        <v>66</v>
      </c>
      <c r="AA16" s="239">
        <v>680271930.02999973</v>
      </c>
      <c r="AB16" s="238"/>
      <c r="AC16" s="239">
        <v>100953276.91999999</v>
      </c>
      <c r="AD16" s="238"/>
      <c r="AE16" s="239">
        <v>-8020620.9199999999</v>
      </c>
      <c r="AF16" s="238"/>
      <c r="AG16" s="239">
        <v>-4415523.1099999994</v>
      </c>
      <c r="AH16" s="238"/>
      <c r="AI16" s="239">
        <v>-706226.54999999993</v>
      </c>
      <c r="AJ16" s="238"/>
      <c r="AK16" s="239">
        <v>0</v>
      </c>
      <c r="AL16" s="112"/>
      <c r="AM16" s="239">
        <v>768082836.36999977</v>
      </c>
      <c r="AN16" s="112"/>
      <c r="AO16" s="239">
        <v>723305836.26769221</v>
      </c>
    </row>
    <row r="17" spans="1:41" ht="14.1" customHeight="1" x14ac:dyDescent="0.2">
      <c r="A17" s="84">
        <v>6</v>
      </c>
      <c r="B17" s="596"/>
      <c r="C17" s="237">
        <v>31240</v>
      </c>
      <c r="D17" s="84" t="s">
        <v>162</v>
      </c>
      <c r="F17" s="68">
        <v>13762028.419999994</v>
      </c>
      <c r="G17" s="75"/>
      <c r="H17" s="68">
        <v>6131273.0499999998</v>
      </c>
      <c r="I17" s="75"/>
      <c r="J17" s="68">
        <v>-1119580.77</v>
      </c>
      <c r="K17" s="75"/>
      <c r="L17" s="68">
        <v>-11313890.309999999</v>
      </c>
      <c r="M17" s="75"/>
      <c r="N17" s="68">
        <v>342212.14999999997</v>
      </c>
      <c r="O17" s="75"/>
      <c r="P17" s="68">
        <v>0</v>
      </c>
      <c r="Q17" s="75"/>
      <c r="R17" s="68">
        <v>7802042.5399999972</v>
      </c>
      <c r="S17" s="75"/>
      <c r="T17" s="68">
        <v>9969168.7115384564</v>
      </c>
      <c r="V17" s="84">
        <v>6</v>
      </c>
      <c r="W17" s="611"/>
      <c r="X17" s="342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112"/>
      <c r="AM17" s="238"/>
      <c r="AN17" s="112"/>
      <c r="AO17" s="238"/>
    </row>
    <row r="18" spans="1:41" ht="14.1" customHeight="1" x14ac:dyDescent="0.2">
      <c r="A18" s="84">
        <v>7</v>
      </c>
      <c r="B18" s="596"/>
      <c r="C18" s="237">
        <v>31440</v>
      </c>
      <c r="D18" s="84" t="s">
        <v>163</v>
      </c>
      <c r="F18" s="68">
        <v>3592257.9899999993</v>
      </c>
      <c r="G18" s="75"/>
      <c r="H18" s="68">
        <v>184355.72999999998</v>
      </c>
      <c r="I18" s="75"/>
      <c r="J18" s="68">
        <v>-444538.91</v>
      </c>
      <c r="K18" s="75"/>
      <c r="L18" s="68">
        <v>-649733.54</v>
      </c>
      <c r="M18" s="75"/>
      <c r="N18" s="68">
        <v>14937.759999999998</v>
      </c>
      <c r="O18" s="75"/>
      <c r="P18" s="68">
        <v>0</v>
      </c>
      <c r="Q18" s="75"/>
      <c r="R18" s="68">
        <v>2697279.0299999989</v>
      </c>
      <c r="S18" s="75"/>
      <c r="T18" s="68">
        <v>3094135.709999999</v>
      </c>
      <c r="V18" s="84">
        <v>7</v>
      </c>
      <c r="W18" s="611"/>
      <c r="X18" s="342"/>
      <c r="Y18" s="84" t="s">
        <v>67</v>
      </c>
      <c r="AA18" s="238">
        <v>1433893065.6699998</v>
      </c>
      <c r="AB18" s="238"/>
      <c r="AC18" s="238">
        <v>174875837.32999998</v>
      </c>
      <c r="AD18" s="238"/>
      <c r="AE18" s="238">
        <v>-16529525.370000001</v>
      </c>
      <c r="AF18" s="238"/>
      <c r="AG18" s="238">
        <v>-25228498.039999995</v>
      </c>
      <c r="AH18" s="238"/>
      <c r="AI18" s="238">
        <v>-705888.74999999988</v>
      </c>
      <c r="AJ18" s="238"/>
      <c r="AK18" s="238">
        <v>43891.57</v>
      </c>
      <c r="AL18" s="112"/>
      <c r="AM18" s="238">
        <v>1566348882.4099998</v>
      </c>
      <c r="AN18" s="112"/>
      <c r="AO18" s="238">
        <v>1500674236.8699999</v>
      </c>
    </row>
    <row r="19" spans="1:41" ht="14.1" customHeight="1" x14ac:dyDescent="0.2">
      <c r="A19" s="84">
        <v>8</v>
      </c>
      <c r="B19" s="596"/>
      <c r="C19" s="237">
        <v>31540</v>
      </c>
      <c r="D19" s="84" t="s">
        <v>164</v>
      </c>
      <c r="F19" s="68">
        <v>10654480.909999995</v>
      </c>
      <c r="G19" s="75"/>
      <c r="H19" s="68">
        <v>1600079.3799999997</v>
      </c>
      <c r="I19" s="75"/>
      <c r="J19" s="68">
        <v>-2647.31</v>
      </c>
      <c r="K19" s="75"/>
      <c r="L19" s="68">
        <v>-2811.94</v>
      </c>
      <c r="M19" s="75"/>
      <c r="N19" s="68">
        <v>0</v>
      </c>
      <c r="O19" s="75"/>
      <c r="P19" s="68">
        <v>0</v>
      </c>
      <c r="Q19" s="75"/>
      <c r="R19" s="68">
        <v>12249101.039999994</v>
      </c>
      <c r="S19" s="75"/>
      <c r="T19" s="68">
        <v>11451350.540769223</v>
      </c>
      <c r="V19" s="84">
        <v>8</v>
      </c>
      <c r="W19" s="611"/>
      <c r="X19" s="342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112"/>
      <c r="AM19" s="238"/>
      <c r="AN19" s="112"/>
      <c r="AO19" s="238"/>
    </row>
    <row r="20" spans="1:41" ht="14.1" customHeight="1" x14ac:dyDescent="0.2">
      <c r="A20" s="84">
        <v>9</v>
      </c>
      <c r="B20" s="596"/>
      <c r="C20" s="237">
        <v>31640</v>
      </c>
      <c r="D20" s="84" t="s">
        <v>165</v>
      </c>
      <c r="F20" s="68">
        <v>6442565.6500000041</v>
      </c>
      <c r="G20" s="75"/>
      <c r="H20" s="68">
        <v>1037774.48</v>
      </c>
      <c r="I20" s="75"/>
      <c r="J20" s="68">
        <v>-46642.8</v>
      </c>
      <c r="K20" s="75"/>
      <c r="L20" s="68">
        <v>0</v>
      </c>
      <c r="M20" s="75"/>
      <c r="N20" s="68">
        <v>66512</v>
      </c>
      <c r="O20" s="75"/>
      <c r="P20" s="68">
        <v>43891.57</v>
      </c>
      <c r="Q20" s="75"/>
      <c r="R20" s="68">
        <v>7544100.900000005</v>
      </c>
      <c r="S20" s="75"/>
      <c r="T20" s="68">
        <v>6991379.3538461579</v>
      </c>
      <c r="V20" s="84">
        <v>9</v>
      </c>
      <c r="W20" s="611"/>
      <c r="X20" s="342"/>
      <c r="Y20" s="84" t="s">
        <v>166</v>
      </c>
      <c r="AA20" s="238">
        <v>207034296.59000006</v>
      </c>
      <c r="AB20" s="238"/>
      <c r="AC20" s="238">
        <v>24857115.510000002</v>
      </c>
      <c r="AD20" s="238"/>
      <c r="AE20" s="238">
        <v>-5754910.7799999993</v>
      </c>
      <c r="AF20" s="238"/>
      <c r="AG20" s="238">
        <v>-4669018.3199999994</v>
      </c>
      <c r="AH20" s="238"/>
      <c r="AI20" s="238">
        <v>-304442.24999999994</v>
      </c>
      <c r="AJ20" s="238"/>
      <c r="AK20" s="238">
        <v>-92202.62</v>
      </c>
      <c r="AL20" s="112"/>
      <c r="AM20" s="238">
        <v>221070838.13000005</v>
      </c>
      <c r="AN20" s="112"/>
      <c r="AO20" s="238">
        <v>213525682.23923078</v>
      </c>
    </row>
    <row r="21" spans="1:41" ht="14.1" customHeight="1" x14ac:dyDescent="0.2">
      <c r="A21" s="84">
        <v>10</v>
      </c>
      <c r="B21" s="596"/>
      <c r="C21" s="237"/>
      <c r="D21" s="84" t="s">
        <v>167</v>
      </c>
      <c r="F21" s="111">
        <v>87612201.350000039</v>
      </c>
      <c r="G21" s="75"/>
      <c r="H21" s="111">
        <v>15119598.93</v>
      </c>
      <c r="I21" s="75"/>
      <c r="J21" s="111">
        <v>-3068411.1700000004</v>
      </c>
      <c r="K21" s="75"/>
      <c r="L21" s="111">
        <v>-12088863.629999997</v>
      </c>
      <c r="M21" s="75"/>
      <c r="N21" s="111">
        <v>423661.91</v>
      </c>
      <c r="O21" s="75"/>
      <c r="P21" s="111">
        <v>43891.57</v>
      </c>
      <c r="Q21" s="75"/>
      <c r="R21" s="111">
        <v>88042078.960000038</v>
      </c>
      <c r="S21" s="75"/>
      <c r="T21" s="111">
        <v>87238962.408461556</v>
      </c>
      <c r="V21" s="84">
        <v>10</v>
      </c>
      <c r="W21" s="611"/>
      <c r="X21" s="342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75"/>
      <c r="AM21" s="238"/>
      <c r="AN21" s="75"/>
      <c r="AO21" s="238"/>
    </row>
    <row r="22" spans="1:41" ht="14.1" customHeight="1" x14ac:dyDescent="0.2">
      <c r="A22" s="84">
        <v>11</v>
      </c>
      <c r="B22" s="596"/>
      <c r="C22" s="237"/>
      <c r="F22" s="106"/>
      <c r="G22" s="106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V22" s="84">
        <v>11</v>
      </c>
      <c r="W22" s="611"/>
      <c r="X22" s="342"/>
      <c r="Y22" s="84" t="s">
        <v>169</v>
      </c>
      <c r="AA22" s="238">
        <v>1020646546.3300002</v>
      </c>
      <c r="AB22" s="238"/>
      <c r="AC22" s="238">
        <v>97103746.939999998</v>
      </c>
      <c r="AD22" s="238"/>
      <c r="AE22" s="238">
        <v>-32932396.809999999</v>
      </c>
      <c r="AF22" s="238"/>
      <c r="AG22" s="238">
        <v>-27152533.02</v>
      </c>
      <c r="AH22" s="238"/>
      <c r="AI22" s="238">
        <v>3306711.9899999993</v>
      </c>
      <c r="AJ22" s="238"/>
      <c r="AK22" s="238">
        <v>4718307.8600000013</v>
      </c>
      <c r="AL22" s="75"/>
      <c r="AM22" s="238">
        <v>1065690383.2900001</v>
      </c>
      <c r="AN22" s="75"/>
      <c r="AO22" s="238">
        <v>1044559177.3046157</v>
      </c>
    </row>
    <row r="23" spans="1:41" ht="14.1" customHeight="1" x14ac:dyDescent="0.2">
      <c r="A23" s="84">
        <v>12</v>
      </c>
      <c r="B23" s="596"/>
      <c r="C23" s="237"/>
      <c r="D23" s="84" t="s">
        <v>170</v>
      </c>
      <c r="F23" s="106"/>
      <c r="G23" s="106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V23" s="84">
        <v>12</v>
      </c>
      <c r="W23" s="611"/>
      <c r="X23" s="342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75"/>
      <c r="AM23" s="238"/>
      <c r="AN23" s="75"/>
      <c r="AO23" s="238"/>
    </row>
    <row r="24" spans="1:41" ht="14.1" customHeight="1" x14ac:dyDescent="0.2">
      <c r="A24" s="84">
        <v>13</v>
      </c>
      <c r="B24" s="596"/>
      <c r="C24" s="237">
        <v>31141</v>
      </c>
      <c r="D24" s="84" t="s">
        <v>161</v>
      </c>
      <c r="F24" s="68">
        <v>4226859.5099999951</v>
      </c>
      <c r="G24" s="75"/>
      <c r="H24" s="68">
        <v>145742.51999999996</v>
      </c>
      <c r="I24" s="75"/>
      <c r="J24" s="68">
        <v>0</v>
      </c>
      <c r="K24" s="75"/>
      <c r="L24" s="68">
        <v>0</v>
      </c>
      <c r="M24" s="75"/>
      <c r="N24" s="68">
        <v>0</v>
      </c>
      <c r="O24" s="75"/>
      <c r="P24" s="68">
        <v>0</v>
      </c>
      <c r="Q24" s="75"/>
      <c r="R24" s="68">
        <v>4372602.0299999947</v>
      </c>
      <c r="S24" s="75"/>
      <c r="T24" s="68">
        <v>4299730.7699999949</v>
      </c>
      <c r="V24" s="84">
        <v>13</v>
      </c>
      <c r="W24" s="611"/>
      <c r="X24" s="342"/>
      <c r="Y24" s="84" t="s">
        <v>171</v>
      </c>
      <c r="AA24" s="239">
        <v>123540153.46000002</v>
      </c>
      <c r="AB24" s="238"/>
      <c r="AC24" s="239">
        <v>25312645.640000004</v>
      </c>
      <c r="AD24" s="238"/>
      <c r="AE24" s="239">
        <v>-15528849.100000001</v>
      </c>
      <c r="AF24" s="238"/>
      <c r="AG24" s="239">
        <v>-599037.44000000006</v>
      </c>
      <c r="AH24" s="238"/>
      <c r="AI24" s="239">
        <v>757358.85000000009</v>
      </c>
      <c r="AJ24" s="238"/>
      <c r="AK24" s="239">
        <v>729946.80999999994</v>
      </c>
      <c r="AL24" s="614"/>
      <c r="AM24" s="239">
        <v>134212218.22000004</v>
      </c>
      <c r="AN24" s="112"/>
      <c r="AO24" s="239">
        <v>128921181.06153849</v>
      </c>
    </row>
    <row r="25" spans="1:41" ht="14.1" customHeight="1" x14ac:dyDescent="0.2">
      <c r="A25" s="84">
        <v>14</v>
      </c>
      <c r="B25" s="596"/>
      <c r="C25" s="237">
        <v>31241</v>
      </c>
      <c r="D25" s="84" t="s">
        <v>162</v>
      </c>
      <c r="F25" s="68">
        <v>30481462.48999998</v>
      </c>
      <c r="G25" s="75"/>
      <c r="H25" s="68">
        <v>4098382.09</v>
      </c>
      <c r="I25" s="75"/>
      <c r="J25" s="68">
        <v>-33323.22</v>
      </c>
      <c r="K25" s="75"/>
      <c r="L25" s="68">
        <v>-1606085.79</v>
      </c>
      <c r="M25" s="75"/>
      <c r="N25" s="68">
        <v>-40653.740000000005</v>
      </c>
      <c r="O25" s="75"/>
      <c r="P25" s="68">
        <v>0</v>
      </c>
      <c r="Q25" s="75"/>
      <c r="R25" s="68">
        <v>32899781.829999987</v>
      </c>
      <c r="S25" s="75"/>
      <c r="T25" s="68">
        <v>32233518.015384596</v>
      </c>
      <c r="V25" s="84">
        <v>14</v>
      </c>
      <c r="W25" s="611"/>
      <c r="X25" s="342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112"/>
      <c r="AM25" s="238"/>
      <c r="AN25" s="112"/>
      <c r="AO25" s="238"/>
    </row>
    <row r="26" spans="1:41" ht="14.1" customHeight="1" x14ac:dyDescent="0.2">
      <c r="A26" s="84">
        <v>15</v>
      </c>
      <c r="B26" s="596"/>
      <c r="C26" s="237">
        <v>31441</v>
      </c>
      <c r="D26" s="84" t="s">
        <v>163</v>
      </c>
      <c r="F26" s="68">
        <v>14014554.570000011</v>
      </c>
      <c r="G26" s="75"/>
      <c r="H26" s="68">
        <v>1764366.06</v>
      </c>
      <c r="I26" s="75"/>
      <c r="J26" s="68">
        <v>-15417.51</v>
      </c>
      <c r="K26" s="75"/>
      <c r="L26" s="68">
        <v>-762302.62</v>
      </c>
      <c r="M26" s="75"/>
      <c r="N26" s="68">
        <v>-20093.330000000002</v>
      </c>
      <c r="O26" s="75"/>
      <c r="P26" s="68">
        <v>0</v>
      </c>
      <c r="Q26" s="75"/>
      <c r="R26" s="68">
        <v>14981107.170000013</v>
      </c>
      <c r="S26" s="75"/>
      <c r="T26" s="68">
        <v>14758563.072307704</v>
      </c>
      <c r="V26" s="84">
        <v>15</v>
      </c>
      <c r="W26" s="611"/>
      <c r="X26" s="342"/>
      <c r="Y26" s="615" t="s">
        <v>308</v>
      </c>
      <c r="AA26" s="238">
        <v>2785114062.0500002</v>
      </c>
      <c r="AB26" s="238"/>
      <c r="AC26" s="238">
        <v>322149345.41999996</v>
      </c>
      <c r="AD26" s="238"/>
      <c r="AE26" s="238">
        <v>-70745682.060000002</v>
      </c>
      <c r="AF26" s="238"/>
      <c r="AG26" s="238">
        <v>-57649086.819999993</v>
      </c>
      <c r="AH26" s="238"/>
      <c r="AI26" s="238">
        <v>3053739.8399999994</v>
      </c>
      <c r="AJ26" s="238"/>
      <c r="AK26" s="238">
        <v>5399943.620000001</v>
      </c>
      <c r="AL26" s="614"/>
      <c r="AM26" s="238">
        <v>2987322322.0500002</v>
      </c>
      <c r="AN26" s="112"/>
      <c r="AO26" s="238">
        <v>2887680277.4753852</v>
      </c>
    </row>
    <row r="27" spans="1:41" ht="14.1" customHeight="1" x14ac:dyDescent="0.2">
      <c r="A27" s="84">
        <v>16</v>
      </c>
      <c r="B27" s="596"/>
      <c r="C27" s="237">
        <v>31541</v>
      </c>
      <c r="D27" s="84" t="s">
        <v>164</v>
      </c>
      <c r="F27" s="68">
        <v>7278562.2300000014</v>
      </c>
      <c r="G27" s="75"/>
      <c r="H27" s="68">
        <v>595652.16</v>
      </c>
      <c r="I27" s="75"/>
      <c r="J27" s="68">
        <v>0</v>
      </c>
      <c r="K27" s="75"/>
      <c r="L27" s="68">
        <v>0</v>
      </c>
      <c r="M27" s="75"/>
      <c r="N27" s="68">
        <v>0</v>
      </c>
      <c r="O27" s="75"/>
      <c r="P27" s="68">
        <v>0</v>
      </c>
      <c r="Q27" s="75"/>
      <c r="R27" s="68">
        <v>7874214.3900000015</v>
      </c>
      <c r="S27" s="75"/>
      <c r="T27" s="68">
        <v>7576388.3100000005</v>
      </c>
      <c r="V27" s="84">
        <v>16</v>
      </c>
      <c r="W27" s="611"/>
      <c r="X27" s="342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112"/>
      <c r="AM27" s="238"/>
      <c r="AN27" s="112"/>
      <c r="AO27" s="238"/>
    </row>
    <row r="28" spans="1:41" ht="14.1" customHeight="1" x14ac:dyDescent="0.2">
      <c r="A28" s="84">
        <v>17</v>
      </c>
      <c r="B28" s="596"/>
      <c r="C28" s="237">
        <v>31641</v>
      </c>
      <c r="D28" s="84" t="s">
        <v>165</v>
      </c>
      <c r="F28" s="68">
        <v>477106.18999999814</v>
      </c>
      <c r="G28" s="75"/>
      <c r="H28" s="68">
        <v>28123.679999999997</v>
      </c>
      <c r="I28" s="75"/>
      <c r="J28" s="68">
        <v>0</v>
      </c>
      <c r="K28" s="75"/>
      <c r="L28" s="68">
        <v>0</v>
      </c>
      <c r="M28" s="75"/>
      <c r="N28" s="68">
        <v>0</v>
      </c>
      <c r="O28" s="75"/>
      <c r="P28" s="68">
        <v>0</v>
      </c>
      <c r="Q28" s="75"/>
      <c r="R28" s="68">
        <v>505229.86999999813</v>
      </c>
      <c r="S28" s="75"/>
      <c r="T28" s="68">
        <v>491168.02999999828</v>
      </c>
      <c r="V28" s="84">
        <v>17</v>
      </c>
      <c r="W28" s="611"/>
      <c r="X28" s="342"/>
      <c r="Y28" s="616" t="s">
        <v>173</v>
      </c>
      <c r="AA28" s="238">
        <v>0</v>
      </c>
      <c r="AB28" s="238"/>
      <c r="AC28" s="238">
        <v>0</v>
      </c>
      <c r="AD28" s="238"/>
      <c r="AE28" s="238">
        <v>0</v>
      </c>
      <c r="AF28" s="238"/>
      <c r="AG28" s="238">
        <v>0</v>
      </c>
      <c r="AH28" s="238"/>
      <c r="AI28" s="238">
        <v>0</v>
      </c>
      <c r="AJ28" s="238"/>
      <c r="AK28" s="238">
        <v>0</v>
      </c>
      <c r="AL28" s="112"/>
      <c r="AM28" s="238">
        <v>0</v>
      </c>
      <c r="AN28" s="112"/>
      <c r="AO28" s="238">
        <v>0</v>
      </c>
    </row>
    <row r="29" spans="1:41" ht="14.1" customHeight="1" x14ac:dyDescent="0.2">
      <c r="A29" s="84">
        <v>18</v>
      </c>
      <c r="B29" s="596"/>
      <c r="C29" s="237"/>
      <c r="D29" s="84" t="s">
        <v>174</v>
      </c>
      <c r="F29" s="111">
        <v>56478544.989999995</v>
      </c>
      <c r="G29" s="75"/>
      <c r="H29" s="111">
        <v>6632266.5099999998</v>
      </c>
      <c r="I29" s="75"/>
      <c r="J29" s="111">
        <v>-48740.73</v>
      </c>
      <c r="K29" s="75"/>
      <c r="L29" s="111">
        <v>-2368388.41</v>
      </c>
      <c r="M29" s="75"/>
      <c r="N29" s="111">
        <v>-60747.070000000007</v>
      </c>
      <c r="O29" s="75"/>
      <c r="P29" s="111">
        <v>0</v>
      </c>
      <c r="Q29" s="75"/>
      <c r="R29" s="111">
        <v>60632935.289999999</v>
      </c>
      <c r="S29" s="75"/>
      <c r="T29" s="111">
        <v>59359368.197692297</v>
      </c>
      <c r="V29" s="84">
        <v>18</v>
      </c>
      <c r="W29" s="611"/>
      <c r="X29" s="342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75"/>
      <c r="AM29" s="238"/>
      <c r="AN29" s="75"/>
      <c r="AO29" s="238"/>
    </row>
    <row r="30" spans="1:41" ht="14.1" customHeight="1" x14ac:dyDescent="0.2">
      <c r="A30" s="84">
        <v>19</v>
      </c>
      <c r="B30" s="596"/>
      <c r="C30" s="237"/>
      <c r="D30" s="617"/>
      <c r="E30" s="617"/>
      <c r="F30" s="106"/>
      <c r="G30" s="106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V30" s="84">
        <v>19</v>
      </c>
      <c r="W30" s="611"/>
      <c r="X30" s="342"/>
      <c r="Y30" s="617" t="s">
        <v>175</v>
      </c>
      <c r="Z30" s="617"/>
      <c r="AA30" s="347">
        <v>66784074.710000023</v>
      </c>
      <c r="AB30" s="347"/>
      <c r="AC30" s="347">
        <v>14726949.710000003</v>
      </c>
      <c r="AD30" s="347"/>
      <c r="AE30" s="347">
        <v>0</v>
      </c>
      <c r="AF30" s="347"/>
      <c r="AG30" s="347">
        <v>0</v>
      </c>
      <c r="AH30" s="347"/>
      <c r="AI30" s="347">
        <v>0</v>
      </c>
      <c r="AJ30" s="347"/>
      <c r="AK30" s="347">
        <v>1579818.76</v>
      </c>
      <c r="AL30" s="614"/>
      <c r="AM30" s="347">
        <v>83090843.180000022</v>
      </c>
      <c r="AN30" s="75"/>
      <c r="AO30" s="347">
        <v>74201091.528461531</v>
      </c>
    </row>
    <row r="31" spans="1:41" ht="14.1" customHeight="1" x14ac:dyDescent="0.2">
      <c r="A31" s="84">
        <v>20</v>
      </c>
      <c r="B31" s="596"/>
      <c r="C31" s="237"/>
      <c r="D31" s="617" t="s">
        <v>176</v>
      </c>
      <c r="E31" s="617"/>
      <c r="F31" s="106"/>
      <c r="G31" s="106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V31" s="84">
        <v>20</v>
      </c>
      <c r="W31" s="611"/>
      <c r="X31" s="342"/>
      <c r="Y31" s="617"/>
      <c r="Z31" s="617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75"/>
      <c r="AM31" s="238"/>
      <c r="AN31" s="75"/>
      <c r="AO31" s="238"/>
    </row>
    <row r="32" spans="1:41" ht="14.1" customHeight="1" x14ac:dyDescent="0.2">
      <c r="A32" s="84">
        <v>21</v>
      </c>
      <c r="B32" s="596"/>
      <c r="C32" s="237">
        <v>31142</v>
      </c>
      <c r="D32" s="84" t="s">
        <v>161</v>
      </c>
      <c r="F32" s="68">
        <v>3849613.3399999915</v>
      </c>
      <c r="G32" s="75"/>
      <c r="H32" s="68">
        <v>139805.28000000003</v>
      </c>
      <c r="I32" s="75"/>
      <c r="J32" s="68">
        <v>-89874.53</v>
      </c>
      <c r="K32" s="75"/>
      <c r="L32" s="68">
        <v>0</v>
      </c>
      <c r="M32" s="75"/>
      <c r="N32" s="68">
        <v>0</v>
      </c>
      <c r="O32" s="75"/>
      <c r="P32" s="68">
        <v>0</v>
      </c>
      <c r="Q32" s="75"/>
      <c r="R32" s="68">
        <v>3899544.0899999919</v>
      </c>
      <c r="S32" s="75"/>
      <c r="T32" s="68">
        <v>3856951.1823076834</v>
      </c>
      <c r="V32" s="84">
        <v>21</v>
      </c>
      <c r="W32" s="611"/>
      <c r="X32" s="342"/>
      <c r="Y32" s="616" t="s">
        <v>177</v>
      </c>
      <c r="AA32" s="239">
        <v>11940045.609999998</v>
      </c>
      <c r="AB32" s="239"/>
      <c r="AC32" s="239">
        <v>18362415.52</v>
      </c>
      <c r="AD32" s="238"/>
      <c r="AE32" s="239">
        <v>-18001106.350000001</v>
      </c>
      <c r="AF32" s="238"/>
      <c r="AG32" s="239">
        <v>0</v>
      </c>
      <c r="AH32" s="238"/>
      <c r="AI32" s="239">
        <v>0</v>
      </c>
      <c r="AJ32" s="238"/>
      <c r="AK32" s="239">
        <v>4872840.46</v>
      </c>
      <c r="AL32" s="614"/>
      <c r="AM32" s="239">
        <v>17174195.240000002</v>
      </c>
      <c r="AN32" s="75"/>
      <c r="AO32" s="239">
        <v>20698562.20230769</v>
      </c>
    </row>
    <row r="33" spans="1:41" ht="14.1" customHeight="1" x14ac:dyDescent="0.2">
      <c r="A33" s="84">
        <v>22</v>
      </c>
      <c r="B33" s="596"/>
      <c r="C33" s="237">
        <v>31242</v>
      </c>
      <c r="D33" s="84" t="s">
        <v>162</v>
      </c>
      <c r="F33" s="68">
        <v>25498212.859999992</v>
      </c>
      <c r="G33" s="75"/>
      <c r="H33" s="68">
        <v>3184442.55</v>
      </c>
      <c r="I33" s="75"/>
      <c r="J33" s="68">
        <v>-52997.759999999995</v>
      </c>
      <c r="K33" s="75"/>
      <c r="L33" s="68">
        <v>-81605.560000000027</v>
      </c>
      <c r="M33" s="75"/>
      <c r="N33" s="68">
        <v>-34336.75</v>
      </c>
      <c r="O33" s="75"/>
      <c r="P33" s="68">
        <v>0</v>
      </c>
      <c r="Q33" s="75"/>
      <c r="R33" s="68">
        <v>28513715.339999992</v>
      </c>
      <c r="S33" s="75"/>
      <c r="T33" s="68">
        <v>26985272.91230768</v>
      </c>
      <c r="V33" s="84">
        <v>22</v>
      </c>
      <c r="W33" s="611"/>
      <c r="X33" s="342"/>
    </row>
    <row r="34" spans="1:41" ht="14.1" customHeight="1" thickBot="1" x14ac:dyDescent="0.25">
      <c r="A34" s="84">
        <v>23</v>
      </c>
      <c r="B34" s="596"/>
      <c r="C34" s="237">
        <v>31442</v>
      </c>
      <c r="D34" s="84" t="s">
        <v>163</v>
      </c>
      <c r="F34" s="68">
        <v>21317338.679999985</v>
      </c>
      <c r="G34" s="75"/>
      <c r="H34" s="68">
        <v>1929973.95</v>
      </c>
      <c r="I34" s="75"/>
      <c r="J34" s="68">
        <v>0</v>
      </c>
      <c r="K34" s="75"/>
      <c r="L34" s="68">
        <v>-53584.11</v>
      </c>
      <c r="M34" s="75"/>
      <c r="N34" s="68">
        <v>-20257.600000000002</v>
      </c>
      <c r="O34" s="75"/>
      <c r="P34" s="68">
        <v>0</v>
      </c>
      <c r="Q34" s="75"/>
      <c r="R34" s="68">
        <v>23173470.919999983</v>
      </c>
      <c r="S34" s="75"/>
      <c r="T34" s="68">
        <v>22236844.613846149</v>
      </c>
      <c r="V34" s="84">
        <v>23</v>
      </c>
      <c r="W34" s="611"/>
      <c r="X34" s="342"/>
      <c r="Y34" s="616" t="s">
        <v>309</v>
      </c>
      <c r="AA34" s="597">
        <v>2863838182.3700004</v>
      </c>
      <c r="AB34" s="238"/>
      <c r="AC34" s="597">
        <v>355238710.64999992</v>
      </c>
      <c r="AD34" s="238"/>
      <c r="AE34" s="597">
        <v>-88746788.409999996</v>
      </c>
      <c r="AF34" s="238"/>
      <c r="AG34" s="597">
        <v>-57649086.819999993</v>
      </c>
      <c r="AH34" s="238"/>
      <c r="AI34" s="597">
        <v>3053739.8399999994</v>
      </c>
      <c r="AJ34" s="238"/>
      <c r="AK34" s="597">
        <v>11852602.84</v>
      </c>
      <c r="AL34" s="112"/>
      <c r="AM34" s="597">
        <v>3087587360.4699998</v>
      </c>
      <c r="AN34" s="112"/>
      <c r="AO34" s="597">
        <v>2982579931.2061543</v>
      </c>
    </row>
    <row r="35" spans="1:41" ht="14.1" customHeight="1" thickTop="1" x14ac:dyDescent="0.2">
      <c r="A35" s="84">
        <v>24</v>
      </c>
      <c r="B35" s="596"/>
      <c r="C35" s="237">
        <v>31542</v>
      </c>
      <c r="D35" s="84" t="s">
        <v>164</v>
      </c>
      <c r="F35" s="68">
        <v>6373175.4400000023</v>
      </c>
      <c r="G35" s="75"/>
      <c r="H35" s="68">
        <v>622644.44000000018</v>
      </c>
      <c r="I35" s="75"/>
      <c r="J35" s="68">
        <v>0</v>
      </c>
      <c r="K35" s="75"/>
      <c r="L35" s="68">
        <v>0</v>
      </c>
      <c r="M35" s="75"/>
      <c r="N35" s="68">
        <v>0</v>
      </c>
      <c r="O35" s="75"/>
      <c r="P35" s="68">
        <v>0</v>
      </c>
      <c r="Q35" s="75"/>
      <c r="R35" s="68">
        <v>6995819.8800000027</v>
      </c>
      <c r="S35" s="75"/>
      <c r="T35" s="68">
        <v>6684458.0907692332</v>
      </c>
      <c r="V35" s="84">
        <v>24</v>
      </c>
      <c r="W35" s="611"/>
      <c r="X35" s="342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112"/>
      <c r="AM35" s="238"/>
      <c r="AN35" s="112"/>
      <c r="AO35" s="238"/>
    </row>
    <row r="36" spans="1:41" ht="14.1" customHeight="1" x14ac:dyDescent="0.2">
      <c r="A36" s="84">
        <v>25</v>
      </c>
      <c r="B36" s="596"/>
      <c r="C36" s="237">
        <v>31642</v>
      </c>
      <c r="D36" s="84" t="s">
        <v>165</v>
      </c>
      <c r="F36" s="68">
        <v>452595.78000000067</v>
      </c>
      <c r="G36" s="75"/>
      <c r="H36" s="68">
        <v>16408.560000000005</v>
      </c>
      <c r="I36" s="75"/>
      <c r="J36" s="68">
        <v>0</v>
      </c>
      <c r="K36" s="75"/>
      <c r="L36" s="68">
        <v>0</v>
      </c>
      <c r="M36" s="75"/>
      <c r="N36" s="68">
        <v>0</v>
      </c>
      <c r="O36" s="75"/>
      <c r="P36" s="68">
        <v>0</v>
      </c>
      <c r="Q36" s="75"/>
      <c r="R36" s="68">
        <v>469004.34000000067</v>
      </c>
      <c r="S36" s="75"/>
      <c r="T36" s="68">
        <v>460800.06000000075</v>
      </c>
      <c r="V36" s="84">
        <v>25</v>
      </c>
      <c r="W36" s="611"/>
      <c r="X36" s="342"/>
      <c r="Y36" s="616" t="s">
        <v>179</v>
      </c>
      <c r="AA36" s="618">
        <v>5463113.910000002</v>
      </c>
      <c r="AC36" s="618">
        <v>236708.7</v>
      </c>
      <c r="AD36" s="238"/>
      <c r="AE36" s="238">
        <v>0</v>
      </c>
      <c r="AF36" s="238"/>
      <c r="AG36" s="238">
        <v>0</v>
      </c>
      <c r="AH36" s="238"/>
      <c r="AI36" s="238">
        <v>0</v>
      </c>
      <c r="AJ36" s="238"/>
      <c r="AK36" s="618">
        <v>0</v>
      </c>
      <c r="AL36" s="112"/>
      <c r="AM36" s="618">
        <v>5699822.6100000013</v>
      </c>
      <c r="AN36" s="112"/>
      <c r="AO36" s="618">
        <v>5581468.2530769231</v>
      </c>
    </row>
    <row r="37" spans="1:41" ht="14.1" customHeight="1" x14ac:dyDescent="0.2">
      <c r="A37" s="84">
        <v>26</v>
      </c>
      <c r="B37" s="596"/>
      <c r="C37" s="237"/>
      <c r="D37" s="619" t="s">
        <v>180</v>
      </c>
      <c r="E37" s="619"/>
      <c r="F37" s="111">
        <v>57490936.099999972</v>
      </c>
      <c r="G37" s="75"/>
      <c r="H37" s="111">
        <v>5893274.7800000003</v>
      </c>
      <c r="I37" s="75"/>
      <c r="J37" s="111">
        <v>-142872.28999999998</v>
      </c>
      <c r="K37" s="75"/>
      <c r="L37" s="111">
        <v>-135189.67000000004</v>
      </c>
      <c r="M37" s="75"/>
      <c r="N37" s="111">
        <v>-54594.350000000006</v>
      </c>
      <c r="O37" s="75"/>
      <c r="P37" s="111">
        <v>0</v>
      </c>
      <c r="Q37" s="75"/>
      <c r="R37" s="111">
        <v>63051554.56999997</v>
      </c>
      <c r="S37" s="75"/>
      <c r="T37" s="111">
        <v>60224326.859230742</v>
      </c>
      <c r="V37" s="84">
        <v>26</v>
      </c>
      <c r="W37" s="611"/>
      <c r="X37" s="342"/>
    </row>
    <row r="38" spans="1:41" ht="14.1" customHeight="1" x14ac:dyDescent="0.2">
      <c r="A38" s="84">
        <v>27</v>
      </c>
      <c r="B38" s="596"/>
      <c r="C38" s="237"/>
      <c r="D38" s="619"/>
      <c r="E38" s="619"/>
      <c r="F38" s="75"/>
      <c r="G38" s="75"/>
      <c r="H38" s="75"/>
      <c r="I38" s="75"/>
      <c r="J38" s="75"/>
      <c r="K38" s="75"/>
      <c r="L38" s="106"/>
      <c r="M38" s="75"/>
      <c r="N38" s="106"/>
      <c r="O38" s="75"/>
      <c r="P38" s="106"/>
      <c r="Q38" s="106"/>
      <c r="R38" s="75"/>
      <c r="S38" s="75"/>
      <c r="T38" s="75"/>
      <c r="V38" s="84">
        <v>27</v>
      </c>
      <c r="W38" s="611"/>
      <c r="X38" s="342"/>
      <c r="Y38" s="84" t="s">
        <v>310</v>
      </c>
      <c r="AA38" s="238">
        <v>94336402.720000178</v>
      </c>
      <c r="AB38" s="238"/>
      <c r="AC38" s="238">
        <v>1186094.04</v>
      </c>
      <c r="AD38" s="238"/>
      <c r="AE38" s="238">
        <v>0</v>
      </c>
      <c r="AF38" s="238"/>
      <c r="AG38" s="238">
        <v>0</v>
      </c>
      <c r="AH38" s="238"/>
      <c r="AI38" s="238">
        <v>0</v>
      </c>
      <c r="AJ38" s="238"/>
      <c r="AK38" s="238">
        <v>0</v>
      </c>
      <c r="AL38" s="112"/>
      <c r="AM38" s="238">
        <v>95522496.760000184</v>
      </c>
      <c r="AN38" s="112"/>
      <c r="AO38" s="238">
        <v>94929449.740000188</v>
      </c>
    </row>
    <row r="39" spans="1:41" ht="14.1" customHeight="1" x14ac:dyDescent="0.2">
      <c r="A39" s="84">
        <v>28</v>
      </c>
      <c r="B39" s="596"/>
      <c r="C39" s="237"/>
      <c r="D39" s="619" t="s">
        <v>182</v>
      </c>
      <c r="E39" s="619"/>
      <c r="F39" s="75"/>
      <c r="G39" s="75"/>
      <c r="H39" s="75"/>
      <c r="I39" s="75"/>
      <c r="J39" s="75"/>
      <c r="K39" s="75"/>
      <c r="L39" s="106"/>
      <c r="M39" s="75"/>
      <c r="N39" s="106"/>
      <c r="O39" s="75"/>
      <c r="P39" s="106"/>
      <c r="Q39" s="106"/>
      <c r="R39" s="75"/>
      <c r="S39" s="75"/>
      <c r="T39" s="75"/>
      <c r="V39" s="84">
        <v>28</v>
      </c>
      <c r="W39" s="611"/>
      <c r="X39" s="342"/>
    </row>
    <row r="40" spans="1:41" ht="14.1" customHeight="1" x14ac:dyDescent="0.2">
      <c r="A40" s="84">
        <v>29</v>
      </c>
      <c r="B40" s="596"/>
      <c r="C40" s="237">
        <v>31143</v>
      </c>
      <c r="D40" s="84" t="s">
        <v>161</v>
      </c>
      <c r="F40" s="68">
        <v>9771471.0199999772</v>
      </c>
      <c r="G40" s="75"/>
      <c r="H40" s="68">
        <v>274710.13000000006</v>
      </c>
      <c r="I40" s="75"/>
      <c r="J40" s="68">
        <v>0</v>
      </c>
      <c r="K40" s="75"/>
      <c r="L40" s="68">
        <v>0</v>
      </c>
      <c r="M40" s="75"/>
      <c r="N40" s="68">
        <v>0</v>
      </c>
      <c r="O40" s="75"/>
      <c r="P40" s="68">
        <v>0</v>
      </c>
      <c r="Q40" s="75"/>
      <c r="R40" s="68">
        <v>10046181.149999978</v>
      </c>
      <c r="S40" s="75"/>
      <c r="T40" s="68">
        <v>9908147.4999999758</v>
      </c>
      <c r="V40" s="84">
        <v>29</v>
      </c>
      <c r="W40" s="611"/>
      <c r="X40" s="342"/>
      <c r="Y40" s="84" t="s">
        <v>183</v>
      </c>
      <c r="AA40" s="240">
        <v>0</v>
      </c>
      <c r="AC40" s="240">
        <v>0</v>
      </c>
      <c r="AE40" s="240">
        <v>-22949.89</v>
      </c>
      <c r="AG40" s="240">
        <v>0</v>
      </c>
      <c r="AI40" s="240">
        <v>0</v>
      </c>
      <c r="AK40" s="240">
        <v>27332.899999999998</v>
      </c>
      <c r="AM40" s="240">
        <v>4383.0099999999984</v>
      </c>
      <c r="AO40" s="240">
        <v>674.30923076923057</v>
      </c>
    </row>
    <row r="41" spans="1:41" ht="14.1" customHeight="1" x14ac:dyDescent="0.2">
      <c r="A41" s="84">
        <v>30</v>
      </c>
      <c r="B41" s="596"/>
      <c r="C41" s="237">
        <v>31243</v>
      </c>
      <c r="D41" s="84" t="s">
        <v>162</v>
      </c>
      <c r="F41" s="68">
        <v>53857968.300000019</v>
      </c>
      <c r="G41" s="75"/>
      <c r="H41" s="68">
        <v>5611954.3999999994</v>
      </c>
      <c r="I41" s="75"/>
      <c r="J41" s="68">
        <v>-626123.17999999993</v>
      </c>
      <c r="K41" s="75"/>
      <c r="L41" s="68">
        <v>-1409872.86</v>
      </c>
      <c r="M41" s="75"/>
      <c r="N41" s="68">
        <v>-63586.22</v>
      </c>
      <c r="O41" s="75"/>
      <c r="P41" s="68">
        <v>0</v>
      </c>
      <c r="Q41" s="75"/>
      <c r="R41" s="68">
        <v>57370340.44000002</v>
      </c>
      <c r="S41" s="75"/>
      <c r="T41" s="68">
        <v>55687778.676153883</v>
      </c>
      <c r="V41" s="84">
        <v>30</v>
      </c>
      <c r="W41" s="611"/>
      <c r="X41" s="342"/>
    </row>
    <row r="42" spans="1:41" ht="14.1" customHeight="1" x14ac:dyDescent="0.2">
      <c r="A42" s="84">
        <v>31</v>
      </c>
      <c r="B42" s="596"/>
      <c r="C42" s="237">
        <v>31443</v>
      </c>
      <c r="D42" s="84" t="s">
        <v>163</v>
      </c>
      <c r="F42" s="68">
        <v>21879092.669999961</v>
      </c>
      <c r="G42" s="75"/>
      <c r="H42" s="68">
        <v>1654638.81</v>
      </c>
      <c r="I42" s="75"/>
      <c r="J42" s="68">
        <v>-241632.92</v>
      </c>
      <c r="K42" s="75"/>
      <c r="L42" s="68">
        <v>-641440.56999999995</v>
      </c>
      <c r="M42" s="75"/>
      <c r="N42" s="68">
        <v>-20434.239999999998</v>
      </c>
      <c r="O42" s="75"/>
      <c r="P42" s="68">
        <v>0</v>
      </c>
      <c r="Q42" s="75"/>
      <c r="R42" s="68">
        <v>22630223.749999959</v>
      </c>
      <c r="S42" s="75"/>
      <c r="T42" s="68">
        <v>22155682.188461501</v>
      </c>
      <c r="V42" s="84">
        <v>31</v>
      </c>
      <c r="W42" s="611"/>
      <c r="X42" s="342"/>
      <c r="Y42" s="616" t="s">
        <v>311</v>
      </c>
      <c r="AA42" s="240">
        <v>0</v>
      </c>
      <c r="AC42" s="240">
        <v>0</v>
      </c>
      <c r="AE42" s="240">
        <v>0</v>
      </c>
      <c r="AG42" s="240">
        <v>0</v>
      </c>
      <c r="AI42" s="240">
        <v>0</v>
      </c>
      <c r="AK42" s="240">
        <v>0</v>
      </c>
      <c r="AM42" s="240">
        <v>0</v>
      </c>
      <c r="AO42" s="240">
        <v>0</v>
      </c>
    </row>
    <row r="43" spans="1:41" ht="14.1" customHeight="1" x14ac:dyDescent="0.2">
      <c r="A43" s="84">
        <v>32</v>
      </c>
      <c r="B43" s="596"/>
      <c r="C43" s="237">
        <v>31543</v>
      </c>
      <c r="D43" s="84" t="s">
        <v>164</v>
      </c>
      <c r="F43" s="68">
        <v>13893695.099999996</v>
      </c>
      <c r="G43" s="75"/>
      <c r="H43" s="68">
        <v>887632.35999999975</v>
      </c>
      <c r="I43" s="75"/>
      <c r="J43" s="68">
        <v>-110771.01</v>
      </c>
      <c r="K43" s="75"/>
      <c r="L43" s="68">
        <v>0</v>
      </c>
      <c r="M43" s="75"/>
      <c r="N43" s="68">
        <v>0</v>
      </c>
      <c r="O43" s="75"/>
      <c r="P43" s="68">
        <v>0</v>
      </c>
      <c r="Q43" s="75"/>
      <c r="R43" s="68">
        <v>14670556.449999996</v>
      </c>
      <c r="S43" s="75"/>
      <c r="T43" s="68">
        <v>14328976.439230762</v>
      </c>
      <c r="V43" s="84">
        <v>32</v>
      </c>
      <c r="W43" s="611"/>
      <c r="X43" s="342"/>
      <c r="Y43" s="619"/>
      <c r="Z43" s="619"/>
      <c r="AA43" s="601"/>
      <c r="AB43" s="238"/>
      <c r="AC43" s="601"/>
      <c r="AD43" s="238"/>
      <c r="AE43" s="601"/>
      <c r="AF43" s="238"/>
      <c r="AG43" s="601"/>
      <c r="AH43" s="238"/>
      <c r="AI43" s="601"/>
      <c r="AJ43" s="238"/>
      <c r="AK43" s="601"/>
      <c r="AL43" s="75"/>
      <c r="AM43" s="601"/>
      <c r="AN43" s="75"/>
      <c r="AO43" s="601"/>
    </row>
    <row r="44" spans="1:41" ht="14.1" customHeight="1" x14ac:dyDescent="0.2">
      <c r="A44" s="84">
        <v>33</v>
      </c>
      <c r="B44" s="596"/>
      <c r="C44" s="237">
        <v>31643</v>
      </c>
      <c r="D44" s="84" t="s">
        <v>165</v>
      </c>
      <c r="F44" s="68">
        <v>781678.46000000136</v>
      </c>
      <c r="G44" s="75"/>
      <c r="H44" s="68">
        <v>59647.55999999999</v>
      </c>
      <c r="I44" s="75"/>
      <c r="J44" s="68">
        <v>0</v>
      </c>
      <c r="K44" s="75"/>
      <c r="L44" s="68">
        <v>0</v>
      </c>
      <c r="M44" s="75"/>
      <c r="N44" s="68">
        <v>0</v>
      </c>
      <c r="O44" s="75"/>
      <c r="P44" s="68">
        <v>0</v>
      </c>
      <c r="Q44" s="75"/>
      <c r="R44" s="68">
        <v>841326.0200000013</v>
      </c>
      <c r="S44" s="75"/>
      <c r="T44" s="68">
        <v>811502.24000000127</v>
      </c>
      <c r="V44" s="84">
        <v>33</v>
      </c>
      <c r="W44" s="611"/>
      <c r="X44" s="342"/>
      <c r="Y44" s="615" t="s">
        <v>312</v>
      </c>
      <c r="Z44" s="619"/>
      <c r="AA44" s="238">
        <v>2963637699.0000005</v>
      </c>
      <c r="AB44" s="238"/>
      <c r="AC44" s="238">
        <v>356661513.38999993</v>
      </c>
      <c r="AD44" s="614"/>
      <c r="AE44" s="238">
        <v>-88769738.299999997</v>
      </c>
      <c r="AG44" s="238">
        <v>-57649086.819999993</v>
      </c>
      <c r="AI44" s="238">
        <v>3053739.8399999994</v>
      </c>
      <c r="AK44" s="238">
        <v>11879935.74</v>
      </c>
      <c r="AL44" s="614"/>
      <c r="AM44" s="238">
        <v>3188814062.8500004</v>
      </c>
      <c r="AN44" s="75"/>
      <c r="AO44" s="238">
        <v>3083091523.5084624</v>
      </c>
    </row>
    <row r="45" spans="1:41" ht="14.1" customHeight="1" x14ac:dyDescent="0.2">
      <c r="A45" s="84">
        <v>34</v>
      </c>
      <c r="B45" s="596"/>
      <c r="C45" s="237"/>
      <c r="D45" s="619" t="s">
        <v>185</v>
      </c>
      <c r="E45" s="619"/>
      <c r="F45" s="111">
        <v>100183905.54999995</v>
      </c>
      <c r="G45" s="75"/>
      <c r="H45" s="111">
        <v>8488583.2599999998</v>
      </c>
      <c r="I45" s="75"/>
      <c r="J45" s="111">
        <v>-978527.11</v>
      </c>
      <c r="K45" s="75"/>
      <c r="L45" s="111">
        <v>-2051313.4300000002</v>
      </c>
      <c r="M45" s="75"/>
      <c r="N45" s="111">
        <v>-84020.459999999992</v>
      </c>
      <c r="O45" s="75"/>
      <c r="P45" s="111">
        <v>0</v>
      </c>
      <c r="Q45" s="75"/>
      <c r="R45" s="111">
        <v>105558627.80999996</v>
      </c>
      <c r="S45" s="75"/>
      <c r="T45" s="111">
        <v>102892087.04384612</v>
      </c>
      <c r="V45" s="84">
        <v>34</v>
      </c>
      <c r="W45" s="611"/>
      <c r="X45" s="342"/>
      <c r="Y45" s="619"/>
      <c r="Z45" s="619"/>
      <c r="AA45" s="238">
        <v>0</v>
      </c>
      <c r="AB45" s="238"/>
      <c r="AC45" s="238">
        <v>0</v>
      </c>
      <c r="AD45" s="238"/>
      <c r="AE45" s="238">
        <v>0</v>
      </c>
      <c r="AF45" s="238"/>
      <c r="AG45" s="238">
        <v>0</v>
      </c>
      <c r="AH45" s="238"/>
      <c r="AI45" s="238">
        <v>0</v>
      </c>
      <c r="AJ45" s="238"/>
      <c r="AK45" s="238">
        <v>0</v>
      </c>
      <c r="AL45" s="106"/>
      <c r="AM45" s="238">
        <v>0</v>
      </c>
      <c r="AN45" s="75"/>
      <c r="AO45" s="238">
        <v>0</v>
      </c>
    </row>
    <row r="46" spans="1:41" ht="14.1" customHeight="1" x14ac:dyDescent="0.2">
      <c r="A46" s="84">
        <v>35</v>
      </c>
      <c r="B46" s="596"/>
      <c r="C46" s="237"/>
      <c r="D46" s="619"/>
      <c r="E46" s="619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V46" s="84">
        <v>35</v>
      </c>
      <c r="W46" s="611"/>
      <c r="X46" s="342"/>
      <c r="Y46" s="619"/>
      <c r="Z46" s="619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106"/>
      <c r="AM46" s="238"/>
      <c r="AN46" s="75"/>
      <c r="AO46" s="238"/>
    </row>
    <row r="47" spans="1:41" ht="14.1" customHeight="1" x14ac:dyDescent="0.2">
      <c r="A47" s="84">
        <v>36</v>
      </c>
      <c r="B47" s="596"/>
      <c r="C47" s="620"/>
      <c r="D47" s="619" t="s">
        <v>188</v>
      </c>
      <c r="E47" s="619"/>
      <c r="F47" s="75"/>
      <c r="G47" s="75"/>
      <c r="H47" s="75"/>
      <c r="I47" s="75"/>
      <c r="J47" s="75"/>
      <c r="K47" s="75"/>
      <c r="L47" s="106"/>
      <c r="M47" s="75"/>
      <c r="N47" s="106"/>
      <c r="O47" s="75"/>
      <c r="P47" s="106"/>
      <c r="Q47" s="106"/>
      <c r="R47" s="75"/>
      <c r="S47" s="75"/>
      <c r="T47" s="75"/>
      <c r="V47" s="84">
        <v>36</v>
      </c>
      <c r="W47" s="611"/>
      <c r="X47" s="342"/>
      <c r="Y47" s="619"/>
      <c r="Z47" s="619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106"/>
      <c r="AM47" s="238"/>
      <c r="AN47" s="75"/>
      <c r="AO47" s="238"/>
    </row>
    <row r="48" spans="1:41" ht="14.1" customHeight="1" x14ac:dyDescent="0.2">
      <c r="A48" s="84">
        <v>37</v>
      </c>
      <c r="B48" s="596"/>
      <c r="C48" s="237">
        <v>31144</v>
      </c>
      <c r="D48" s="84" t="s">
        <v>161</v>
      </c>
      <c r="F48" s="68">
        <v>33975853.06000001</v>
      </c>
      <c r="G48" s="75"/>
      <c r="H48" s="68">
        <v>1141248.17</v>
      </c>
      <c r="I48" s="75"/>
      <c r="J48" s="68">
        <v>-20077.02</v>
      </c>
      <c r="K48" s="75"/>
      <c r="L48" s="68">
        <v>-12460</v>
      </c>
      <c r="M48" s="75"/>
      <c r="N48" s="68">
        <v>0</v>
      </c>
      <c r="O48" s="75"/>
      <c r="P48" s="68">
        <v>0</v>
      </c>
      <c r="Q48" s="75"/>
      <c r="R48" s="68">
        <v>35084564.210000008</v>
      </c>
      <c r="S48" s="75"/>
      <c r="T48" s="68">
        <v>34537053.37000002</v>
      </c>
      <c r="V48" s="84">
        <v>37</v>
      </c>
      <c r="W48" s="611"/>
      <c r="X48" s="342"/>
      <c r="Y48" s="619"/>
      <c r="Z48" s="619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106"/>
      <c r="AM48" s="238"/>
      <c r="AN48" s="75"/>
      <c r="AO48" s="238"/>
    </row>
    <row r="49" spans="1:41" ht="14.1" customHeight="1" x14ac:dyDescent="0.2">
      <c r="A49" s="84">
        <v>38</v>
      </c>
      <c r="B49" s="596"/>
      <c r="C49" s="237">
        <v>31244</v>
      </c>
      <c r="D49" s="84" t="s">
        <v>162</v>
      </c>
      <c r="F49" s="68">
        <v>103786706.79000011</v>
      </c>
      <c r="G49" s="75"/>
      <c r="H49" s="68">
        <v>7646328.7399999984</v>
      </c>
      <c r="I49" s="75"/>
      <c r="J49" s="68">
        <v>-1325694.52</v>
      </c>
      <c r="K49" s="75"/>
      <c r="L49" s="68">
        <v>-2122911.75</v>
      </c>
      <c r="M49" s="75"/>
      <c r="N49" s="68">
        <v>-101294.79</v>
      </c>
      <c r="O49" s="75"/>
      <c r="P49" s="68">
        <v>0</v>
      </c>
      <c r="Q49" s="75"/>
      <c r="R49" s="68">
        <v>107883134.4700001</v>
      </c>
      <c r="S49" s="75"/>
      <c r="T49" s="68">
        <v>106412611.08384627</v>
      </c>
      <c r="V49" s="84">
        <v>38</v>
      </c>
      <c r="W49" s="611"/>
      <c r="X49" s="342"/>
      <c r="Y49" s="619"/>
      <c r="Z49" s="619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106"/>
      <c r="AM49" s="238"/>
      <c r="AN49" s="75"/>
      <c r="AO49" s="238"/>
    </row>
    <row r="50" spans="1:41" ht="14.1" customHeight="1" x14ac:dyDescent="0.2">
      <c r="A50" s="84">
        <v>39</v>
      </c>
      <c r="B50" s="596"/>
      <c r="C50" s="237">
        <v>31444</v>
      </c>
      <c r="D50" s="84" t="s">
        <v>163</v>
      </c>
      <c r="F50" s="68">
        <v>45540840.380000003</v>
      </c>
      <c r="G50" s="75"/>
      <c r="H50" s="68">
        <v>2713119.7499999995</v>
      </c>
      <c r="I50" s="75"/>
      <c r="J50" s="68">
        <v>-554910.38</v>
      </c>
      <c r="K50" s="75"/>
      <c r="L50" s="68">
        <v>-840367.94000000006</v>
      </c>
      <c r="M50" s="75"/>
      <c r="N50" s="68">
        <v>-38462</v>
      </c>
      <c r="O50" s="75"/>
      <c r="P50" s="68">
        <v>0</v>
      </c>
      <c r="Q50" s="75"/>
      <c r="R50" s="68">
        <v>46820219.810000002</v>
      </c>
      <c r="S50" s="75"/>
      <c r="T50" s="68">
        <v>46415677.253846161</v>
      </c>
      <c r="V50" s="84">
        <v>39</v>
      </c>
      <c r="W50" s="611"/>
      <c r="X50" s="342"/>
      <c r="Y50" s="619"/>
      <c r="Z50" s="619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106"/>
      <c r="AM50" s="238"/>
      <c r="AN50" s="75"/>
      <c r="AO50" s="238"/>
    </row>
    <row r="51" spans="1:41" ht="14.1" customHeight="1" x14ac:dyDescent="0.2">
      <c r="A51" s="84">
        <v>40</v>
      </c>
      <c r="B51" s="596"/>
      <c r="C51" s="237">
        <v>31544</v>
      </c>
      <c r="D51" s="84" t="s">
        <v>164</v>
      </c>
      <c r="F51" s="68">
        <v>26635211.969999976</v>
      </c>
      <c r="G51" s="75"/>
      <c r="H51" s="68">
        <v>1397683.52</v>
      </c>
      <c r="I51" s="75"/>
      <c r="J51" s="68">
        <v>-59251.97</v>
      </c>
      <c r="K51" s="75"/>
      <c r="L51" s="68">
        <v>-971.9</v>
      </c>
      <c r="M51" s="75"/>
      <c r="N51" s="68">
        <v>0</v>
      </c>
      <c r="O51" s="75"/>
      <c r="P51" s="68">
        <v>0</v>
      </c>
      <c r="Q51" s="75"/>
      <c r="R51" s="68">
        <v>27972671.619999979</v>
      </c>
      <c r="S51" s="75"/>
      <c r="T51" s="68">
        <v>27329101.264615357</v>
      </c>
      <c r="V51" s="84">
        <v>40</v>
      </c>
      <c r="W51" s="611"/>
      <c r="X51" s="342"/>
      <c r="Y51" s="619"/>
      <c r="Z51" s="619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</row>
    <row r="52" spans="1:41" ht="14.1" customHeight="1" x14ac:dyDescent="0.2">
      <c r="A52" s="84">
        <v>41</v>
      </c>
      <c r="B52" s="596"/>
      <c r="C52" s="237">
        <v>31644</v>
      </c>
      <c r="D52" s="84" t="s">
        <v>165</v>
      </c>
      <c r="F52" s="68">
        <v>3686824.7499999967</v>
      </c>
      <c r="G52" s="75"/>
      <c r="H52" s="68">
        <v>145464.21</v>
      </c>
      <c r="I52" s="75"/>
      <c r="J52" s="68">
        <v>-42262.77</v>
      </c>
      <c r="K52" s="75"/>
      <c r="L52" s="68">
        <v>-389.76</v>
      </c>
      <c r="M52" s="75"/>
      <c r="N52" s="68">
        <v>0</v>
      </c>
      <c r="O52" s="75"/>
      <c r="P52" s="68">
        <v>0</v>
      </c>
      <c r="Q52" s="75"/>
      <c r="R52" s="68">
        <v>3789636.4299999969</v>
      </c>
      <c r="S52" s="75"/>
      <c r="T52" s="68">
        <v>3746176.7961538429</v>
      </c>
      <c r="V52" s="84">
        <v>41</v>
      </c>
      <c r="W52" s="611"/>
      <c r="X52" s="342"/>
      <c r="Y52" s="619"/>
      <c r="Z52" s="619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</row>
    <row r="53" spans="1:41" ht="14.1" customHeight="1" x14ac:dyDescent="0.2">
      <c r="A53" s="84">
        <v>42</v>
      </c>
      <c r="B53" s="596"/>
      <c r="D53" s="619" t="s">
        <v>189</v>
      </c>
      <c r="E53" s="619"/>
      <c r="F53" s="111">
        <v>213625436.95000008</v>
      </c>
      <c r="G53" s="75"/>
      <c r="H53" s="111">
        <v>13043844.389999999</v>
      </c>
      <c r="I53" s="75"/>
      <c r="J53" s="111">
        <v>-2002196.66</v>
      </c>
      <c r="K53" s="75"/>
      <c r="L53" s="111">
        <v>-2977101.3499999996</v>
      </c>
      <c r="M53" s="75"/>
      <c r="N53" s="111">
        <v>-139756.78999999998</v>
      </c>
      <c r="O53" s="75"/>
      <c r="P53" s="111">
        <v>0</v>
      </c>
      <c r="Q53" s="75"/>
      <c r="R53" s="111">
        <v>221550226.54000011</v>
      </c>
      <c r="S53" s="75"/>
      <c r="T53" s="111">
        <v>218440619.76846164</v>
      </c>
      <c r="V53" s="84">
        <v>42</v>
      </c>
      <c r="W53" s="621"/>
      <c r="X53" s="342"/>
      <c r="Y53" s="619"/>
      <c r="Z53" s="619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</row>
    <row r="54" spans="1:41" ht="14.1" customHeight="1" x14ac:dyDescent="0.2">
      <c r="A54" s="84">
        <v>43</v>
      </c>
      <c r="B54" s="596"/>
      <c r="C54" s="620"/>
      <c r="D54" s="619"/>
      <c r="E54" s="619"/>
      <c r="F54" s="75"/>
      <c r="G54" s="75"/>
      <c r="H54" s="75"/>
      <c r="I54" s="75"/>
      <c r="J54" s="75"/>
      <c r="K54" s="75"/>
      <c r="L54" s="106"/>
      <c r="M54" s="75"/>
      <c r="N54" s="106"/>
      <c r="O54" s="75"/>
      <c r="P54" s="106"/>
      <c r="Q54" s="106"/>
      <c r="R54" s="75"/>
      <c r="S54" s="75"/>
      <c r="T54" s="75"/>
      <c r="V54" s="84">
        <v>43</v>
      </c>
      <c r="W54" s="621"/>
      <c r="X54" s="342"/>
      <c r="Y54" s="619"/>
      <c r="Z54" s="619"/>
      <c r="AA54" s="75"/>
      <c r="AB54" s="75"/>
      <c r="AC54" s="75"/>
      <c r="AD54" s="75"/>
      <c r="AE54" s="75"/>
      <c r="AF54" s="75"/>
      <c r="AG54" s="106"/>
      <c r="AH54" s="75"/>
      <c r="AI54" s="106"/>
      <c r="AJ54" s="106"/>
      <c r="AK54" s="106"/>
      <c r="AL54" s="106"/>
      <c r="AM54" s="75"/>
      <c r="AN54" s="75"/>
      <c r="AO54" s="75"/>
    </row>
    <row r="55" spans="1:41" ht="14.1" customHeight="1" thickBot="1" x14ac:dyDescent="0.25">
      <c r="A55" s="114">
        <v>44</v>
      </c>
      <c r="B55" s="343" t="s">
        <v>186</v>
      </c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V55" s="114">
        <v>44</v>
      </c>
      <c r="W55" s="343" t="s">
        <v>186</v>
      </c>
      <c r="X55" s="335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</row>
    <row r="56" spans="1:41" ht="14.1" customHeight="1" x14ac:dyDescent="0.2">
      <c r="A56" s="84" t="s">
        <v>60</v>
      </c>
      <c r="R56" s="604" t="s">
        <v>60</v>
      </c>
      <c r="V56" s="84" t="s">
        <v>60</v>
      </c>
      <c r="AM56" s="604" t="s">
        <v>60</v>
      </c>
    </row>
    <row r="57" spans="1:41" ht="14.1" customHeight="1" thickBot="1" x14ac:dyDescent="0.25">
      <c r="A57" s="114" t="s">
        <v>301</v>
      </c>
      <c r="B57" s="114"/>
      <c r="C57" s="114"/>
      <c r="D57" s="114"/>
      <c r="E57" s="114"/>
      <c r="F57" s="114" t="s">
        <v>302</v>
      </c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 t="s">
        <v>840</v>
      </c>
    </row>
    <row r="58" spans="1:41" ht="14.1" customHeight="1" x14ac:dyDescent="0.2">
      <c r="A58" s="84" t="s">
        <v>129</v>
      </c>
      <c r="B58" s="622"/>
      <c r="E58" s="88" t="s">
        <v>130</v>
      </c>
      <c r="F58" s="84" t="s">
        <v>303</v>
      </c>
      <c r="J58" s="623"/>
      <c r="K58" s="623"/>
      <c r="P58" s="623"/>
      <c r="Q58" s="623"/>
      <c r="R58" s="623" t="s">
        <v>132</v>
      </c>
      <c r="T58" s="604"/>
    </row>
    <row r="59" spans="1:41" ht="14.1" customHeight="1" x14ac:dyDescent="0.2">
      <c r="B59" s="622"/>
      <c r="F59" s="84" t="s">
        <v>304</v>
      </c>
      <c r="J59" s="88"/>
      <c r="K59" s="604"/>
      <c r="P59" s="88"/>
      <c r="Q59" s="88"/>
      <c r="R59" s="604" t="s">
        <v>844</v>
      </c>
      <c r="T59" s="88"/>
    </row>
    <row r="60" spans="1:41" ht="14.1" customHeight="1" x14ac:dyDescent="0.2">
      <c r="A60" s="84" t="s">
        <v>134</v>
      </c>
      <c r="B60" s="622"/>
      <c r="F60" s="84" t="s">
        <v>123</v>
      </c>
      <c r="J60" s="88"/>
      <c r="K60" s="604"/>
      <c r="L60" s="88"/>
      <c r="N60" s="88"/>
      <c r="Q60" s="88"/>
      <c r="R60" s="604"/>
      <c r="T60" s="88"/>
    </row>
    <row r="61" spans="1:41" ht="14.1" customHeight="1" x14ac:dyDescent="0.2">
      <c r="B61" s="622"/>
      <c r="F61" s="84" t="s">
        <v>123</v>
      </c>
      <c r="J61" s="88"/>
      <c r="K61" s="604"/>
      <c r="L61" s="88"/>
      <c r="N61" s="88"/>
      <c r="Q61" s="88"/>
      <c r="R61" s="604"/>
      <c r="T61" s="88"/>
    </row>
    <row r="62" spans="1:41" ht="14.1" customHeight="1" thickBot="1" x14ac:dyDescent="0.25">
      <c r="A62" s="114" t="s">
        <v>135</v>
      </c>
      <c r="B62" s="624"/>
      <c r="C62" s="114"/>
      <c r="D62" s="114"/>
      <c r="E62" s="114"/>
      <c r="F62" s="114" t="s">
        <v>123</v>
      </c>
      <c r="G62" s="114"/>
      <c r="H62" s="606"/>
      <c r="I62" s="114"/>
      <c r="J62" s="114"/>
      <c r="K62" s="114"/>
      <c r="L62" s="114"/>
      <c r="M62" s="114"/>
      <c r="N62" s="114"/>
      <c r="O62" s="114"/>
      <c r="P62" s="114"/>
      <c r="Q62" s="114"/>
      <c r="R62" s="625"/>
      <c r="S62" s="114"/>
      <c r="T62" s="114"/>
    </row>
    <row r="63" spans="1:41" ht="14.1" customHeight="1" x14ac:dyDescent="0.2">
      <c r="C63" s="607"/>
      <c r="D63" s="607"/>
      <c r="E63" s="607"/>
      <c r="F63" s="607"/>
      <c r="G63" s="607"/>
      <c r="H63" s="607"/>
      <c r="I63" s="607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</row>
    <row r="64" spans="1:41" ht="14.1" customHeight="1" x14ac:dyDescent="0.2">
      <c r="C64" s="607" t="s">
        <v>136</v>
      </c>
      <c r="D64" s="607" t="s">
        <v>137</v>
      </c>
      <c r="E64" s="607"/>
      <c r="F64" s="607" t="s">
        <v>138</v>
      </c>
      <c r="G64" s="607"/>
      <c r="H64" s="607" t="s">
        <v>139</v>
      </c>
      <c r="I64" s="607"/>
      <c r="J64" s="237" t="s">
        <v>140</v>
      </c>
      <c r="L64" s="607" t="s">
        <v>141</v>
      </c>
      <c r="M64" s="607"/>
      <c r="N64" s="607" t="s">
        <v>142</v>
      </c>
      <c r="O64" s="607"/>
      <c r="P64" s="607" t="s">
        <v>143</v>
      </c>
      <c r="Q64" s="607"/>
      <c r="R64" s="607" t="s">
        <v>144</v>
      </c>
      <c r="S64" s="607"/>
      <c r="T64" s="607" t="s">
        <v>305</v>
      </c>
    </row>
    <row r="65" spans="1:24" ht="14.1" customHeight="1" x14ac:dyDescent="0.2">
      <c r="C65" s="237" t="s">
        <v>145</v>
      </c>
      <c r="D65" s="237" t="s">
        <v>145</v>
      </c>
      <c r="F65" s="607" t="s">
        <v>41</v>
      </c>
      <c r="G65" s="237"/>
      <c r="H65" s="607" t="s">
        <v>40</v>
      </c>
      <c r="I65" s="237"/>
      <c r="J65" s="607"/>
      <c r="K65" s="237"/>
      <c r="L65" s="237"/>
      <c r="M65" s="237"/>
      <c r="N65" s="237"/>
      <c r="O65" s="237"/>
      <c r="P65" s="237"/>
      <c r="Q65" s="237"/>
      <c r="R65" s="237" t="s">
        <v>41</v>
      </c>
      <c r="T65" s="237"/>
    </row>
    <row r="66" spans="1:24" ht="14.1" customHeight="1" x14ac:dyDescent="0.2">
      <c r="A66" s="84" t="s">
        <v>146</v>
      </c>
      <c r="B66" s="237"/>
      <c r="C66" s="237" t="s">
        <v>147</v>
      </c>
      <c r="D66" s="237" t="s">
        <v>147</v>
      </c>
      <c r="E66" s="607"/>
      <c r="F66" s="237" t="s">
        <v>6</v>
      </c>
      <c r="G66" s="237"/>
      <c r="H66" s="237" t="s">
        <v>6</v>
      </c>
      <c r="I66" s="237"/>
      <c r="J66" s="237"/>
      <c r="K66" s="607"/>
      <c r="L66" s="237" t="s">
        <v>306</v>
      </c>
      <c r="M66" s="237"/>
      <c r="N66" s="237" t="s">
        <v>306</v>
      </c>
      <c r="O66" s="237"/>
      <c r="P66" s="237" t="s">
        <v>150</v>
      </c>
      <c r="Q66" s="607"/>
      <c r="R66" s="607" t="s">
        <v>6</v>
      </c>
      <c r="S66" s="607"/>
      <c r="T66" s="237" t="s">
        <v>151</v>
      </c>
    </row>
    <row r="67" spans="1:24" ht="14.1" customHeight="1" thickBot="1" x14ac:dyDescent="0.25">
      <c r="A67" s="114" t="s">
        <v>152</v>
      </c>
      <c r="B67" s="606"/>
      <c r="C67" s="606" t="s">
        <v>52</v>
      </c>
      <c r="D67" s="606" t="s">
        <v>153</v>
      </c>
      <c r="E67" s="606"/>
      <c r="F67" s="608" t="s">
        <v>154</v>
      </c>
      <c r="G67" s="608"/>
      <c r="H67" s="608" t="s">
        <v>307</v>
      </c>
      <c r="I67" s="609"/>
      <c r="J67" s="608" t="s">
        <v>18</v>
      </c>
      <c r="K67" s="609"/>
      <c r="L67" s="608" t="s">
        <v>19</v>
      </c>
      <c r="M67" s="609"/>
      <c r="N67" s="608" t="s">
        <v>54</v>
      </c>
      <c r="O67" s="609"/>
      <c r="P67" s="610" t="s">
        <v>157</v>
      </c>
      <c r="Q67" s="610"/>
      <c r="R67" s="610" t="s">
        <v>158</v>
      </c>
      <c r="S67" s="610"/>
      <c r="T67" s="610" t="s">
        <v>3</v>
      </c>
    </row>
    <row r="68" spans="1:24" ht="14.1" customHeight="1" x14ac:dyDescent="0.2">
      <c r="A68" s="84">
        <v>1</v>
      </c>
    </row>
    <row r="69" spans="1:24" ht="14.1" customHeight="1" x14ac:dyDescent="0.2">
      <c r="A69" s="84">
        <v>2</v>
      </c>
      <c r="B69" s="596"/>
      <c r="D69" s="615" t="s">
        <v>190</v>
      </c>
      <c r="E69" s="619"/>
      <c r="F69" s="619"/>
      <c r="G69" s="619"/>
      <c r="H69" s="340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</row>
    <row r="70" spans="1:24" ht="14.1" customHeight="1" x14ac:dyDescent="0.2">
      <c r="A70" s="84">
        <v>3</v>
      </c>
      <c r="B70" s="596"/>
      <c r="C70" s="237">
        <v>31145</v>
      </c>
      <c r="D70" s="84" t="s">
        <v>161</v>
      </c>
      <c r="F70" s="68">
        <v>12103011.280000003</v>
      </c>
      <c r="G70" s="75"/>
      <c r="H70" s="68">
        <v>478995.56000000006</v>
      </c>
      <c r="I70" s="75"/>
      <c r="J70" s="68">
        <v>-111670.9</v>
      </c>
      <c r="K70" s="75"/>
      <c r="L70" s="68">
        <v>-41023.469999999994</v>
      </c>
      <c r="M70" s="75"/>
      <c r="N70" s="68">
        <v>0</v>
      </c>
      <c r="O70" s="75"/>
      <c r="P70" s="68">
        <v>0</v>
      </c>
      <c r="Q70" s="75"/>
      <c r="R70" s="68">
        <v>12429312.470000003</v>
      </c>
      <c r="S70" s="75"/>
      <c r="T70" s="68">
        <v>12230520.95538462</v>
      </c>
    </row>
    <row r="71" spans="1:24" ht="14.1" customHeight="1" x14ac:dyDescent="0.2">
      <c r="A71" s="84">
        <v>4</v>
      </c>
      <c r="B71" s="596"/>
      <c r="C71" s="237">
        <v>31245</v>
      </c>
      <c r="D71" s="84" t="s">
        <v>162</v>
      </c>
      <c r="F71" s="68">
        <v>58025998.050000042</v>
      </c>
      <c r="G71" s="75"/>
      <c r="H71" s="68">
        <v>3943012.7199999997</v>
      </c>
      <c r="I71" s="75"/>
      <c r="J71" s="68">
        <v>-1290018.48</v>
      </c>
      <c r="K71" s="75"/>
      <c r="L71" s="68">
        <v>-673568.38</v>
      </c>
      <c r="M71" s="75"/>
      <c r="N71" s="68">
        <v>-62316.119999999995</v>
      </c>
      <c r="O71" s="75"/>
      <c r="P71" s="68">
        <v>0</v>
      </c>
      <c r="Q71" s="75"/>
      <c r="R71" s="68">
        <v>59943107.790000044</v>
      </c>
      <c r="S71" s="75"/>
      <c r="T71" s="68">
        <v>59511556.858461581</v>
      </c>
    </row>
    <row r="72" spans="1:24" ht="14.1" customHeight="1" x14ac:dyDescent="0.2">
      <c r="A72" s="84">
        <v>5</v>
      </c>
      <c r="B72" s="596"/>
      <c r="C72" s="237">
        <v>31545</v>
      </c>
      <c r="D72" s="84" t="s">
        <v>164</v>
      </c>
      <c r="F72" s="68">
        <v>15007087.439999985</v>
      </c>
      <c r="G72" s="75"/>
      <c r="H72" s="68">
        <v>834583.09999999974</v>
      </c>
      <c r="I72" s="75"/>
      <c r="J72" s="68">
        <v>0</v>
      </c>
      <c r="K72" s="75"/>
      <c r="L72" s="68">
        <v>-110680.16</v>
      </c>
      <c r="M72" s="75"/>
      <c r="N72" s="68">
        <v>0</v>
      </c>
      <c r="O72" s="75"/>
      <c r="P72" s="68">
        <v>0</v>
      </c>
      <c r="Q72" s="75"/>
      <c r="R72" s="68">
        <v>15730990.379999984</v>
      </c>
      <c r="S72" s="75"/>
      <c r="T72" s="68">
        <v>15381744.880769221</v>
      </c>
      <c r="W72" s="339"/>
      <c r="X72" s="339"/>
    </row>
    <row r="73" spans="1:24" ht="14.1" customHeight="1" x14ac:dyDescent="0.2">
      <c r="A73" s="84">
        <v>6</v>
      </c>
      <c r="B73" s="596"/>
      <c r="C73" s="237">
        <v>31645</v>
      </c>
      <c r="D73" s="84" t="s">
        <v>165</v>
      </c>
      <c r="F73" s="68">
        <v>757319.1500000013</v>
      </c>
      <c r="G73" s="75"/>
      <c r="H73" s="68">
        <v>23726.440000000002</v>
      </c>
      <c r="I73" s="75"/>
      <c r="J73" s="68">
        <v>-62610.45</v>
      </c>
      <c r="K73" s="75"/>
      <c r="L73" s="68">
        <v>-107265.65</v>
      </c>
      <c r="M73" s="75"/>
      <c r="N73" s="68">
        <v>0</v>
      </c>
      <c r="O73" s="75"/>
      <c r="P73" s="68">
        <v>0</v>
      </c>
      <c r="Q73" s="75"/>
      <c r="R73" s="68">
        <v>611169.49000000127</v>
      </c>
      <c r="S73" s="75"/>
      <c r="T73" s="68">
        <v>745038.17461538559</v>
      </c>
    </row>
    <row r="74" spans="1:24" ht="14.1" customHeight="1" x14ac:dyDescent="0.2">
      <c r="A74" s="84">
        <v>7</v>
      </c>
      <c r="C74" s="237"/>
      <c r="D74" s="615" t="s">
        <v>191</v>
      </c>
      <c r="E74" s="619"/>
      <c r="F74" s="111">
        <v>85893415.920000032</v>
      </c>
      <c r="G74" s="75"/>
      <c r="H74" s="111">
        <v>5280317.8199999994</v>
      </c>
      <c r="I74" s="75"/>
      <c r="J74" s="111">
        <v>-1464299.8299999998</v>
      </c>
      <c r="K74" s="75"/>
      <c r="L74" s="111">
        <v>-932537.66</v>
      </c>
      <c r="M74" s="75"/>
      <c r="N74" s="111">
        <v>-62316.119999999995</v>
      </c>
      <c r="O74" s="75"/>
      <c r="P74" s="111">
        <v>0</v>
      </c>
      <c r="Q74" s="75"/>
      <c r="R74" s="111">
        <v>88714580.130000025</v>
      </c>
      <c r="S74" s="75"/>
      <c r="T74" s="111">
        <v>87868860.869230807</v>
      </c>
    </row>
    <row r="75" spans="1:24" ht="14.1" customHeight="1" x14ac:dyDescent="0.2">
      <c r="A75" s="84">
        <v>8</v>
      </c>
    </row>
    <row r="76" spans="1:24" ht="14.1" customHeight="1" x14ac:dyDescent="0.2">
      <c r="A76" s="84">
        <v>9</v>
      </c>
      <c r="B76" s="596"/>
    </row>
    <row r="77" spans="1:24" ht="14.1" customHeight="1" x14ac:dyDescent="0.2">
      <c r="A77" s="84">
        <v>10</v>
      </c>
      <c r="B77" s="596"/>
      <c r="C77" s="237"/>
      <c r="D77" s="619" t="s">
        <v>192</v>
      </c>
      <c r="E77" s="619"/>
      <c r="F77" s="106"/>
      <c r="G77" s="106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</row>
    <row r="78" spans="1:24" ht="14.1" customHeight="1" x14ac:dyDescent="0.2">
      <c r="A78" s="84">
        <v>11</v>
      </c>
      <c r="B78" s="596"/>
      <c r="C78" s="237">
        <v>31146</v>
      </c>
      <c r="D78" s="84" t="s">
        <v>161</v>
      </c>
      <c r="F78" s="68">
        <v>6599720.9400000013</v>
      </c>
      <c r="G78" s="75"/>
      <c r="H78" s="68">
        <v>368477.04999999993</v>
      </c>
      <c r="I78" s="75"/>
      <c r="J78" s="68">
        <v>-4462.37</v>
      </c>
      <c r="K78" s="75"/>
      <c r="L78" s="68">
        <v>0</v>
      </c>
      <c r="M78" s="75"/>
      <c r="N78" s="68">
        <v>0</v>
      </c>
      <c r="O78" s="75"/>
      <c r="P78" s="68">
        <v>0</v>
      </c>
      <c r="Q78" s="75"/>
      <c r="R78" s="68">
        <v>6963735.620000001</v>
      </c>
      <c r="S78" s="75"/>
      <c r="T78" s="68">
        <v>6783255.9484615391</v>
      </c>
    </row>
    <row r="79" spans="1:24" ht="14.1" customHeight="1" x14ac:dyDescent="0.2">
      <c r="A79" s="84">
        <v>12</v>
      </c>
      <c r="B79" s="596"/>
      <c r="C79" s="237">
        <v>31246</v>
      </c>
      <c r="D79" s="84" t="s">
        <v>162</v>
      </c>
      <c r="F79" s="68">
        <v>15899348.540000025</v>
      </c>
      <c r="G79" s="75"/>
      <c r="H79" s="68">
        <v>1810080.42</v>
      </c>
      <c r="I79" s="75"/>
      <c r="J79" s="68">
        <v>-31275.21</v>
      </c>
      <c r="K79" s="75"/>
      <c r="L79" s="68">
        <v>-92497.409999999974</v>
      </c>
      <c r="M79" s="75"/>
      <c r="N79" s="68">
        <v>-21889.32</v>
      </c>
      <c r="O79" s="75"/>
      <c r="P79" s="68">
        <v>0</v>
      </c>
      <c r="Q79" s="75"/>
      <c r="R79" s="68">
        <v>17563767.020000022</v>
      </c>
      <c r="S79" s="75"/>
      <c r="T79" s="68">
        <v>16737089.258461563</v>
      </c>
    </row>
    <row r="80" spans="1:24" ht="14.1" customHeight="1" x14ac:dyDescent="0.2">
      <c r="A80" s="84">
        <v>13</v>
      </c>
      <c r="B80" s="596"/>
      <c r="C80" s="237">
        <v>31546</v>
      </c>
      <c r="D80" s="84" t="s">
        <v>164</v>
      </c>
      <c r="F80" s="68">
        <v>4130823.7900000024</v>
      </c>
      <c r="G80" s="75"/>
      <c r="H80" s="68">
        <v>341808.48</v>
      </c>
      <c r="I80" s="75"/>
      <c r="J80" s="68">
        <v>0</v>
      </c>
      <c r="K80" s="75"/>
      <c r="L80" s="68">
        <v>0</v>
      </c>
      <c r="M80" s="75"/>
      <c r="N80" s="68">
        <v>0</v>
      </c>
      <c r="O80" s="75"/>
      <c r="P80" s="68">
        <v>0</v>
      </c>
      <c r="Q80" s="75"/>
      <c r="R80" s="68">
        <v>4472632.2700000023</v>
      </c>
      <c r="S80" s="75"/>
      <c r="T80" s="68">
        <v>4301728.0300000021</v>
      </c>
    </row>
    <row r="81" spans="1:20" ht="14.1" customHeight="1" x14ac:dyDescent="0.2">
      <c r="A81" s="84">
        <v>14</v>
      </c>
      <c r="B81" s="596"/>
      <c r="C81" s="237">
        <v>31646</v>
      </c>
      <c r="D81" s="84" t="s">
        <v>165</v>
      </c>
      <c r="F81" s="68">
        <v>890745.92999999959</v>
      </c>
      <c r="G81" s="75"/>
      <c r="H81" s="68">
        <v>50039.399999999987</v>
      </c>
      <c r="I81" s="75"/>
      <c r="J81" s="68">
        <v>0</v>
      </c>
      <c r="K81" s="75"/>
      <c r="L81" s="68">
        <v>0</v>
      </c>
      <c r="M81" s="75"/>
      <c r="N81" s="68">
        <v>0</v>
      </c>
      <c r="O81" s="75"/>
      <c r="P81" s="68">
        <v>0</v>
      </c>
      <c r="Q81" s="75"/>
      <c r="R81" s="68">
        <v>940785.32999999961</v>
      </c>
      <c r="S81" s="75"/>
      <c r="T81" s="68">
        <v>915765.62999999919</v>
      </c>
    </row>
    <row r="82" spans="1:20" ht="14.1" customHeight="1" x14ac:dyDescent="0.2">
      <c r="A82" s="84">
        <v>15</v>
      </c>
      <c r="B82" s="596"/>
      <c r="C82" s="237"/>
      <c r="D82" s="619" t="s">
        <v>193</v>
      </c>
      <c r="E82" s="619"/>
      <c r="F82" s="111">
        <v>27520639.200000029</v>
      </c>
      <c r="G82" s="75"/>
      <c r="H82" s="111">
        <v>2570405.3499999996</v>
      </c>
      <c r="I82" s="75"/>
      <c r="J82" s="111">
        <v>-35737.58</v>
      </c>
      <c r="K82" s="75"/>
      <c r="L82" s="111">
        <v>-92497.409999999974</v>
      </c>
      <c r="M82" s="75"/>
      <c r="N82" s="111">
        <v>-21889.32</v>
      </c>
      <c r="O82" s="75"/>
      <c r="P82" s="111">
        <v>0</v>
      </c>
      <c r="Q82" s="75"/>
      <c r="R82" s="111">
        <v>29940920.240000024</v>
      </c>
      <c r="S82" s="75"/>
      <c r="T82" s="111">
        <v>28737838.866923101</v>
      </c>
    </row>
    <row r="83" spans="1:20" ht="14.1" customHeight="1" x14ac:dyDescent="0.2">
      <c r="A83" s="84">
        <v>16</v>
      </c>
      <c r="B83" s="596"/>
    </row>
    <row r="84" spans="1:20" ht="14.1" customHeight="1" x14ac:dyDescent="0.2">
      <c r="A84" s="84">
        <v>17</v>
      </c>
      <c r="B84" s="596"/>
    </row>
    <row r="85" spans="1:20" ht="14.1" customHeight="1" x14ac:dyDescent="0.2">
      <c r="A85" s="84">
        <v>18</v>
      </c>
      <c r="B85" s="596"/>
      <c r="C85" s="249"/>
      <c r="D85" s="615" t="s">
        <v>194</v>
      </c>
      <c r="F85" s="113"/>
      <c r="G85" s="106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</row>
    <row r="86" spans="1:20" ht="14.1" customHeight="1" x14ac:dyDescent="0.2">
      <c r="A86" s="84">
        <v>19</v>
      </c>
      <c r="B86" s="596"/>
      <c r="C86" s="237">
        <v>31151</v>
      </c>
      <c r="D86" s="84" t="s">
        <v>161</v>
      </c>
      <c r="F86" s="68">
        <v>8062350.3999999911</v>
      </c>
      <c r="G86" s="75"/>
      <c r="H86" s="68">
        <v>948601.56</v>
      </c>
      <c r="I86" s="75"/>
      <c r="J86" s="68">
        <v>0</v>
      </c>
      <c r="K86" s="75"/>
      <c r="L86" s="68">
        <v>0</v>
      </c>
      <c r="M86" s="75"/>
      <c r="N86" s="68">
        <v>0</v>
      </c>
      <c r="O86" s="75"/>
      <c r="P86" s="68">
        <v>0</v>
      </c>
      <c r="Q86" s="75"/>
      <c r="R86" s="68">
        <v>9010951.9599999916</v>
      </c>
      <c r="S86" s="75"/>
      <c r="T86" s="68">
        <v>8536651.1799999941</v>
      </c>
    </row>
    <row r="87" spans="1:20" ht="14.1" customHeight="1" x14ac:dyDescent="0.2">
      <c r="A87" s="84">
        <v>20</v>
      </c>
      <c r="B87" s="596"/>
      <c r="C87" s="237">
        <v>31251</v>
      </c>
      <c r="D87" s="84" t="s">
        <v>162</v>
      </c>
      <c r="F87" s="68">
        <v>18172270.330000002</v>
      </c>
      <c r="G87" s="75"/>
      <c r="H87" s="68">
        <v>2020359</v>
      </c>
      <c r="I87" s="75"/>
      <c r="J87" s="68">
        <v>0</v>
      </c>
      <c r="K87" s="75"/>
      <c r="L87" s="68">
        <v>0</v>
      </c>
      <c r="M87" s="75"/>
      <c r="N87" s="68">
        <v>0</v>
      </c>
      <c r="O87" s="75"/>
      <c r="P87" s="68">
        <v>0</v>
      </c>
      <c r="Q87" s="75"/>
      <c r="R87" s="68">
        <v>20192629.330000002</v>
      </c>
      <c r="S87" s="75"/>
      <c r="T87" s="68">
        <v>19182449.830000006</v>
      </c>
    </row>
    <row r="88" spans="1:20" ht="14.1" customHeight="1" x14ac:dyDescent="0.2">
      <c r="A88" s="84">
        <v>21</v>
      </c>
      <c r="B88" s="596"/>
      <c r="C88" s="237">
        <v>31551</v>
      </c>
      <c r="D88" s="84" t="s">
        <v>164</v>
      </c>
      <c r="F88" s="68">
        <v>5926405.9900000086</v>
      </c>
      <c r="G88" s="75"/>
      <c r="H88" s="68">
        <v>699649.44</v>
      </c>
      <c r="I88" s="75"/>
      <c r="J88" s="68">
        <v>0</v>
      </c>
      <c r="K88" s="75"/>
      <c r="L88" s="68">
        <v>0</v>
      </c>
      <c r="M88" s="75"/>
      <c r="N88" s="68">
        <v>0</v>
      </c>
      <c r="O88" s="75"/>
      <c r="P88" s="68">
        <v>0</v>
      </c>
      <c r="Q88" s="75"/>
      <c r="R88" s="68">
        <v>6626055.430000009</v>
      </c>
      <c r="S88" s="75"/>
      <c r="T88" s="68">
        <v>6276230.7100000083</v>
      </c>
    </row>
    <row r="89" spans="1:20" ht="14.1" customHeight="1" x14ac:dyDescent="0.2">
      <c r="A89" s="84">
        <v>22</v>
      </c>
      <c r="B89" s="596"/>
      <c r="C89" s="237">
        <v>31651</v>
      </c>
      <c r="D89" s="84" t="s">
        <v>195</v>
      </c>
      <c r="F89" s="68">
        <v>311819.40000000037</v>
      </c>
      <c r="G89" s="75"/>
      <c r="H89" s="68">
        <v>36072.359999999993</v>
      </c>
      <c r="I89" s="75"/>
      <c r="J89" s="68">
        <v>0</v>
      </c>
      <c r="K89" s="75"/>
      <c r="L89" s="68">
        <v>0</v>
      </c>
      <c r="M89" s="75"/>
      <c r="N89" s="68">
        <v>0</v>
      </c>
      <c r="O89" s="75"/>
      <c r="P89" s="68">
        <v>0</v>
      </c>
      <c r="Q89" s="75"/>
      <c r="R89" s="68">
        <v>347891.76000000036</v>
      </c>
      <c r="S89" s="75"/>
      <c r="T89" s="68">
        <v>329855.5800000006</v>
      </c>
    </row>
    <row r="90" spans="1:20" ht="14.1" customHeight="1" x14ac:dyDescent="0.2">
      <c r="A90" s="84">
        <v>23</v>
      </c>
      <c r="B90" s="596"/>
      <c r="C90" s="237"/>
      <c r="D90" s="616" t="s">
        <v>196</v>
      </c>
      <c r="F90" s="111">
        <v>32472846.120000005</v>
      </c>
      <c r="G90" s="75"/>
      <c r="H90" s="111">
        <v>3704682.36</v>
      </c>
      <c r="I90" s="75"/>
      <c r="J90" s="111">
        <v>0</v>
      </c>
      <c r="K90" s="75"/>
      <c r="L90" s="111">
        <v>0</v>
      </c>
      <c r="M90" s="75"/>
      <c r="N90" s="111">
        <v>0</v>
      </c>
      <c r="O90" s="75"/>
      <c r="P90" s="111">
        <v>0</v>
      </c>
      <c r="Q90" s="75"/>
      <c r="R90" s="111">
        <v>36177528.479999997</v>
      </c>
      <c r="S90" s="75"/>
      <c r="T90" s="111">
        <v>34325187.300000004</v>
      </c>
    </row>
    <row r="91" spans="1:20" ht="14.1" customHeight="1" x14ac:dyDescent="0.2">
      <c r="A91" s="84">
        <v>24</v>
      </c>
      <c r="B91" s="596"/>
    </row>
    <row r="92" spans="1:20" ht="14.1" customHeight="1" x14ac:dyDescent="0.2">
      <c r="A92" s="84">
        <v>25</v>
      </c>
      <c r="B92" s="596"/>
    </row>
    <row r="93" spans="1:20" ht="14.1" customHeight="1" x14ac:dyDescent="0.2">
      <c r="A93" s="84">
        <v>26</v>
      </c>
      <c r="B93" s="596"/>
      <c r="C93" s="249"/>
      <c r="D93" s="615" t="s">
        <v>197</v>
      </c>
      <c r="E93" s="619"/>
      <c r="F93" s="75"/>
      <c r="G93" s="75"/>
      <c r="H93" s="75"/>
      <c r="I93" s="75"/>
      <c r="J93" s="75"/>
      <c r="K93" s="75"/>
      <c r="L93" s="106"/>
      <c r="M93" s="75"/>
      <c r="N93" s="106"/>
      <c r="O93" s="75"/>
      <c r="P93" s="106"/>
      <c r="Q93" s="106"/>
      <c r="R93" s="75"/>
      <c r="S93" s="75"/>
      <c r="T93" s="75"/>
    </row>
    <row r="94" spans="1:20" ht="14.1" customHeight="1" x14ac:dyDescent="0.2">
      <c r="A94" s="84">
        <v>27</v>
      </c>
      <c r="B94" s="596"/>
      <c r="C94" s="237">
        <v>31152</v>
      </c>
      <c r="D94" s="84" t="s">
        <v>161</v>
      </c>
      <c r="F94" s="68">
        <v>8381305.8000000156</v>
      </c>
      <c r="G94" s="75"/>
      <c r="H94" s="68">
        <v>882310.32</v>
      </c>
      <c r="I94" s="75"/>
      <c r="J94" s="68">
        <v>0</v>
      </c>
      <c r="K94" s="75"/>
      <c r="L94" s="68">
        <v>0</v>
      </c>
      <c r="M94" s="75"/>
      <c r="N94" s="68">
        <v>0</v>
      </c>
      <c r="O94" s="75"/>
      <c r="P94" s="68">
        <v>0</v>
      </c>
      <c r="Q94" s="75"/>
      <c r="R94" s="68">
        <v>9263616.1200000159</v>
      </c>
      <c r="S94" s="75"/>
      <c r="T94" s="68">
        <v>8822460.9600000102</v>
      </c>
    </row>
    <row r="95" spans="1:20" ht="14.1" customHeight="1" x14ac:dyDescent="0.2">
      <c r="A95" s="84">
        <v>28</v>
      </c>
      <c r="B95" s="596"/>
      <c r="C95" s="237">
        <v>31252</v>
      </c>
      <c r="D95" s="84" t="s">
        <v>162</v>
      </c>
      <c r="F95" s="68">
        <v>16280559.609999996</v>
      </c>
      <c r="G95" s="75"/>
      <c r="H95" s="68">
        <v>2050411.5599999996</v>
      </c>
      <c r="I95" s="75"/>
      <c r="J95" s="68">
        <v>0</v>
      </c>
      <c r="K95" s="75"/>
      <c r="L95" s="68">
        <v>0</v>
      </c>
      <c r="M95" s="75"/>
      <c r="N95" s="68">
        <v>0</v>
      </c>
      <c r="O95" s="75"/>
      <c r="P95" s="68">
        <v>0</v>
      </c>
      <c r="Q95" s="75"/>
      <c r="R95" s="68">
        <v>18330971.169999994</v>
      </c>
      <c r="S95" s="75"/>
      <c r="T95" s="68">
        <v>17305765.389999993</v>
      </c>
    </row>
    <row r="96" spans="1:20" ht="14.1" customHeight="1" x14ac:dyDescent="0.2">
      <c r="A96" s="84">
        <v>29</v>
      </c>
      <c r="B96" s="596"/>
      <c r="C96" s="237">
        <v>31552</v>
      </c>
      <c r="D96" s="84" t="s">
        <v>164</v>
      </c>
      <c r="F96" s="68">
        <v>6122739.629999998</v>
      </c>
      <c r="G96" s="75"/>
      <c r="H96" s="68">
        <v>653994</v>
      </c>
      <c r="I96" s="75"/>
      <c r="J96" s="68">
        <v>0</v>
      </c>
      <c r="K96" s="75"/>
      <c r="L96" s="68">
        <v>0</v>
      </c>
      <c r="M96" s="75"/>
      <c r="N96" s="68">
        <v>0</v>
      </c>
      <c r="O96" s="75"/>
      <c r="P96" s="68">
        <v>0</v>
      </c>
      <c r="Q96" s="75"/>
      <c r="R96" s="68">
        <v>6776733.629999998</v>
      </c>
      <c r="S96" s="75"/>
      <c r="T96" s="68">
        <v>6449736.6299999962</v>
      </c>
    </row>
    <row r="97" spans="1:20" ht="14.1" customHeight="1" x14ac:dyDescent="0.2">
      <c r="A97" s="84">
        <v>30</v>
      </c>
      <c r="B97" s="596"/>
      <c r="C97" s="237">
        <v>31652</v>
      </c>
      <c r="D97" s="84" t="s">
        <v>165</v>
      </c>
      <c r="F97" s="68">
        <v>335994.39999999997</v>
      </c>
      <c r="G97" s="75"/>
      <c r="H97" s="68">
        <v>35468.76</v>
      </c>
      <c r="I97" s="75"/>
      <c r="J97" s="68">
        <v>0</v>
      </c>
      <c r="K97" s="75"/>
      <c r="L97" s="68">
        <v>0</v>
      </c>
      <c r="M97" s="75"/>
      <c r="N97" s="68">
        <v>0</v>
      </c>
      <c r="O97" s="75"/>
      <c r="P97" s="68">
        <v>0</v>
      </c>
      <c r="Q97" s="75"/>
      <c r="R97" s="68">
        <v>371463.16</v>
      </c>
      <c r="S97" s="75"/>
      <c r="T97" s="68">
        <v>353728.77999999991</v>
      </c>
    </row>
    <row r="98" spans="1:20" ht="14.1" customHeight="1" x14ac:dyDescent="0.2">
      <c r="A98" s="84">
        <v>31</v>
      </c>
      <c r="B98" s="596"/>
      <c r="D98" s="615" t="s">
        <v>198</v>
      </c>
      <c r="E98" s="619"/>
      <c r="F98" s="111">
        <v>31120599.440000009</v>
      </c>
      <c r="G98" s="75"/>
      <c r="H98" s="111">
        <v>3622184.6399999992</v>
      </c>
      <c r="I98" s="75"/>
      <c r="J98" s="111">
        <v>0</v>
      </c>
      <c r="K98" s="75"/>
      <c r="L98" s="111">
        <v>0</v>
      </c>
      <c r="M98" s="75"/>
      <c r="N98" s="111">
        <v>0</v>
      </c>
      <c r="O98" s="75"/>
      <c r="P98" s="111">
        <v>0</v>
      </c>
      <c r="Q98" s="75"/>
      <c r="R98" s="111">
        <v>34742784.080000006</v>
      </c>
      <c r="S98" s="75"/>
      <c r="T98" s="111">
        <v>32931691.759999998</v>
      </c>
    </row>
    <row r="99" spans="1:20" ht="14.1" customHeight="1" x14ac:dyDescent="0.2">
      <c r="A99" s="84">
        <v>32</v>
      </c>
      <c r="B99" s="596"/>
    </row>
    <row r="100" spans="1:20" ht="14.1" customHeight="1" x14ac:dyDescent="0.2">
      <c r="A100" s="84">
        <v>33</v>
      </c>
      <c r="B100" s="596"/>
      <c r="D100" s="619"/>
      <c r="E100" s="619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</row>
    <row r="101" spans="1:20" ht="14.1" customHeight="1" x14ac:dyDescent="0.2">
      <c r="A101" s="84">
        <v>34</v>
      </c>
      <c r="B101" s="596"/>
      <c r="C101" s="249"/>
      <c r="D101" s="615" t="s">
        <v>199</v>
      </c>
      <c r="E101" s="619"/>
      <c r="F101" s="619"/>
      <c r="G101" s="619"/>
      <c r="H101" s="340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</row>
    <row r="102" spans="1:20" ht="14.1" customHeight="1" x14ac:dyDescent="0.2">
      <c r="A102" s="84">
        <v>35</v>
      </c>
      <c r="B102" s="596"/>
      <c r="C102" s="237">
        <v>31153</v>
      </c>
      <c r="D102" s="84" t="s">
        <v>161</v>
      </c>
      <c r="F102" s="68">
        <v>7055452.7999999821</v>
      </c>
      <c r="G102" s="75"/>
      <c r="H102" s="68">
        <v>672372.12</v>
      </c>
      <c r="I102" s="75"/>
      <c r="J102" s="68">
        <v>0</v>
      </c>
      <c r="K102" s="75"/>
      <c r="L102" s="68">
        <v>0</v>
      </c>
      <c r="M102" s="75"/>
      <c r="N102" s="68">
        <v>0</v>
      </c>
      <c r="O102" s="75"/>
      <c r="P102" s="68">
        <v>0</v>
      </c>
      <c r="Q102" s="75"/>
      <c r="R102" s="68">
        <v>7727824.9199999822</v>
      </c>
      <c r="S102" s="75"/>
      <c r="T102" s="68">
        <v>7391638.8599999798</v>
      </c>
    </row>
    <row r="103" spans="1:20" ht="14.1" customHeight="1" x14ac:dyDescent="0.2">
      <c r="A103" s="84">
        <v>36</v>
      </c>
      <c r="B103" s="596"/>
      <c r="C103" s="237">
        <v>31253</v>
      </c>
      <c r="D103" s="84" t="s">
        <v>162</v>
      </c>
      <c r="F103" s="68">
        <v>16205341.589999985</v>
      </c>
      <c r="G103" s="75"/>
      <c r="H103" s="68">
        <v>1717566.24</v>
      </c>
      <c r="I103" s="75"/>
      <c r="J103" s="68">
        <v>0</v>
      </c>
      <c r="K103" s="75"/>
      <c r="L103" s="68">
        <v>0</v>
      </c>
      <c r="M103" s="75"/>
      <c r="N103" s="68">
        <v>0</v>
      </c>
      <c r="O103" s="75"/>
      <c r="P103" s="68">
        <v>0</v>
      </c>
      <c r="Q103" s="75"/>
      <c r="R103" s="68">
        <v>17922907.829999983</v>
      </c>
      <c r="S103" s="75"/>
      <c r="T103" s="68">
        <v>17064124.709999982</v>
      </c>
    </row>
    <row r="104" spans="1:20" ht="14.1" customHeight="1" x14ac:dyDescent="0.2">
      <c r="A104" s="84">
        <v>37</v>
      </c>
      <c r="B104" s="596"/>
      <c r="C104" s="237">
        <v>31553</v>
      </c>
      <c r="D104" s="84" t="s">
        <v>164</v>
      </c>
      <c r="F104" s="68">
        <v>5695147.370000002</v>
      </c>
      <c r="G104" s="75"/>
      <c r="H104" s="68">
        <v>550456.92000000016</v>
      </c>
      <c r="I104" s="75"/>
      <c r="J104" s="68">
        <v>0</v>
      </c>
      <c r="K104" s="75"/>
      <c r="L104" s="68">
        <v>0</v>
      </c>
      <c r="M104" s="75"/>
      <c r="N104" s="68">
        <v>0</v>
      </c>
      <c r="O104" s="75"/>
      <c r="P104" s="68">
        <v>0</v>
      </c>
      <c r="Q104" s="75"/>
      <c r="R104" s="68">
        <v>6245604.2900000019</v>
      </c>
      <c r="S104" s="75"/>
      <c r="T104" s="68">
        <v>5970375.8300000038</v>
      </c>
    </row>
    <row r="105" spans="1:20" ht="14.1" customHeight="1" x14ac:dyDescent="0.2">
      <c r="A105" s="84">
        <v>38</v>
      </c>
      <c r="B105" s="596"/>
      <c r="C105" s="237">
        <v>31653</v>
      </c>
      <c r="D105" s="84" t="s">
        <v>165</v>
      </c>
      <c r="F105" s="68">
        <v>295305.79999999906</v>
      </c>
      <c r="G105" s="75"/>
      <c r="H105" s="68">
        <v>28039.320000000003</v>
      </c>
      <c r="I105" s="75"/>
      <c r="J105" s="68">
        <v>0</v>
      </c>
      <c r="K105" s="75"/>
      <c r="L105" s="68">
        <v>0</v>
      </c>
      <c r="M105" s="75"/>
      <c r="N105" s="68">
        <v>0</v>
      </c>
      <c r="O105" s="75"/>
      <c r="P105" s="68">
        <v>0</v>
      </c>
      <c r="Q105" s="75"/>
      <c r="R105" s="68">
        <v>323345.11999999906</v>
      </c>
      <c r="S105" s="75"/>
      <c r="T105" s="68">
        <v>309325.45999999897</v>
      </c>
    </row>
    <row r="106" spans="1:20" ht="14.1" customHeight="1" x14ac:dyDescent="0.2">
      <c r="A106" s="84">
        <v>39</v>
      </c>
      <c r="B106" s="596"/>
      <c r="C106" s="237"/>
      <c r="D106" s="615" t="s">
        <v>200</v>
      </c>
      <c r="E106" s="619"/>
      <c r="F106" s="111">
        <v>29251247.559999969</v>
      </c>
      <c r="G106" s="75"/>
      <c r="H106" s="111">
        <v>2968434.6</v>
      </c>
      <c r="I106" s="75"/>
      <c r="J106" s="111">
        <v>0</v>
      </c>
      <c r="K106" s="75"/>
      <c r="L106" s="111">
        <v>0</v>
      </c>
      <c r="M106" s="75"/>
      <c r="N106" s="111">
        <v>0</v>
      </c>
      <c r="O106" s="75"/>
      <c r="P106" s="111">
        <v>0</v>
      </c>
      <c r="Q106" s="75"/>
      <c r="R106" s="111">
        <v>32219682.159999967</v>
      </c>
      <c r="S106" s="75"/>
      <c r="T106" s="111">
        <v>30735464.859999966</v>
      </c>
    </row>
    <row r="107" spans="1:20" ht="14.1" customHeight="1" x14ac:dyDescent="0.2">
      <c r="A107" s="84">
        <v>40</v>
      </c>
      <c r="B107" s="596"/>
      <c r="C107" s="237"/>
      <c r="D107" s="615"/>
      <c r="E107" s="619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</row>
    <row r="108" spans="1:20" ht="14.1" customHeight="1" x14ac:dyDescent="0.2">
      <c r="A108" s="84">
        <v>41</v>
      </c>
      <c r="B108" s="596"/>
      <c r="C108" s="237"/>
      <c r="D108" s="615"/>
      <c r="E108" s="619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</row>
    <row r="109" spans="1:20" ht="14.1" customHeight="1" x14ac:dyDescent="0.2">
      <c r="A109" s="84">
        <v>42</v>
      </c>
      <c r="B109" s="596"/>
    </row>
    <row r="110" spans="1:20" ht="14.1" customHeight="1" x14ac:dyDescent="0.2">
      <c r="A110" s="84">
        <v>43</v>
      </c>
      <c r="B110" s="596"/>
    </row>
    <row r="111" spans="1:20" ht="14.1" customHeight="1" thickBot="1" x14ac:dyDescent="0.25">
      <c r="A111" s="114">
        <v>44</v>
      </c>
      <c r="B111" s="343" t="s">
        <v>186</v>
      </c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</row>
    <row r="112" spans="1:20" ht="14.1" customHeight="1" x14ac:dyDescent="0.2">
      <c r="A112" s="84" t="s">
        <v>60</v>
      </c>
    </row>
    <row r="113" spans="1:20" ht="14.1" customHeight="1" thickBot="1" x14ac:dyDescent="0.25">
      <c r="A113" s="114" t="s">
        <v>301</v>
      </c>
      <c r="B113" s="114"/>
      <c r="C113" s="114"/>
      <c r="D113" s="114"/>
      <c r="E113" s="114"/>
      <c r="F113" s="114" t="s">
        <v>302</v>
      </c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 t="s">
        <v>325</v>
      </c>
    </row>
    <row r="114" spans="1:20" ht="14.1" customHeight="1" x14ac:dyDescent="0.2">
      <c r="A114" s="84" t="s">
        <v>129</v>
      </c>
      <c r="B114" s="622"/>
      <c r="E114" s="88" t="s">
        <v>130</v>
      </c>
      <c r="F114" s="84" t="s">
        <v>303</v>
      </c>
      <c r="J114" s="623"/>
      <c r="K114" s="623"/>
      <c r="P114" s="623"/>
      <c r="Q114" s="623"/>
      <c r="R114" s="623" t="s">
        <v>132</v>
      </c>
      <c r="T114" s="604"/>
    </row>
    <row r="115" spans="1:20" ht="14.1" customHeight="1" x14ac:dyDescent="0.2">
      <c r="B115" s="622"/>
      <c r="F115" s="84" t="s">
        <v>304</v>
      </c>
      <c r="J115" s="88"/>
      <c r="K115" s="604"/>
      <c r="P115" s="88"/>
      <c r="Q115" s="88"/>
      <c r="R115" s="604" t="s">
        <v>844</v>
      </c>
      <c r="T115" s="88"/>
    </row>
    <row r="116" spans="1:20" ht="14.1" customHeight="1" x14ac:dyDescent="0.2">
      <c r="A116" s="84" t="s">
        <v>134</v>
      </c>
      <c r="B116" s="622"/>
      <c r="F116" s="84" t="s">
        <v>123</v>
      </c>
      <c r="J116" s="88"/>
      <c r="K116" s="604"/>
      <c r="L116" s="88"/>
      <c r="N116" s="88"/>
      <c r="Q116" s="88"/>
      <c r="R116" s="604"/>
      <c r="T116" s="88"/>
    </row>
    <row r="117" spans="1:20" ht="14.1" customHeight="1" x14ac:dyDescent="0.2">
      <c r="B117" s="622"/>
      <c r="F117" s="84" t="s">
        <v>123</v>
      </c>
      <c r="J117" s="88"/>
      <c r="K117" s="604"/>
      <c r="L117" s="88"/>
      <c r="N117" s="88"/>
      <c r="Q117" s="88"/>
      <c r="R117" s="604"/>
      <c r="T117" s="88"/>
    </row>
    <row r="118" spans="1:20" ht="14.1" customHeight="1" thickBot="1" x14ac:dyDescent="0.25">
      <c r="A118" s="114" t="s">
        <v>135</v>
      </c>
      <c r="B118" s="624"/>
      <c r="C118" s="114"/>
      <c r="D118" s="114"/>
      <c r="E118" s="114"/>
      <c r="F118" s="114" t="s">
        <v>123</v>
      </c>
      <c r="G118" s="114"/>
      <c r="H118" s="606"/>
      <c r="I118" s="114"/>
      <c r="J118" s="114"/>
      <c r="K118" s="114"/>
      <c r="L118" s="114"/>
      <c r="M118" s="114"/>
      <c r="N118" s="114"/>
      <c r="O118" s="114"/>
      <c r="P118" s="114"/>
      <c r="Q118" s="114"/>
      <c r="R118" s="625"/>
      <c r="S118" s="114"/>
      <c r="T118" s="114"/>
    </row>
    <row r="119" spans="1:20" ht="14.1" customHeight="1" x14ac:dyDescent="0.2">
      <c r="C119" s="607"/>
      <c r="D119" s="607"/>
      <c r="E119" s="607"/>
      <c r="F119" s="607"/>
      <c r="G119" s="607"/>
      <c r="H119" s="607"/>
      <c r="I119" s="607"/>
      <c r="J119" s="607"/>
      <c r="K119" s="607"/>
      <c r="L119" s="607"/>
      <c r="M119" s="607"/>
      <c r="N119" s="607"/>
      <c r="O119" s="607"/>
      <c r="P119" s="607"/>
      <c r="Q119" s="607"/>
      <c r="R119" s="607"/>
      <c r="S119" s="607"/>
      <c r="T119" s="607"/>
    </row>
    <row r="120" spans="1:20" ht="14.1" customHeight="1" x14ac:dyDescent="0.2">
      <c r="C120" s="607" t="s">
        <v>136</v>
      </c>
      <c r="D120" s="607" t="s">
        <v>137</v>
      </c>
      <c r="E120" s="607"/>
      <c r="F120" s="607" t="s">
        <v>138</v>
      </c>
      <c r="G120" s="607"/>
      <c r="H120" s="607" t="s">
        <v>139</v>
      </c>
      <c r="I120" s="607"/>
      <c r="J120" s="237" t="s">
        <v>140</v>
      </c>
      <c r="L120" s="607" t="s">
        <v>141</v>
      </c>
      <c r="M120" s="607"/>
      <c r="N120" s="607" t="s">
        <v>142</v>
      </c>
      <c r="O120" s="607"/>
      <c r="P120" s="607" t="s">
        <v>143</v>
      </c>
      <c r="Q120" s="607"/>
      <c r="R120" s="607" t="s">
        <v>144</v>
      </c>
      <c r="S120" s="607"/>
      <c r="T120" s="607" t="s">
        <v>305</v>
      </c>
    </row>
    <row r="121" spans="1:20" ht="14.1" customHeight="1" x14ac:dyDescent="0.2">
      <c r="C121" s="237" t="s">
        <v>145</v>
      </c>
      <c r="D121" s="237" t="s">
        <v>145</v>
      </c>
      <c r="F121" s="607" t="s">
        <v>41</v>
      </c>
      <c r="G121" s="237"/>
      <c r="H121" s="607" t="s">
        <v>40</v>
      </c>
      <c r="I121" s="237"/>
      <c r="J121" s="607"/>
      <c r="K121" s="237"/>
      <c r="L121" s="237"/>
      <c r="M121" s="237"/>
      <c r="N121" s="237"/>
      <c r="O121" s="237"/>
      <c r="P121" s="237"/>
      <c r="Q121" s="237"/>
      <c r="R121" s="237" t="s">
        <v>41</v>
      </c>
      <c r="T121" s="237"/>
    </row>
    <row r="122" spans="1:20" ht="14.1" customHeight="1" x14ac:dyDescent="0.2">
      <c r="A122" s="84" t="s">
        <v>146</v>
      </c>
      <c r="B122" s="237"/>
      <c r="C122" s="237" t="s">
        <v>147</v>
      </c>
      <c r="D122" s="237" t="s">
        <v>147</v>
      </c>
      <c r="E122" s="607"/>
      <c r="F122" s="237" t="s">
        <v>6</v>
      </c>
      <c r="G122" s="237"/>
      <c r="H122" s="237" t="s">
        <v>6</v>
      </c>
      <c r="I122" s="237"/>
      <c r="J122" s="237"/>
      <c r="K122" s="607"/>
      <c r="L122" s="237" t="s">
        <v>306</v>
      </c>
      <c r="M122" s="237"/>
      <c r="N122" s="237" t="s">
        <v>306</v>
      </c>
      <c r="O122" s="237"/>
      <c r="P122" s="237" t="s">
        <v>150</v>
      </c>
      <c r="Q122" s="607"/>
      <c r="R122" s="607" t="s">
        <v>6</v>
      </c>
      <c r="S122" s="607"/>
      <c r="T122" s="237" t="s">
        <v>151</v>
      </c>
    </row>
    <row r="123" spans="1:20" ht="14.1" customHeight="1" thickBot="1" x14ac:dyDescent="0.25">
      <c r="A123" s="114" t="s">
        <v>152</v>
      </c>
      <c r="B123" s="606"/>
      <c r="C123" s="606" t="s">
        <v>52</v>
      </c>
      <c r="D123" s="606" t="s">
        <v>153</v>
      </c>
      <c r="E123" s="606"/>
      <c r="F123" s="608" t="s">
        <v>154</v>
      </c>
      <c r="G123" s="608"/>
      <c r="H123" s="608" t="s">
        <v>307</v>
      </c>
      <c r="I123" s="609"/>
      <c r="J123" s="608" t="s">
        <v>18</v>
      </c>
      <c r="K123" s="609"/>
      <c r="L123" s="608" t="s">
        <v>19</v>
      </c>
      <c r="M123" s="609"/>
      <c r="N123" s="608" t="s">
        <v>54</v>
      </c>
      <c r="O123" s="609"/>
      <c r="P123" s="610" t="s">
        <v>157</v>
      </c>
      <c r="Q123" s="610"/>
      <c r="R123" s="610" t="s">
        <v>158</v>
      </c>
      <c r="S123" s="610"/>
      <c r="T123" s="610" t="s">
        <v>3</v>
      </c>
    </row>
    <row r="124" spans="1:20" ht="14.1" customHeight="1" x14ac:dyDescent="0.2">
      <c r="A124" s="84">
        <v>1</v>
      </c>
    </row>
    <row r="125" spans="1:20" ht="14.1" customHeight="1" x14ac:dyDescent="0.2">
      <c r="A125" s="84">
        <v>2</v>
      </c>
      <c r="B125" s="596"/>
      <c r="C125" s="249"/>
      <c r="D125" s="615" t="s">
        <v>201</v>
      </c>
      <c r="E125" s="619"/>
      <c r="F125" s="106"/>
      <c r="G125" s="106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</row>
    <row r="126" spans="1:20" ht="14.1" customHeight="1" x14ac:dyDescent="0.2">
      <c r="A126" s="84">
        <v>3</v>
      </c>
      <c r="B126" s="596"/>
      <c r="C126" s="237">
        <v>31154</v>
      </c>
      <c r="D126" s="84" t="s">
        <v>161</v>
      </c>
      <c r="F126" s="68">
        <v>4660455</v>
      </c>
      <c r="G126" s="75"/>
      <c r="H126" s="68">
        <v>404574</v>
      </c>
      <c r="I126" s="75"/>
      <c r="J126" s="68">
        <v>0</v>
      </c>
      <c r="K126" s="75"/>
      <c r="L126" s="68">
        <v>0</v>
      </c>
      <c r="M126" s="75"/>
      <c r="N126" s="68">
        <v>0</v>
      </c>
      <c r="O126" s="75"/>
      <c r="P126" s="68">
        <v>0</v>
      </c>
      <c r="Q126" s="75"/>
      <c r="R126" s="68">
        <v>5065029</v>
      </c>
      <c r="S126" s="75"/>
      <c r="T126" s="68">
        <v>4862742</v>
      </c>
    </row>
    <row r="127" spans="1:20" ht="14.1" customHeight="1" x14ac:dyDescent="0.2">
      <c r="A127" s="84">
        <v>4</v>
      </c>
      <c r="B127" s="596"/>
      <c r="C127" s="237">
        <v>31254</v>
      </c>
      <c r="D127" s="84" t="s">
        <v>162</v>
      </c>
      <c r="F127" s="68">
        <v>7146470.1499999939</v>
      </c>
      <c r="G127" s="75"/>
      <c r="H127" s="68">
        <v>1147987.3</v>
      </c>
      <c r="I127" s="75"/>
      <c r="J127" s="68">
        <v>-45979.48</v>
      </c>
      <c r="K127" s="75"/>
      <c r="L127" s="68">
        <v>-145228.85</v>
      </c>
      <c r="M127" s="75"/>
      <c r="N127" s="68">
        <v>0</v>
      </c>
      <c r="O127" s="75"/>
      <c r="P127" s="68">
        <v>0</v>
      </c>
      <c r="Q127" s="75"/>
      <c r="R127" s="68">
        <v>8103249.1199999936</v>
      </c>
      <c r="S127" s="75"/>
      <c r="T127" s="68">
        <v>7652160.9353846097</v>
      </c>
    </row>
    <row r="128" spans="1:20" ht="14.1" customHeight="1" x14ac:dyDescent="0.2">
      <c r="A128" s="84">
        <v>5</v>
      </c>
      <c r="B128" s="596"/>
      <c r="C128" s="237">
        <v>31554</v>
      </c>
      <c r="D128" s="84" t="s">
        <v>164</v>
      </c>
      <c r="F128" s="68">
        <v>4781238.199999989</v>
      </c>
      <c r="G128" s="75"/>
      <c r="H128" s="68">
        <v>415039.07999999984</v>
      </c>
      <c r="I128" s="75"/>
      <c r="J128" s="68">
        <v>0</v>
      </c>
      <c r="K128" s="75"/>
      <c r="L128" s="68">
        <v>0</v>
      </c>
      <c r="M128" s="75"/>
      <c r="N128" s="68">
        <v>0</v>
      </c>
      <c r="O128" s="75"/>
      <c r="P128" s="68">
        <v>0</v>
      </c>
      <c r="Q128" s="75"/>
      <c r="R128" s="68">
        <v>5196277.2799999891</v>
      </c>
      <c r="S128" s="75"/>
      <c r="T128" s="68">
        <v>4988757.7399999881</v>
      </c>
    </row>
    <row r="129" spans="1:20" ht="14.1" customHeight="1" x14ac:dyDescent="0.2">
      <c r="A129" s="84">
        <v>6</v>
      </c>
      <c r="B129" s="596"/>
      <c r="C129" s="237">
        <v>31654</v>
      </c>
      <c r="D129" s="84" t="s">
        <v>165</v>
      </c>
      <c r="F129" s="68">
        <v>259891.60000000056</v>
      </c>
      <c r="G129" s="75"/>
      <c r="H129" s="68">
        <v>22701.84</v>
      </c>
      <c r="I129" s="75"/>
      <c r="J129" s="68">
        <v>0</v>
      </c>
      <c r="K129" s="75"/>
      <c r="L129" s="68">
        <v>0</v>
      </c>
      <c r="M129" s="75"/>
      <c r="N129" s="68">
        <v>0</v>
      </c>
      <c r="O129" s="75"/>
      <c r="P129" s="68">
        <v>0</v>
      </c>
      <c r="Q129" s="75"/>
      <c r="R129" s="68">
        <v>282593.44000000058</v>
      </c>
      <c r="S129" s="75"/>
      <c r="T129" s="68">
        <v>271242.5200000006</v>
      </c>
    </row>
    <row r="130" spans="1:20" ht="14.1" customHeight="1" x14ac:dyDescent="0.2">
      <c r="A130" s="84">
        <v>7</v>
      </c>
      <c r="C130" s="237"/>
      <c r="D130" s="615" t="s">
        <v>202</v>
      </c>
      <c r="E130" s="619"/>
      <c r="F130" s="111">
        <v>16848054.949999984</v>
      </c>
      <c r="G130" s="75"/>
      <c r="H130" s="111">
        <v>1990302.22</v>
      </c>
      <c r="I130" s="75"/>
      <c r="J130" s="111">
        <v>-45979.48</v>
      </c>
      <c r="K130" s="75"/>
      <c r="L130" s="111">
        <v>-145228.85</v>
      </c>
      <c r="M130" s="75"/>
      <c r="N130" s="111">
        <v>0</v>
      </c>
      <c r="O130" s="75"/>
      <c r="P130" s="111">
        <v>0</v>
      </c>
      <c r="Q130" s="75"/>
      <c r="R130" s="111">
        <v>18647148.839999985</v>
      </c>
      <c r="S130" s="75"/>
      <c r="T130" s="111">
        <v>17774903.195384596</v>
      </c>
    </row>
    <row r="131" spans="1:20" ht="14.1" customHeight="1" x14ac:dyDescent="0.2">
      <c r="A131" s="84">
        <v>8</v>
      </c>
    </row>
    <row r="132" spans="1:20" ht="14.1" customHeight="1" x14ac:dyDescent="0.2">
      <c r="A132" s="84">
        <v>9</v>
      </c>
      <c r="B132" s="596"/>
      <c r="C132" s="237">
        <v>31247</v>
      </c>
      <c r="D132" s="84" t="s">
        <v>203</v>
      </c>
      <c r="F132" s="68">
        <v>14190782.939999994</v>
      </c>
      <c r="G132" s="75"/>
      <c r="H132" s="68">
        <v>4274817.79</v>
      </c>
      <c r="I132" s="75"/>
      <c r="J132" s="68">
        <v>-284445.97000000003</v>
      </c>
      <c r="K132" s="75"/>
      <c r="L132" s="68">
        <v>-21854.52</v>
      </c>
      <c r="M132" s="75"/>
      <c r="N132" s="68">
        <v>0</v>
      </c>
      <c r="O132" s="75"/>
      <c r="P132" s="68">
        <v>0</v>
      </c>
      <c r="Q132" s="75"/>
      <c r="R132" s="68">
        <v>18159300.239999995</v>
      </c>
      <c r="S132" s="75"/>
      <c r="T132" s="68">
        <v>16189627.19230769</v>
      </c>
    </row>
    <row r="133" spans="1:20" ht="14.1" customHeight="1" x14ac:dyDescent="0.2">
      <c r="A133" s="84">
        <v>10</v>
      </c>
      <c r="B133" s="596"/>
    </row>
    <row r="134" spans="1:20" ht="14.1" customHeight="1" x14ac:dyDescent="0.2">
      <c r="A134" s="84">
        <v>11</v>
      </c>
      <c r="B134" s="596"/>
      <c r="C134" s="607">
        <v>31647</v>
      </c>
      <c r="D134" s="84" t="s">
        <v>204</v>
      </c>
      <c r="F134" s="68">
        <v>932524.57000000181</v>
      </c>
      <c r="G134" s="75"/>
      <c r="H134" s="68">
        <v>333847.76</v>
      </c>
      <c r="I134" s="75"/>
      <c r="J134" s="68">
        <v>-437693.63</v>
      </c>
      <c r="K134" s="75"/>
      <c r="L134" s="68">
        <v>0</v>
      </c>
      <c r="M134" s="75"/>
      <c r="N134" s="68">
        <v>0</v>
      </c>
      <c r="O134" s="75"/>
      <c r="P134" s="68">
        <v>0</v>
      </c>
      <c r="Q134" s="75"/>
      <c r="R134" s="68">
        <v>828678.70000000193</v>
      </c>
      <c r="S134" s="75"/>
      <c r="T134" s="68">
        <v>649462.28076923254</v>
      </c>
    </row>
    <row r="135" spans="1:20" ht="14.1" customHeight="1" x14ac:dyDescent="0.2">
      <c r="A135" s="84">
        <v>12</v>
      </c>
      <c r="B135" s="596"/>
      <c r="C135" s="237"/>
      <c r="F135" s="626"/>
      <c r="G135" s="106"/>
      <c r="H135" s="626"/>
      <c r="I135" s="75"/>
      <c r="J135" s="626"/>
      <c r="K135" s="75"/>
      <c r="L135" s="626"/>
      <c r="M135" s="75"/>
      <c r="N135" s="626"/>
      <c r="O135" s="75"/>
      <c r="P135" s="626"/>
      <c r="Q135" s="75"/>
      <c r="R135" s="626"/>
      <c r="S135" s="75"/>
      <c r="T135" s="626"/>
    </row>
    <row r="136" spans="1:20" ht="14.1" customHeight="1" thickBot="1" x14ac:dyDescent="0.25">
      <c r="A136" s="84">
        <v>13</v>
      </c>
      <c r="B136" s="596"/>
      <c r="C136" s="237"/>
      <c r="D136" s="616" t="s">
        <v>205</v>
      </c>
      <c r="F136" s="55">
        <v>753621135.6400001</v>
      </c>
      <c r="G136" s="88"/>
      <c r="H136" s="55">
        <v>73922560.410000011</v>
      </c>
      <c r="I136" s="93"/>
      <c r="J136" s="55">
        <v>-8508904.4500000011</v>
      </c>
      <c r="K136" s="93"/>
      <c r="L136" s="55">
        <v>-20812974.929999996</v>
      </c>
      <c r="M136" s="93"/>
      <c r="N136" s="55">
        <v>337.80000000002474</v>
      </c>
      <c r="O136" s="93"/>
      <c r="P136" s="55">
        <v>43891.57</v>
      </c>
      <c r="Q136" s="93"/>
      <c r="R136" s="55">
        <v>798266046.0400002</v>
      </c>
      <c r="S136" s="106"/>
      <c r="T136" s="55">
        <v>777368400.6023078</v>
      </c>
    </row>
    <row r="137" spans="1:20" ht="14.1" customHeight="1" thickTop="1" x14ac:dyDescent="0.2">
      <c r="A137" s="84">
        <v>14</v>
      </c>
      <c r="B137" s="596"/>
      <c r="C137" s="237"/>
    </row>
    <row r="138" spans="1:20" ht="14.1" customHeight="1" thickBot="1" x14ac:dyDescent="0.25">
      <c r="A138" s="84">
        <v>15</v>
      </c>
      <c r="B138" s="596"/>
      <c r="C138" s="237"/>
      <c r="D138" s="84" t="s">
        <v>68</v>
      </c>
      <c r="F138" s="55">
        <v>753621135.6400001</v>
      </c>
      <c r="G138" s="88"/>
      <c r="H138" s="55">
        <v>73922560.410000011</v>
      </c>
      <c r="I138" s="93"/>
      <c r="J138" s="55">
        <v>-8508904.4500000011</v>
      </c>
      <c r="K138" s="93"/>
      <c r="L138" s="55">
        <v>-20812974.929999996</v>
      </c>
      <c r="M138" s="93"/>
      <c r="N138" s="55">
        <v>337.80000000002474</v>
      </c>
      <c r="O138" s="93"/>
      <c r="P138" s="55">
        <v>43891.57</v>
      </c>
      <c r="Q138" s="93"/>
      <c r="R138" s="55">
        <v>798266046.0400002</v>
      </c>
      <c r="S138" s="75"/>
      <c r="T138" s="55">
        <v>777368400.6023078</v>
      </c>
    </row>
    <row r="139" spans="1:20" ht="14.1" customHeight="1" thickTop="1" x14ac:dyDescent="0.2">
      <c r="A139" s="84">
        <v>16</v>
      </c>
      <c r="B139" s="596"/>
    </row>
    <row r="140" spans="1:20" ht="14.1" customHeight="1" x14ac:dyDescent="0.2">
      <c r="A140" s="84">
        <v>17</v>
      </c>
      <c r="B140" s="596"/>
    </row>
    <row r="141" spans="1:20" ht="14.1" customHeight="1" x14ac:dyDescent="0.2">
      <c r="A141" s="84">
        <v>18</v>
      </c>
      <c r="B141" s="596"/>
      <c r="D141" s="84" t="s">
        <v>63</v>
      </c>
    </row>
    <row r="142" spans="1:20" ht="14.1" customHeight="1" x14ac:dyDescent="0.2">
      <c r="A142" s="84">
        <v>19</v>
      </c>
      <c r="B142" s="596"/>
      <c r="C142" s="237"/>
      <c r="D142" s="84" t="s">
        <v>159</v>
      </c>
      <c r="G142" s="75"/>
      <c r="H142" s="112"/>
      <c r="I142" s="75"/>
      <c r="J142" s="344"/>
      <c r="K142" s="75"/>
      <c r="L142" s="344"/>
      <c r="M142" s="75"/>
      <c r="N142" s="344"/>
      <c r="O142" s="75"/>
      <c r="P142" s="344"/>
      <c r="Q142" s="75"/>
      <c r="R142" s="344"/>
      <c r="S142" s="75"/>
      <c r="T142" s="344"/>
    </row>
    <row r="143" spans="1:20" ht="14.1" customHeight="1" x14ac:dyDescent="0.2">
      <c r="A143" s="84">
        <v>20</v>
      </c>
      <c r="B143" s="596"/>
      <c r="C143" s="237"/>
      <c r="D143" s="84" t="s">
        <v>208</v>
      </c>
      <c r="G143" s="75"/>
      <c r="I143" s="75"/>
      <c r="K143" s="75"/>
      <c r="M143" s="75"/>
      <c r="O143" s="75"/>
      <c r="Q143" s="75"/>
      <c r="S143" s="75"/>
    </row>
    <row r="144" spans="1:20" ht="14.1" customHeight="1" x14ac:dyDescent="0.2">
      <c r="A144" s="84">
        <v>21</v>
      </c>
      <c r="B144" s="596"/>
      <c r="C144" s="237">
        <v>34144</v>
      </c>
      <c r="D144" s="84" t="s">
        <v>161</v>
      </c>
      <c r="F144" s="68">
        <v>432942.74000000022</v>
      </c>
      <c r="G144" s="75"/>
      <c r="H144" s="68">
        <v>86088.239999999991</v>
      </c>
      <c r="I144" s="75"/>
      <c r="J144" s="68">
        <v>0</v>
      </c>
      <c r="K144" s="75"/>
      <c r="L144" s="68">
        <v>0</v>
      </c>
      <c r="M144" s="75"/>
      <c r="N144" s="68">
        <v>0</v>
      </c>
      <c r="O144" s="75"/>
      <c r="P144" s="68">
        <v>0</v>
      </c>
      <c r="Q144" s="75"/>
      <c r="R144" s="68">
        <v>519030.98000000021</v>
      </c>
      <c r="S144" s="75"/>
      <c r="T144" s="68">
        <v>475986.86000000028</v>
      </c>
    </row>
    <row r="145" spans="1:20" ht="14.1" customHeight="1" x14ac:dyDescent="0.2">
      <c r="A145" s="84">
        <v>22</v>
      </c>
      <c r="B145" s="596"/>
      <c r="C145" s="237">
        <v>34244</v>
      </c>
      <c r="D145" s="84" t="s">
        <v>162</v>
      </c>
      <c r="F145" s="68">
        <v>584333.34000000067</v>
      </c>
      <c r="G145" s="75"/>
      <c r="H145" s="68">
        <v>84714.60000000002</v>
      </c>
      <c r="I145" s="75"/>
      <c r="J145" s="68">
        <v>0</v>
      </c>
      <c r="K145" s="75"/>
      <c r="L145" s="68">
        <v>-1764.0700000000006</v>
      </c>
      <c r="M145" s="75"/>
      <c r="N145" s="68">
        <v>-939.13</v>
      </c>
      <c r="O145" s="75"/>
      <c r="P145" s="68">
        <v>0</v>
      </c>
      <c r="Q145" s="75"/>
      <c r="R145" s="68">
        <v>666344.74000000069</v>
      </c>
      <c r="S145" s="75"/>
      <c r="T145" s="68">
        <v>624015.83615384705</v>
      </c>
    </row>
    <row r="146" spans="1:20" ht="14.1" customHeight="1" x14ac:dyDescent="0.2">
      <c r="A146" s="84">
        <v>23</v>
      </c>
      <c r="B146" s="596"/>
      <c r="C146" s="237">
        <v>34344</v>
      </c>
      <c r="D146" s="84" t="s">
        <v>163</v>
      </c>
      <c r="F146" s="68">
        <v>8674415.5200000033</v>
      </c>
      <c r="G146" s="75"/>
      <c r="H146" s="68">
        <v>779265.47999999986</v>
      </c>
      <c r="I146" s="75"/>
      <c r="J146" s="68">
        <v>-1230706.78</v>
      </c>
      <c r="K146" s="75"/>
      <c r="L146" s="68">
        <v>-52795.89</v>
      </c>
      <c r="M146" s="75"/>
      <c r="N146" s="68">
        <v>-7651.93</v>
      </c>
      <c r="O146" s="75"/>
      <c r="P146" s="68">
        <v>0</v>
      </c>
      <c r="Q146" s="75"/>
      <c r="R146" s="68">
        <v>8162526.4000000041</v>
      </c>
      <c r="S146" s="75"/>
      <c r="T146" s="68">
        <v>8557979.5546153914</v>
      </c>
    </row>
    <row r="147" spans="1:20" ht="14.1" customHeight="1" x14ac:dyDescent="0.2">
      <c r="A147" s="84">
        <v>24</v>
      </c>
      <c r="B147" s="596"/>
      <c r="C147" s="237">
        <v>34544</v>
      </c>
      <c r="D147" s="84" t="s">
        <v>164</v>
      </c>
      <c r="F147" s="68">
        <v>4631062.9499999955</v>
      </c>
      <c r="G147" s="75"/>
      <c r="H147" s="68">
        <v>596736</v>
      </c>
      <c r="I147" s="75"/>
      <c r="J147" s="68">
        <v>0</v>
      </c>
      <c r="K147" s="75"/>
      <c r="L147" s="68">
        <v>0</v>
      </c>
      <c r="M147" s="75"/>
      <c r="N147" s="68">
        <v>0</v>
      </c>
      <c r="O147" s="75"/>
      <c r="P147" s="68">
        <v>0</v>
      </c>
      <c r="Q147" s="75"/>
      <c r="R147" s="68">
        <v>5227798.9499999955</v>
      </c>
      <c r="S147" s="75"/>
      <c r="T147" s="68">
        <v>4929430.9499999955</v>
      </c>
    </row>
    <row r="148" spans="1:20" ht="14.1" customHeight="1" x14ac:dyDescent="0.2">
      <c r="A148" s="84">
        <v>25</v>
      </c>
      <c r="B148" s="596"/>
      <c r="C148" s="237">
        <v>34644</v>
      </c>
      <c r="D148" s="84" t="s">
        <v>165</v>
      </c>
      <c r="F148" s="68">
        <v>147279.26000000018</v>
      </c>
      <c r="G148" s="75"/>
      <c r="H148" s="68">
        <v>20426.519999999993</v>
      </c>
      <c r="I148" s="75"/>
      <c r="J148" s="68">
        <v>0</v>
      </c>
      <c r="K148" s="75"/>
      <c r="L148" s="68">
        <v>0</v>
      </c>
      <c r="M148" s="75"/>
      <c r="N148" s="68">
        <v>0</v>
      </c>
      <c r="O148" s="75"/>
      <c r="P148" s="68">
        <v>0</v>
      </c>
      <c r="Q148" s="75"/>
      <c r="R148" s="68">
        <v>167705.78000000017</v>
      </c>
      <c r="S148" s="75"/>
      <c r="T148" s="68">
        <v>157492.52000000014</v>
      </c>
    </row>
    <row r="149" spans="1:20" ht="14.1" customHeight="1" x14ac:dyDescent="0.2">
      <c r="A149" s="84">
        <v>26</v>
      </c>
      <c r="B149" s="596"/>
      <c r="D149" s="84" t="s">
        <v>209</v>
      </c>
      <c r="F149" s="111">
        <v>14470033.809999999</v>
      </c>
      <c r="G149" s="75"/>
      <c r="H149" s="111">
        <v>1567230.8399999999</v>
      </c>
      <c r="I149" s="75"/>
      <c r="J149" s="111">
        <v>-1230706.78</v>
      </c>
      <c r="K149" s="75"/>
      <c r="L149" s="111">
        <v>-54559.96</v>
      </c>
      <c r="M149" s="75"/>
      <c r="N149" s="111">
        <v>-8591.06</v>
      </c>
      <c r="O149" s="75"/>
      <c r="P149" s="111">
        <v>0</v>
      </c>
      <c r="Q149" s="75"/>
      <c r="R149" s="111">
        <v>14743406.85</v>
      </c>
      <c r="S149" s="75"/>
      <c r="T149" s="111">
        <v>14744905.720769234</v>
      </c>
    </row>
    <row r="150" spans="1:20" ht="14.1" customHeight="1" x14ac:dyDescent="0.2">
      <c r="A150" s="84">
        <v>27</v>
      </c>
      <c r="B150" s="596"/>
      <c r="G150" s="75"/>
      <c r="I150" s="75"/>
      <c r="K150" s="75"/>
      <c r="M150" s="75"/>
      <c r="O150" s="75"/>
      <c r="Q150" s="75"/>
      <c r="S150" s="75"/>
    </row>
    <row r="151" spans="1:20" ht="14.1" customHeight="1" thickBot="1" x14ac:dyDescent="0.25">
      <c r="A151" s="84">
        <v>28</v>
      </c>
      <c r="B151" s="596"/>
      <c r="C151" s="237"/>
      <c r="D151" s="84" t="s">
        <v>395</v>
      </c>
      <c r="F151" s="55">
        <v>14470033.809999999</v>
      </c>
      <c r="G151" s="75"/>
      <c r="H151" s="55">
        <v>1567230.8399999999</v>
      </c>
      <c r="I151" s="75"/>
      <c r="J151" s="55">
        <v>-1230706.78</v>
      </c>
      <c r="K151" s="75"/>
      <c r="L151" s="55">
        <v>-54559.96</v>
      </c>
      <c r="M151" s="75"/>
      <c r="N151" s="55">
        <v>-8591.06</v>
      </c>
      <c r="O151" s="75"/>
      <c r="P151" s="55">
        <v>0</v>
      </c>
      <c r="Q151" s="75"/>
      <c r="R151" s="55">
        <v>14743406.85</v>
      </c>
      <c r="S151" s="75"/>
      <c r="T151" s="55">
        <v>14744905.720769234</v>
      </c>
    </row>
    <row r="152" spans="1:20" ht="14.1" customHeight="1" thickTop="1" x14ac:dyDescent="0.2">
      <c r="A152" s="84">
        <v>29</v>
      </c>
      <c r="B152" s="596"/>
    </row>
    <row r="153" spans="1:20" ht="14.1" customHeight="1" x14ac:dyDescent="0.2">
      <c r="A153" s="84">
        <v>30</v>
      </c>
      <c r="B153" s="596"/>
      <c r="C153" s="607"/>
      <c r="F153" s="68"/>
      <c r="G153" s="75"/>
      <c r="H153" s="68"/>
      <c r="I153" s="75"/>
      <c r="J153" s="68"/>
      <c r="K153" s="75"/>
      <c r="L153" s="68"/>
      <c r="M153" s="75"/>
      <c r="N153" s="68"/>
      <c r="O153" s="75"/>
      <c r="P153" s="68"/>
      <c r="Q153" s="75"/>
      <c r="R153" s="68"/>
      <c r="S153" s="75"/>
      <c r="T153" s="68"/>
    </row>
    <row r="154" spans="1:20" ht="14.1" customHeight="1" x14ac:dyDescent="0.2">
      <c r="A154" s="84">
        <v>31</v>
      </c>
      <c r="B154" s="596"/>
      <c r="D154" s="84" t="s">
        <v>64</v>
      </c>
    </row>
    <row r="155" spans="1:20" ht="14.1" customHeight="1" x14ac:dyDescent="0.2">
      <c r="A155" s="84">
        <v>32</v>
      </c>
      <c r="B155" s="596"/>
      <c r="C155" s="237"/>
      <c r="D155" s="84" t="s">
        <v>210</v>
      </c>
      <c r="F155" s="113"/>
      <c r="G155" s="75"/>
      <c r="H155" s="627"/>
      <c r="I155" s="75"/>
      <c r="J155" s="627"/>
      <c r="K155" s="75"/>
      <c r="L155" s="627"/>
      <c r="M155" s="75"/>
      <c r="N155" s="627"/>
      <c r="O155" s="75"/>
      <c r="P155" s="627"/>
      <c r="Q155" s="75"/>
      <c r="R155" s="113"/>
      <c r="S155" s="75"/>
      <c r="T155" s="113"/>
    </row>
    <row r="156" spans="1:20" ht="14.1" customHeight="1" x14ac:dyDescent="0.2">
      <c r="A156" s="84">
        <v>33</v>
      </c>
      <c r="B156" s="596"/>
      <c r="C156" s="607">
        <v>34180</v>
      </c>
      <c r="D156" s="84" t="s">
        <v>161</v>
      </c>
      <c r="F156" s="68">
        <v>37491737.76000002</v>
      </c>
      <c r="G156" s="75"/>
      <c r="H156" s="68">
        <v>4180436.8000000007</v>
      </c>
      <c r="I156" s="75"/>
      <c r="J156" s="68">
        <v>-87289.549999999988</v>
      </c>
      <c r="K156" s="75"/>
      <c r="L156" s="68">
        <v>-8030</v>
      </c>
      <c r="M156" s="75"/>
      <c r="N156" s="68">
        <v>0</v>
      </c>
      <c r="O156" s="75"/>
      <c r="P156" s="68">
        <v>0</v>
      </c>
      <c r="Q156" s="75"/>
      <c r="R156" s="68">
        <v>41576855.01000002</v>
      </c>
      <c r="S156" s="75"/>
      <c r="T156" s="68">
        <v>39570484.117692336</v>
      </c>
    </row>
    <row r="157" spans="1:20" ht="14.1" customHeight="1" x14ac:dyDescent="0.2">
      <c r="A157" s="84">
        <v>34</v>
      </c>
      <c r="B157" s="596"/>
      <c r="C157" s="607">
        <v>34280</v>
      </c>
      <c r="D157" s="84" t="s">
        <v>206</v>
      </c>
      <c r="F157" s="68">
        <v>2890192.7299999986</v>
      </c>
      <c r="G157" s="75"/>
      <c r="H157" s="68">
        <v>321882.83000000007</v>
      </c>
      <c r="I157" s="75"/>
      <c r="J157" s="68">
        <v>0</v>
      </c>
      <c r="K157" s="75"/>
      <c r="L157" s="68">
        <v>-9482.1099999999988</v>
      </c>
      <c r="M157" s="75"/>
      <c r="N157" s="68">
        <v>-3094.58</v>
      </c>
      <c r="O157" s="75"/>
      <c r="P157" s="68">
        <v>0</v>
      </c>
      <c r="Q157" s="75"/>
      <c r="R157" s="68">
        <v>3199498.8699999987</v>
      </c>
      <c r="S157" s="75"/>
      <c r="T157" s="68">
        <v>3038735.0007692296</v>
      </c>
    </row>
    <row r="158" spans="1:20" ht="14.1" customHeight="1" x14ac:dyDescent="0.2">
      <c r="A158" s="84">
        <v>35</v>
      </c>
      <c r="B158" s="596"/>
      <c r="C158" s="607">
        <v>34380</v>
      </c>
      <c r="D158" s="84" t="s">
        <v>207</v>
      </c>
      <c r="F158" s="68">
        <v>1438581.4600000002</v>
      </c>
      <c r="G158" s="75"/>
      <c r="H158" s="68">
        <v>219904.79999999996</v>
      </c>
      <c r="I158" s="75"/>
      <c r="J158" s="68">
        <v>0</v>
      </c>
      <c r="K158" s="75"/>
      <c r="L158" s="68">
        <v>-8507.989999999998</v>
      </c>
      <c r="M158" s="75"/>
      <c r="N158" s="68">
        <v>-3914.2599999999998</v>
      </c>
      <c r="O158" s="75"/>
      <c r="P158" s="68">
        <v>0</v>
      </c>
      <c r="Q158" s="75"/>
      <c r="R158" s="68">
        <v>1646064.0100000002</v>
      </c>
      <c r="S158" s="75"/>
      <c r="T158" s="68">
        <v>1538060.1053846152</v>
      </c>
    </row>
    <row r="159" spans="1:20" ht="14.1" customHeight="1" x14ac:dyDescent="0.2">
      <c r="A159" s="84">
        <v>36</v>
      </c>
      <c r="B159" s="596"/>
      <c r="C159" s="607">
        <v>34580</v>
      </c>
      <c r="D159" s="84" t="s">
        <v>164</v>
      </c>
      <c r="F159" s="68">
        <v>1609330.5500000017</v>
      </c>
      <c r="G159" s="75"/>
      <c r="H159" s="68">
        <v>402957.3600000001</v>
      </c>
      <c r="I159" s="75"/>
      <c r="J159" s="68">
        <v>0</v>
      </c>
      <c r="K159" s="75"/>
      <c r="L159" s="68">
        <v>0</v>
      </c>
      <c r="M159" s="75"/>
      <c r="N159" s="68">
        <v>0</v>
      </c>
      <c r="O159" s="75"/>
      <c r="P159" s="68">
        <v>0</v>
      </c>
      <c r="Q159" s="75"/>
      <c r="R159" s="68">
        <v>2012287.9100000018</v>
      </c>
      <c r="S159" s="75"/>
      <c r="T159" s="68">
        <v>1810809.2300000018</v>
      </c>
    </row>
    <row r="160" spans="1:20" ht="14.1" customHeight="1" x14ac:dyDescent="0.2">
      <c r="A160" s="84">
        <v>37</v>
      </c>
      <c r="B160" s="596"/>
      <c r="C160" s="607">
        <v>34680</v>
      </c>
      <c r="D160" s="84" t="s">
        <v>165</v>
      </c>
      <c r="F160" s="68">
        <v>-151792.81000000032</v>
      </c>
      <c r="G160" s="75"/>
      <c r="H160" s="68">
        <v>20415.240000000002</v>
      </c>
      <c r="I160" s="75"/>
      <c r="J160" s="68">
        <v>0</v>
      </c>
      <c r="K160" s="75"/>
      <c r="L160" s="68">
        <v>0</v>
      </c>
      <c r="M160" s="75"/>
      <c r="N160" s="68">
        <v>0</v>
      </c>
      <c r="O160" s="75"/>
      <c r="P160" s="68">
        <v>0</v>
      </c>
      <c r="Q160" s="75"/>
      <c r="R160" s="68">
        <v>-131377.57000000033</v>
      </c>
      <c r="S160" s="75"/>
      <c r="T160" s="68">
        <v>-141585.19000000038</v>
      </c>
    </row>
    <row r="161" spans="1:20" ht="14.1" customHeight="1" x14ac:dyDescent="0.2">
      <c r="A161" s="84">
        <v>38</v>
      </c>
      <c r="B161" s="596"/>
      <c r="C161" s="237"/>
      <c r="D161" s="84" t="s">
        <v>211</v>
      </c>
      <c r="F161" s="111">
        <v>43278049.69000002</v>
      </c>
      <c r="G161" s="75"/>
      <c r="H161" s="111">
        <v>5145597.0300000012</v>
      </c>
      <c r="I161" s="75"/>
      <c r="J161" s="111">
        <v>-87289.549999999988</v>
      </c>
      <c r="K161" s="75"/>
      <c r="L161" s="111">
        <v>-26020.1</v>
      </c>
      <c r="M161" s="75"/>
      <c r="N161" s="111">
        <v>-7008.84</v>
      </c>
      <c r="O161" s="75"/>
      <c r="P161" s="111">
        <v>0</v>
      </c>
      <c r="Q161" s="75"/>
      <c r="R161" s="111">
        <v>48303328.230000019</v>
      </c>
      <c r="S161" s="75"/>
      <c r="T161" s="111">
        <v>45816503.263846189</v>
      </c>
    </row>
    <row r="162" spans="1:20" ht="14.1" customHeight="1" x14ac:dyDescent="0.2">
      <c r="A162" s="84">
        <v>39</v>
      </c>
      <c r="B162" s="596"/>
    </row>
    <row r="163" spans="1:20" ht="14.1" customHeight="1" x14ac:dyDescent="0.2">
      <c r="A163" s="84">
        <v>40</v>
      </c>
      <c r="B163" s="596"/>
    </row>
    <row r="164" spans="1:20" ht="14.1" customHeight="1" x14ac:dyDescent="0.2">
      <c r="A164" s="84">
        <v>41</v>
      </c>
      <c r="B164" s="596"/>
    </row>
    <row r="165" spans="1:20" ht="14.1" customHeight="1" x14ac:dyDescent="0.2">
      <c r="A165" s="84">
        <v>42</v>
      </c>
      <c r="B165" s="596"/>
    </row>
    <row r="166" spans="1:20" ht="14.1" customHeight="1" x14ac:dyDescent="0.2">
      <c r="A166" s="84">
        <v>43</v>
      </c>
      <c r="B166" s="596"/>
    </row>
    <row r="167" spans="1:20" ht="14.1" customHeight="1" thickBot="1" x14ac:dyDescent="0.25">
      <c r="A167" s="114">
        <v>44</v>
      </c>
      <c r="B167" s="343" t="s">
        <v>186</v>
      </c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</row>
    <row r="169" spans="1:20" ht="14.1" customHeight="1" thickBot="1" x14ac:dyDescent="0.25">
      <c r="A169" s="114" t="s">
        <v>301</v>
      </c>
      <c r="B169" s="114"/>
      <c r="C169" s="114"/>
      <c r="D169" s="114"/>
      <c r="E169" s="114"/>
      <c r="F169" s="114" t="s">
        <v>302</v>
      </c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 t="s">
        <v>326</v>
      </c>
    </row>
    <row r="170" spans="1:20" ht="14.1" customHeight="1" x14ac:dyDescent="0.2">
      <c r="A170" s="84" t="s">
        <v>129</v>
      </c>
      <c r="B170" s="622"/>
      <c r="E170" s="88" t="s">
        <v>130</v>
      </c>
      <c r="F170" s="84" t="s">
        <v>303</v>
      </c>
      <c r="J170" s="623"/>
      <c r="K170" s="623"/>
      <c r="P170" s="623"/>
      <c r="Q170" s="623"/>
      <c r="R170" s="623" t="s">
        <v>132</v>
      </c>
      <c r="T170" s="604"/>
    </row>
    <row r="171" spans="1:20" ht="14.1" customHeight="1" x14ac:dyDescent="0.2">
      <c r="B171" s="622"/>
      <c r="F171" s="84" t="s">
        <v>304</v>
      </c>
      <c r="J171" s="88"/>
      <c r="K171" s="604"/>
      <c r="P171" s="88"/>
      <c r="Q171" s="88"/>
      <c r="R171" s="604" t="s">
        <v>844</v>
      </c>
      <c r="T171" s="88"/>
    </row>
    <row r="172" spans="1:20" ht="14.1" customHeight="1" x14ac:dyDescent="0.2">
      <c r="A172" s="84" t="s">
        <v>134</v>
      </c>
      <c r="B172" s="622"/>
      <c r="F172" s="84" t="s">
        <v>123</v>
      </c>
      <c r="J172" s="88"/>
      <c r="K172" s="604"/>
      <c r="L172" s="88"/>
      <c r="N172" s="88"/>
      <c r="Q172" s="88"/>
      <c r="R172" s="604"/>
      <c r="T172" s="88"/>
    </row>
    <row r="173" spans="1:20" ht="14.1" customHeight="1" x14ac:dyDescent="0.2">
      <c r="B173" s="622"/>
      <c r="F173" s="84" t="s">
        <v>123</v>
      </c>
      <c r="J173" s="88"/>
      <c r="K173" s="604"/>
      <c r="L173" s="88"/>
      <c r="N173" s="88"/>
      <c r="Q173" s="88"/>
      <c r="R173" s="604"/>
      <c r="T173" s="88"/>
    </row>
    <row r="174" spans="1:20" ht="14.1" customHeight="1" thickBot="1" x14ac:dyDescent="0.25">
      <c r="A174" s="114" t="s">
        <v>135</v>
      </c>
      <c r="B174" s="624"/>
      <c r="C174" s="114"/>
      <c r="D174" s="114"/>
      <c r="E174" s="114"/>
      <c r="F174" s="114" t="s">
        <v>123</v>
      </c>
      <c r="G174" s="114"/>
      <c r="H174" s="606"/>
      <c r="I174" s="114"/>
      <c r="J174" s="114"/>
      <c r="K174" s="114"/>
      <c r="L174" s="114"/>
      <c r="M174" s="114"/>
      <c r="N174" s="114"/>
      <c r="O174" s="114"/>
      <c r="P174" s="114"/>
      <c r="Q174" s="114"/>
      <c r="R174" s="625"/>
      <c r="S174" s="114"/>
      <c r="T174" s="114"/>
    </row>
    <row r="175" spans="1:20" ht="14.1" customHeight="1" x14ac:dyDescent="0.2">
      <c r="C175" s="607"/>
      <c r="D175" s="607"/>
      <c r="E175" s="607"/>
      <c r="F175" s="607"/>
      <c r="G175" s="607"/>
      <c r="H175" s="607"/>
      <c r="I175" s="607"/>
      <c r="J175" s="607"/>
      <c r="K175" s="607"/>
      <c r="L175" s="607"/>
      <c r="M175" s="607"/>
      <c r="N175" s="607"/>
      <c r="O175" s="607"/>
      <c r="P175" s="607"/>
      <c r="Q175" s="607"/>
      <c r="R175" s="607"/>
      <c r="S175" s="607"/>
      <c r="T175" s="607"/>
    </row>
    <row r="176" spans="1:20" ht="14.1" customHeight="1" x14ac:dyDescent="0.2">
      <c r="C176" s="607" t="s">
        <v>136</v>
      </c>
      <c r="D176" s="607" t="s">
        <v>137</v>
      </c>
      <c r="E176" s="607"/>
      <c r="F176" s="607" t="s">
        <v>138</v>
      </c>
      <c r="G176" s="607"/>
      <c r="H176" s="607" t="s">
        <v>139</v>
      </c>
      <c r="I176" s="607"/>
      <c r="J176" s="237" t="s">
        <v>140</v>
      </c>
      <c r="L176" s="607" t="s">
        <v>141</v>
      </c>
      <c r="M176" s="607"/>
      <c r="N176" s="607" t="s">
        <v>142</v>
      </c>
      <c r="O176" s="607"/>
      <c r="P176" s="607" t="s">
        <v>143</v>
      </c>
      <c r="Q176" s="607"/>
      <c r="R176" s="607" t="s">
        <v>144</v>
      </c>
      <c r="S176" s="607"/>
      <c r="T176" s="607" t="s">
        <v>305</v>
      </c>
    </row>
    <row r="177" spans="1:20" ht="14.1" customHeight="1" x14ac:dyDescent="0.2">
      <c r="C177" s="237" t="s">
        <v>145</v>
      </c>
      <c r="D177" s="237" t="s">
        <v>145</v>
      </c>
      <c r="F177" s="607" t="s">
        <v>41</v>
      </c>
      <c r="G177" s="237"/>
      <c r="H177" s="607" t="s">
        <v>40</v>
      </c>
      <c r="I177" s="237"/>
      <c r="J177" s="607"/>
      <c r="K177" s="237"/>
      <c r="L177" s="237"/>
      <c r="M177" s="237"/>
      <c r="N177" s="237"/>
      <c r="O177" s="237"/>
      <c r="P177" s="237"/>
      <c r="Q177" s="237"/>
      <c r="R177" s="237" t="s">
        <v>41</v>
      </c>
      <c r="T177" s="237"/>
    </row>
    <row r="178" spans="1:20" ht="14.1" customHeight="1" x14ac:dyDescent="0.2">
      <c r="A178" s="84" t="s">
        <v>146</v>
      </c>
      <c r="B178" s="237"/>
      <c r="C178" s="237" t="s">
        <v>147</v>
      </c>
      <c r="D178" s="237" t="s">
        <v>147</v>
      </c>
      <c r="E178" s="607"/>
      <c r="F178" s="237" t="s">
        <v>6</v>
      </c>
      <c r="G178" s="237"/>
      <c r="H178" s="237" t="s">
        <v>6</v>
      </c>
      <c r="I178" s="237"/>
      <c r="J178" s="237"/>
      <c r="K178" s="607"/>
      <c r="L178" s="237" t="s">
        <v>306</v>
      </c>
      <c r="M178" s="237"/>
      <c r="N178" s="237" t="s">
        <v>306</v>
      </c>
      <c r="O178" s="237"/>
      <c r="P178" s="237" t="s">
        <v>150</v>
      </c>
      <c r="Q178" s="607"/>
      <c r="R178" s="607" t="s">
        <v>6</v>
      </c>
      <c r="S178" s="607"/>
      <c r="T178" s="237" t="s">
        <v>151</v>
      </c>
    </row>
    <row r="179" spans="1:20" ht="14.1" customHeight="1" thickBot="1" x14ac:dyDescent="0.25">
      <c r="A179" s="114" t="s">
        <v>152</v>
      </c>
      <c r="B179" s="606"/>
      <c r="C179" s="606" t="s">
        <v>52</v>
      </c>
      <c r="D179" s="606" t="s">
        <v>153</v>
      </c>
      <c r="E179" s="606"/>
      <c r="F179" s="608" t="s">
        <v>154</v>
      </c>
      <c r="G179" s="608"/>
      <c r="H179" s="608" t="s">
        <v>307</v>
      </c>
      <c r="I179" s="609"/>
      <c r="J179" s="608" t="s">
        <v>18</v>
      </c>
      <c r="K179" s="609"/>
      <c r="L179" s="608" t="s">
        <v>19</v>
      </c>
      <c r="M179" s="609"/>
      <c r="N179" s="608" t="s">
        <v>54</v>
      </c>
      <c r="O179" s="609"/>
      <c r="P179" s="610" t="s">
        <v>157</v>
      </c>
      <c r="Q179" s="610"/>
      <c r="R179" s="610" t="s">
        <v>158</v>
      </c>
      <c r="S179" s="610"/>
      <c r="T179" s="610" t="s">
        <v>3</v>
      </c>
    </row>
    <row r="180" spans="1:20" ht="14.1" customHeight="1" x14ac:dyDescent="0.2">
      <c r="A180" s="84">
        <v>1</v>
      </c>
      <c r="B180" s="596"/>
    </row>
    <row r="181" spans="1:20" ht="14.1" customHeight="1" x14ac:dyDescent="0.2">
      <c r="A181" s="84">
        <v>2</v>
      </c>
      <c r="B181" s="596"/>
      <c r="D181" s="616" t="s">
        <v>212</v>
      </c>
      <c r="F181" s="628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</row>
    <row r="182" spans="1:20" ht="14.1" customHeight="1" x14ac:dyDescent="0.2">
      <c r="A182" s="84">
        <v>3</v>
      </c>
      <c r="B182" s="596"/>
      <c r="C182" s="607">
        <v>34181</v>
      </c>
      <c r="D182" s="84" t="s">
        <v>161</v>
      </c>
      <c r="F182" s="68">
        <v>21028009.86999999</v>
      </c>
      <c r="G182" s="75"/>
      <c r="H182" s="68">
        <v>1240810.58</v>
      </c>
      <c r="I182" s="75"/>
      <c r="J182" s="68">
        <v>-85403.040000000008</v>
      </c>
      <c r="K182" s="75"/>
      <c r="L182" s="68">
        <v>-36912.639999999999</v>
      </c>
      <c r="M182" s="75"/>
      <c r="N182" s="68">
        <v>0</v>
      </c>
      <c r="O182" s="75"/>
      <c r="P182" s="68">
        <v>0</v>
      </c>
      <c r="Q182" s="75"/>
      <c r="R182" s="68">
        <v>22146504.769999988</v>
      </c>
      <c r="S182" s="75"/>
      <c r="T182" s="68">
        <v>21584100.999999993</v>
      </c>
    </row>
    <row r="183" spans="1:20" ht="14.1" customHeight="1" x14ac:dyDescent="0.2">
      <c r="A183" s="84">
        <v>4</v>
      </c>
      <c r="C183" s="607">
        <v>34281</v>
      </c>
      <c r="D183" s="84" t="s">
        <v>206</v>
      </c>
      <c r="F183" s="68">
        <v>104710611.00999996</v>
      </c>
      <c r="G183" s="75"/>
      <c r="H183" s="68">
        <v>8232038.8000000007</v>
      </c>
      <c r="I183" s="75"/>
      <c r="J183" s="68">
        <v>-3406509.11</v>
      </c>
      <c r="K183" s="75"/>
      <c r="L183" s="68">
        <v>-473494.25999999995</v>
      </c>
      <c r="M183" s="75"/>
      <c r="N183" s="68">
        <v>-95226.9</v>
      </c>
      <c r="O183" s="75"/>
      <c r="P183" s="68">
        <v>0</v>
      </c>
      <c r="Q183" s="75"/>
      <c r="R183" s="68">
        <v>108967419.53999995</v>
      </c>
      <c r="S183" s="75"/>
      <c r="T183" s="68">
        <v>106046221.94153841</v>
      </c>
    </row>
    <row r="184" spans="1:20" ht="14.1" customHeight="1" x14ac:dyDescent="0.2">
      <c r="A184" s="84">
        <v>5</v>
      </c>
      <c r="C184" s="607">
        <v>34381</v>
      </c>
      <c r="D184" s="84" t="s">
        <v>207</v>
      </c>
      <c r="F184" s="68">
        <v>63146188.029999994</v>
      </c>
      <c r="G184" s="75"/>
      <c r="H184" s="68">
        <v>6556662.3999999985</v>
      </c>
      <c r="I184" s="75"/>
      <c r="J184" s="68">
        <v>-624244.57999999996</v>
      </c>
      <c r="K184" s="75"/>
      <c r="L184" s="68">
        <v>-113908.99000000003</v>
      </c>
      <c r="M184" s="75"/>
      <c r="N184" s="68">
        <v>-57324.38</v>
      </c>
      <c r="O184" s="75"/>
      <c r="P184" s="68">
        <v>0</v>
      </c>
      <c r="Q184" s="75"/>
      <c r="R184" s="68">
        <v>68907372.480000004</v>
      </c>
      <c r="S184" s="75"/>
      <c r="T184" s="68">
        <v>66024357.636153825</v>
      </c>
    </row>
    <row r="185" spans="1:20" ht="14.1" customHeight="1" x14ac:dyDescent="0.2">
      <c r="A185" s="84">
        <v>6</v>
      </c>
      <c r="C185" s="607">
        <v>34581</v>
      </c>
      <c r="D185" s="84" t="s">
        <v>164</v>
      </c>
      <c r="F185" s="68">
        <v>34342299.659999982</v>
      </c>
      <c r="G185" s="75"/>
      <c r="H185" s="68">
        <v>1900692.7499999995</v>
      </c>
      <c r="I185" s="75"/>
      <c r="J185" s="68">
        <v>-270162.99</v>
      </c>
      <c r="K185" s="75"/>
      <c r="L185" s="68">
        <v>0</v>
      </c>
      <c r="M185" s="75"/>
      <c r="N185" s="68">
        <v>0</v>
      </c>
      <c r="O185" s="75"/>
      <c r="P185" s="68">
        <v>0</v>
      </c>
      <c r="Q185" s="75"/>
      <c r="R185" s="68">
        <v>35972829.419999979</v>
      </c>
      <c r="S185" s="75"/>
      <c r="T185" s="68">
        <v>35067042.749999963</v>
      </c>
    </row>
    <row r="186" spans="1:20" ht="14.1" customHeight="1" x14ac:dyDescent="0.2">
      <c r="A186" s="84">
        <v>7</v>
      </c>
      <c r="C186" s="607">
        <v>34681</v>
      </c>
      <c r="D186" s="84" t="s">
        <v>165</v>
      </c>
      <c r="F186" s="68">
        <v>2018605.2999999991</v>
      </c>
      <c r="G186" s="75"/>
      <c r="H186" s="68">
        <v>186028.62000000002</v>
      </c>
      <c r="I186" s="75"/>
      <c r="J186" s="68">
        <v>-12212.13</v>
      </c>
      <c r="K186" s="75"/>
      <c r="L186" s="68">
        <v>0</v>
      </c>
      <c r="M186" s="75"/>
      <c r="N186" s="68">
        <v>0</v>
      </c>
      <c r="O186" s="75"/>
      <c r="P186" s="68">
        <v>0</v>
      </c>
      <c r="Q186" s="75"/>
      <c r="R186" s="68">
        <v>2192421.7899999991</v>
      </c>
      <c r="S186" s="75"/>
      <c r="T186" s="68">
        <v>2099959.0376923075</v>
      </c>
    </row>
    <row r="187" spans="1:20" ht="14.1" customHeight="1" x14ac:dyDescent="0.2">
      <c r="A187" s="84">
        <v>8</v>
      </c>
      <c r="C187" s="237"/>
      <c r="D187" s="616" t="s">
        <v>213</v>
      </c>
      <c r="F187" s="111">
        <v>225245713.86999995</v>
      </c>
      <c r="G187" s="75"/>
      <c r="H187" s="111">
        <v>18116233.149999999</v>
      </c>
      <c r="I187" s="75"/>
      <c r="J187" s="111">
        <v>-4398531.8499999996</v>
      </c>
      <c r="K187" s="75"/>
      <c r="L187" s="111">
        <v>-624315.89</v>
      </c>
      <c r="M187" s="75"/>
      <c r="N187" s="111">
        <v>-152551.28</v>
      </c>
      <c r="O187" s="75"/>
      <c r="P187" s="111">
        <v>0</v>
      </c>
      <c r="Q187" s="75"/>
      <c r="R187" s="111">
        <v>238186547.99999994</v>
      </c>
      <c r="S187" s="75"/>
      <c r="T187" s="111">
        <v>230821682.36538449</v>
      </c>
    </row>
    <row r="188" spans="1:20" ht="14.1" customHeight="1" x14ac:dyDescent="0.2">
      <c r="A188" s="84">
        <v>9</v>
      </c>
      <c r="B188" s="596"/>
      <c r="G188" s="75"/>
      <c r="I188" s="75"/>
      <c r="K188" s="75"/>
      <c r="M188" s="75"/>
      <c r="O188" s="75"/>
      <c r="Q188" s="75"/>
      <c r="S188" s="75"/>
    </row>
    <row r="189" spans="1:20" ht="14.1" customHeight="1" x14ac:dyDescent="0.2">
      <c r="A189" s="84">
        <v>10</v>
      </c>
      <c r="B189" s="596"/>
      <c r="C189" s="237"/>
      <c r="D189" s="616" t="s">
        <v>214</v>
      </c>
      <c r="G189" s="75"/>
      <c r="H189" s="112"/>
      <c r="I189" s="75"/>
      <c r="J189" s="344"/>
      <c r="K189" s="75"/>
      <c r="L189" s="344"/>
      <c r="M189" s="75"/>
      <c r="N189" s="344"/>
      <c r="O189" s="75"/>
      <c r="P189" s="344"/>
      <c r="Q189" s="75"/>
      <c r="R189" s="344"/>
      <c r="S189" s="75"/>
      <c r="T189" s="344"/>
    </row>
    <row r="190" spans="1:20" ht="14.1" customHeight="1" x14ac:dyDescent="0.2">
      <c r="A190" s="84">
        <v>11</v>
      </c>
      <c r="B190" s="596"/>
      <c r="C190" s="607">
        <v>34182</v>
      </c>
      <c r="D190" s="84" t="s">
        <v>161</v>
      </c>
      <c r="F190" s="68">
        <v>1031056.0000000017</v>
      </c>
      <c r="G190" s="75"/>
      <c r="H190" s="68">
        <v>58152.859999999993</v>
      </c>
      <c r="I190" s="75"/>
      <c r="J190" s="68">
        <v>0</v>
      </c>
      <c r="K190" s="75"/>
      <c r="L190" s="68">
        <v>0</v>
      </c>
      <c r="M190" s="75"/>
      <c r="N190" s="68">
        <v>0</v>
      </c>
      <c r="O190" s="75"/>
      <c r="P190" s="68">
        <v>0</v>
      </c>
      <c r="Q190" s="75"/>
      <c r="R190" s="68">
        <v>1089208.8600000017</v>
      </c>
      <c r="S190" s="75"/>
      <c r="T190" s="68">
        <v>1060130.3146153863</v>
      </c>
    </row>
    <row r="191" spans="1:20" ht="14.1" customHeight="1" x14ac:dyDescent="0.2">
      <c r="A191" s="84">
        <v>12</v>
      </c>
      <c r="B191" s="596"/>
      <c r="C191" s="607">
        <v>34282</v>
      </c>
      <c r="D191" s="84" t="s">
        <v>206</v>
      </c>
      <c r="F191" s="68">
        <v>626527.70000000088</v>
      </c>
      <c r="G191" s="75"/>
      <c r="H191" s="68">
        <v>51785.329999999994</v>
      </c>
      <c r="I191" s="75"/>
      <c r="J191" s="68">
        <v>-230286.27000000002</v>
      </c>
      <c r="K191" s="75"/>
      <c r="L191" s="68">
        <v>-2346.3899999999994</v>
      </c>
      <c r="M191" s="75"/>
      <c r="N191" s="68">
        <v>-486.91999999999996</v>
      </c>
      <c r="O191" s="75"/>
      <c r="P191" s="68">
        <v>0</v>
      </c>
      <c r="Q191" s="75"/>
      <c r="R191" s="68">
        <v>445193.45000000083</v>
      </c>
      <c r="S191" s="75"/>
      <c r="T191" s="68">
        <v>584272.450000001</v>
      </c>
    </row>
    <row r="192" spans="1:20" ht="14.1" customHeight="1" x14ac:dyDescent="0.2">
      <c r="A192" s="84">
        <v>13</v>
      </c>
      <c r="B192" s="596"/>
      <c r="C192" s="607">
        <v>34382</v>
      </c>
      <c r="D192" s="84" t="s">
        <v>207</v>
      </c>
      <c r="F192" s="68">
        <v>6972844.7200000361</v>
      </c>
      <c r="G192" s="75"/>
      <c r="H192" s="68">
        <v>1095280.5699999998</v>
      </c>
      <c r="I192" s="75"/>
      <c r="J192" s="68">
        <v>-44832.009999999995</v>
      </c>
      <c r="K192" s="75"/>
      <c r="L192" s="68">
        <v>-21491.93</v>
      </c>
      <c r="M192" s="75"/>
      <c r="N192" s="68">
        <v>-9926.8799999999992</v>
      </c>
      <c r="O192" s="75"/>
      <c r="P192" s="68">
        <v>0</v>
      </c>
      <c r="Q192" s="75"/>
      <c r="R192" s="68">
        <v>7991874.470000037</v>
      </c>
      <c r="S192" s="75"/>
      <c r="T192" s="68">
        <v>7482407.218461575</v>
      </c>
    </row>
    <row r="193" spans="1:20" ht="14.1" customHeight="1" x14ac:dyDescent="0.2">
      <c r="A193" s="84">
        <v>14</v>
      </c>
      <c r="B193" s="596"/>
      <c r="C193" s="607">
        <v>34582</v>
      </c>
      <c r="D193" s="84" t="s">
        <v>164</v>
      </c>
      <c r="F193" s="68">
        <v>7918533.8800000083</v>
      </c>
      <c r="G193" s="75"/>
      <c r="H193" s="68">
        <v>475270.54</v>
      </c>
      <c r="I193" s="75"/>
      <c r="J193" s="68">
        <v>-105480.68000000001</v>
      </c>
      <c r="K193" s="75"/>
      <c r="L193" s="68">
        <v>0</v>
      </c>
      <c r="M193" s="75"/>
      <c r="N193" s="68">
        <v>0</v>
      </c>
      <c r="O193" s="75"/>
      <c r="P193" s="68">
        <v>0</v>
      </c>
      <c r="Q193" s="75"/>
      <c r="R193" s="68">
        <v>8288323.7400000077</v>
      </c>
      <c r="S193" s="75"/>
      <c r="T193" s="68">
        <v>8138683.1100000059</v>
      </c>
    </row>
    <row r="194" spans="1:20" ht="14.1" customHeight="1" x14ac:dyDescent="0.2">
      <c r="A194" s="84">
        <v>15</v>
      </c>
      <c r="B194" s="596"/>
      <c r="C194" s="607">
        <v>34682</v>
      </c>
      <c r="D194" s="84" t="s">
        <v>165</v>
      </c>
      <c r="F194" s="68">
        <v>111682.87000000023</v>
      </c>
      <c r="G194" s="75"/>
      <c r="H194" s="68">
        <v>6062.2799999999988</v>
      </c>
      <c r="I194" s="75"/>
      <c r="J194" s="68">
        <v>0</v>
      </c>
      <c r="K194" s="75"/>
      <c r="L194" s="68">
        <v>0</v>
      </c>
      <c r="M194" s="75"/>
      <c r="N194" s="68">
        <v>0</v>
      </c>
      <c r="O194" s="75"/>
      <c r="P194" s="68">
        <v>0</v>
      </c>
      <c r="Q194" s="75"/>
      <c r="R194" s="68">
        <v>117745.15000000023</v>
      </c>
      <c r="S194" s="75"/>
      <c r="T194" s="68">
        <v>114714.01000000024</v>
      </c>
    </row>
    <row r="195" spans="1:20" ht="14.1" customHeight="1" x14ac:dyDescent="0.2">
      <c r="A195" s="84">
        <v>16</v>
      </c>
      <c r="B195" s="596"/>
      <c r="C195" s="237"/>
      <c r="D195" s="616" t="s">
        <v>215</v>
      </c>
      <c r="F195" s="111">
        <v>16660645.170000048</v>
      </c>
      <c r="G195" s="75"/>
      <c r="H195" s="111">
        <v>1686551.5799999998</v>
      </c>
      <c r="I195" s="75"/>
      <c r="J195" s="111">
        <v>-380598.96</v>
      </c>
      <c r="K195" s="75"/>
      <c r="L195" s="111">
        <v>-23838.32</v>
      </c>
      <c r="M195" s="75"/>
      <c r="N195" s="111">
        <v>-10413.799999999999</v>
      </c>
      <c r="O195" s="75"/>
      <c r="P195" s="111">
        <v>0</v>
      </c>
      <c r="Q195" s="75"/>
      <c r="R195" s="111">
        <v>17932345.670000046</v>
      </c>
      <c r="S195" s="75"/>
      <c r="T195" s="111">
        <v>17380207.103076968</v>
      </c>
    </row>
    <row r="196" spans="1:20" ht="14.1" customHeight="1" x14ac:dyDescent="0.2">
      <c r="A196" s="84">
        <v>17</v>
      </c>
      <c r="B196" s="596"/>
    </row>
    <row r="197" spans="1:20" ht="14.1" customHeight="1" x14ac:dyDescent="0.2">
      <c r="A197" s="84">
        <v>18</v>
      </c>
      <c r="B197" s="596"/>
      <c r="C197" s="237"/>
      <c r="D197" s="616" t="s">
        <v>216</v>
      </c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</row>
    <row r="198" spans="1:20" ht="14.1" customHeight="1" x14ac:dyDescent="0.2">
      <c r="A198" s="84">
        <v>19</v>
      </c>
      <c r="B198" s="596"/>
      <c r="C198" s="607">
        <v>34183</v>
      </c>
      <c r="D198" s="84" t="s">
        <v>161</v>
      </c>
      <c r="F198" s="68">
        <v>4361303.0699999938</v>
      </c>
      <c r="G198" s="75"/>
      <c r="H198" s="68">
        <v>273866.28000000003</v>
      </c>
      <c r="I198" s="75"/>
      <c r="J198" s="68">
        <v>0</v>
      </c>
      <c r="K198" s="75"/>
      <c r="L198" s="68">
        <v>0</v>
      </c>
      <c r="M198" s="75"/>
      <c r="N198" s="68">
        <v>0</v>
      </c>
      <c r="O198" s="75"/>
      <c r="P198" s="68">
        <v>0</v>
      </c>
      <c r="Q198" s="75"/>
      <c r="R198" s="68">
        <v>4635169.349999994</v>
      </c>
      <c r="S198" s="75"/>
      <c r="T198" s="68">
        <v>4498236.2099999962</v>
      </c>
    </row>
    <row r="199" spans="1:20" ht="14.1" customHeight="1" x14ac:dyDescent="0.2">
      <c r="A199" s="84">
        <v>20</v>
      </c>
      <c r="B199" s="596"/>
      <c r="C199" s="607">
        <v>34283</v>
      </c>
      <c r="D199" s="84" t="s">
        <v>206</v>
      </c>
      <c r="F199" s="68">
        <v>547687.19999999786</v>
      </c>
      <c r="G199" s="75"/>
      <c r="H199" s="68">
        <v>35246.209999999992</v>
      </c>
      <c r="I199" s="75"/>
      <c r="J199" s="68">
        <v>-62032.090000000004</v>
      </c>
      <c r="K199" s="75"/>
      <c r="L199" s="68">
        <v>-1238.9899999999998</v>
      </c>
      <c r="M199" s="75"/>
      <c r="N199" s="68">
        <v>-430.40999999999997</v>
      </c>
      <c r="O199" s="75"/>
      <c r="P199" s="68">
        <v>0</v>
      </c>
      <c r="Q199" s="75"/>
      <c r="R199" s="68">
        <v>519231.91999999783</v>
      </c>
      <c r="S199" s="75"/>
      <c r="T199" s="68">
        <v>534209.25615384406</v>
      </c>
    </row>
    <row r="200" spans="1:20" ht="14.1" customHeight="1" x14ac:dyDescent="0.2">
      <c r="A200" s="84">
        <v>21</v>
      </c>
      <c r="B200" s="596"/>
      <c r="C200" s="607">
        <v>34383</v>
      </c>
      <c r="D200" s="84" t="s">
        <v>207</v>
      </c>
      <c r="F200" s="68">
        <v>15187972.879999958</v>
      </c>
      <c r="G200" s="75"/>
      <c r="H200" s="68">
        <v>1497457.5599999998</v>
      </c>
      <c r="I200" s="75"/>
      <c r="J200" s="68">
        <v>0</v>
      </c>
      <c r="K200" s="75"/>
      <c r="L200" s="68">
        <v>-21975.629999999997</v>
      </c>
      <c r="M200" s="75"/>
      <c r="N200" s="68">
        <v>-12979.34</v>
      </c>
      <c r="O200" s="75"/>
      <c r="P200" s="68">
        <v>0</v>
      </c>
      <c r="Q200" s="75"/>
      <c r="R200" s="68">
        <v>16650475.469999958</v>
      </c>
      <c r="S200" s="75"/>
      <c r="T200" s="68">
        <v>15914698.023846116</v>
      </c>
    </row>
    <row r="201" spans="1:20" ht="14.1" customHeight="1" x14ac:dyDescent="0.2">
      <c r="A201" s="84">
        <v>22</v>
      </c>
      <c r="B201" s="596"/>
      <c r="C201" s="607">
        <v>34583</v>
      </c>
      <c r="D201" s="84" t="s">
        <v>164</v>
      </c>
      <c r="F201" s="68">
        <v>4191768.870000002</v>
      </c>
      <c r="G201" s="75"/>
      <c r="H201" s="68">
        <v>271063.95999999996</v>
      </c>
      <c r="I201" s="75"/>
      <c r="J201" s="68">
        <v>0</v>
      </c>
      <c r="K201" s="75"/>
      <c r="L201" s="68">
        <v>-1171.72</v>
      </c>
      <c r="M201" s="75"/>
      <c r="N201" s="68">
        <v>0</v>
      </c>
      <c r="O201" s="75"/>
      <c r="P201" s="68">
        <v>0</v>
      </c>
      <c r="Q201" s="75"/>
      <c r="R201" s="68">
        <v>4461661.1100000022</v>
      </c>
      <c r="S201" s="75"/>
      <c r="T201" s="68">
        <v>4326171.7084615435</v>
      </c>
    </row>
    <row r="202" spans="1:20" ht="14.1" customHeight="1" x14ac:dyDescent="0.2">
      <c r="A202" s="84">
        <v>23</v>
      </c>
      <c r="B202" s="596"/>
      <c r="C202" s="607">
        <v>34683</v>
      </c>
      <c r="D202" s="84" t="s">
        <v>165</v>
      </c>
      <c r="F202" s="68">
        <v>214863.92000000039</v>
      </c>
      <c r="G202" s="75"/>
      <c r="H202" s="68">
        <v>13420.200000000003</v>
      </c>
      <c r="I202" s="75"/>
      <c r="J202" s="68">
        <v>0</v>
      </c>
      <c r="K202" s="75"/>
      <c r="L202" s="68">
        <v>0</v>
      </c>
      <c r="M202" s="75"/>
      <c r="N202" s="68">
        <v>0</v>
      </c>
      <c r="O202" s="75"/>
      <c r="P202" s="68">
        <v>0</v>
      </c>
      <c r="Q202" s="75"/>
      <c r="R202" s="68">
        <v>228284.1200000004</v>
      </c>
      <c r="S202" s="75"/>
      <c r="T202" s="68">
        <v>221574.02000000043</v>
      </c>
    </row>
    <row r="203" spans="1:20" ht="14.1" customHeight="1" x14ac:dyDescent="0.2">
      <c r="A203" s="84">
        <v>24</v>
      </c>
      <c r="B203" s="596"/>
      <c r="C203" s="237"/>
      <c r="D203" s="616" t="s">
        <v>217</v>
      </c>
      <c r="F203" s="111">
        <v>24503595.939999953</v>
      </c>
      <c r="G203" s="75"/>
      <c r="H203" s="111">
        <v>2091054.2099999997</v>
      </c>
      <c r="I203" s="75"/>
      <c r="J203" s="111">
        <v>-62032.090000000004</v>
      </c>
      <c r="K203" s="75"/>
      <c r="L203" s="111">
        <v>-24386.339999999997</v>
      </c>
      <c r="M203" s="75"/>
      <c r="N203" s="111">
        <v>-13409.75</v>
      </c>
      <c r="O203" s="75"/>
      <c r="P203" s="111">
        <v>0</v>
      </c>
      <c r="Q203" s="75"/>
      <c r="R203" s="111">
        <v>26494821.969999954</v>
      </c>
      <c r="S203" s="75"/>
      <c r="T203" s="111">
        <v>25494889.218461502</v>
      </c>
    </row>
    <row r="204" spans="1:20" ht="14.1" customHeight="1" x14ac:dyDescent="0.2">
      <c r="A204" s="84">
        <v>25</v>
      </c>
      <c r="B204" s="596"/>
    </row>
    <row r="205" spans="1:20" ht="14.1" customHeight="1" x14ac:dyDescent="0.2">
      <c r="A205" s="84">
        <v>26</v>
      </c>
      <c r="B205" s="596"/>
      <c r="C205" s="237"/>
      <c r="D205" s="616" t="s">
        <v>218</v>
      </c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</row>
    <row r="206" spans="1:20" ht="14.1" customHeight="1" x14ac:dyDescent="0.2">
      <c r="A206" s="84">
        <v>27</v>
      </c>
      <c r="B206" s="596"/>
      <c r="C206" s="607">
        <v>34184</v>
      </c>
      <c r="D206" s="84" t="s">
        <v>161</v>
      </c>
      <c r="F206" s="68">
        <v>1542996.4399999969</v>
      </c>
      <c r="G206" s="75"/>
      <c r="H206" s="68">
        <v>136895.66000000003</v>
      </c>
      <c r="I206" s="75"/>
      <c r="J206" s="68">
        <v>0</v>
      </c>
      <c r="K206" s="75"/>
      <c r="L206" s="68">
        <v>0</v>
      </c>
      <c r="M206" s="75"/>
      <c r="N206" s="68">
        <v>0</v>
      </c>
      <c r="O206" s="75"/>
      <c r="P206" s="68">
        <v>0</v>
      </c>
      <c r="Q206" s="75"/>
      <c r="R206" s="68">
        <v>1679892.0999999968</v>
      </c>
      <c r="S206" s="75"/>
      <c r="T206" s="68">
        <v>1611033.7369230741</v>
      </c>
    </row>
    <row r="207" spans="1:20" ht="14.1" customHeight="1" x14ac:dyDescent="0.2">
      <c r="A207" s="84">
        <v>28</v>
      </c>
      <c r="B207" s="596"/>
      <c r="C207" s="607">
        <v>34284</v>
      </c>
      <c r="D207" s="84" t="s">
        <v>206</v>
      </c>
      <c r="F207" s="68">
        <v>428415.00999999925</v>
      </c>
      <c r="G207" s="75"/>
      <c r="H207" s="68">
        <v>75066.22</v>
      </c>
      <c r="I207" s="75"/>
      <c r="J207" s="68">
        <v>-195459.18000000002</v>
      </c>
      <c r="K207" s="75"/>
      <c r="L207" s="68">
        <v>-997.15000000000055</v>
      </c>
      <c r="M207" s="75"/>
      <c r="N207" s="68">
        <v>-959.08999999999992</v>
      </c>
      <c r="O207" s="75"/>
      <c r="P207" s="68">
        <v>0</v>
      </c>
      <c r="Q207" s="75"/>
      <c r="R207" s="68">
        <v>306065.80999999918</v>
      </c>
      <c r="S207" s="75"/>
      <c r="T207" s="68">
        <v>448106.16153846087</v>
      </c>
    </row>
    <row r="208" spans="1:20" ht="14.1" customHeight="1" x14ac:dyDescent="0.2">
      <c r="A208" s="84">
        <v>29</v>
      </c>
      <c r="B208" s="596"/>
      <c r="C208" s="607">
        <v>34384</v>
      </c>
      <c r="D208" s="84" t="s">
        <v>207</v>
      </c>
      <c r="F208" s="68">
        <v>2019171.0800000012</v>
      </c>
      <c r="G208" s="75"/>
      <c r="H208" s="68">
        <v>901344.28</v>
      </c>
      <c r="I208" s="75"/>
      <c r="J208" s="68">
        <v>-18295.419999999998</v>
      </c>
      <c r="K208" s="75"/>
      <c r="L208" s="68">
        <v>-16963.929999999997</v>
      </c>
      <c r="M208" s="75"/>
      <c r="N208" s="68">
        <v>-8757.7200000000012</v>
      </c>
      <c r="O208" s="75"/>
      <c r="P208" s="68">
        <v>0</v>
      </c>
      <c r="Q208" s="75"/>
      <c r="R208" s="68">
        <v>2876498.290000001</v>
      </c>
      <c r="S208" s="75"/>
      <c r="T208" s="68">
        <v>2430761.5046153856</v>
      </c>
    </row>
    <row r="209" spans="1:20" ht="14.1" customHeight="1" x14ac:dyDescent="0.2">
      <c r="A209" s="84">
        <v>30</v>
      </c>
      <c r="B209" s="596"/>
      <c r="C209" s="607">
        <v>34584</v>
      </c>
      <c r="D209" s="84" t="s">
        <v>164</v>
      </c>
      <c r="F209" s="68">
        <v>2387775.8599999985</v>
      </c>
      <c r="G209" s="75"/>
      <c r="H209" s="68">
        <v>216004.16999999995</v>
      </c>
      <c r="I209" s="75"/>
      <c r="J209" s="68">
        <v>-18873.66</v>
      </c>
      <c r="K209" s="75"/>
      <c r="L209" s="68">
        <v>0</v>
      </c>
      <c r="M209" s="75"/>
      <c r="N209" s="68">
        <v>0</v>
      </c>
      <c r="O209" s="75"/>
      <c r="P209" s="68">
        <v>0</v>
      </c>
      <c r="Q209" s="75"/>
      <c r="R209" s="68">
        <v>2584906.3699999982</v>
      </c>
      <c r="S209" s="75"/>
      <c r="T209" s="68">
        <v>2492670.052307691</v>
      </c>
    </row>
    <row r="210" spans="1:20" ht="14.1" customHeight="1" x14ac:dyDescent="0.2">
      <c r="A210" s="84">
        <v>31</v>
      </c>
      <c r="B210" s="596"/>
      <c r="C210" s="607">
        <v>34684</v>
      </c>
      <c r="D210" s="84" t="s">
        <v>165</v>
      </c>
      <c r="F210" s="68">
        <v>7.503331289626658E-12</v>
      </c>
      <c r="G210" s="75"/>
      <c r="H210" s="68">
        <v>0</v>
      </c>
      <c r="I210" s="75"/>
      <c r="J210" s="68">
        <v>0</v>
      </c>
      <c r="K210" s="75"/>
      <c r="L210" s="68">
        <v>0</v>
      </c>
      <c r="M210" s="75"/>
      <c r="N210" s="68">
        <v>0</v>
      </c>
      <c r="O210" s="75"/>
      <c r="P210" s="68">
        <v>0</v>
      </c>
      <c r="Q210" s="75"/>
      <c r="R210" s="68">
        <v>7.503331289626658E-12</v>
      </c>
      <c r="S210" s="75"/>
      <c r="T210" s="68">
        <v>7.503331289626658E-12</v>
      </c>
    </row>
    <row r="211" spans="1:20" ht="14.1" customHeight="1" x14ac:dyDescent="0.2">
      <c r="A211" s="84">
        <v>32</v>
      </c>
      <c r="B211" s="596"/>
      <c r="C211" s="237"/>
      <c r="D211" s="616" t="s">
        <v>219</v>
      </c>
      <c r="F211" s="111">
        <v>6378358.3899999959</v>
      </c>
      <c r="G211" s="75"/>
      <c r="H211" s="111">
        <v>1329310.33</v>
      </c>
      <c r="I211" s="75"/>
      <c r="J211" s="111">
        <v>-232628.26000000004</v>
      </c>
      <c r="K211" s="75"/>
      <c r="L211" s="111">
        <v>-17961.079999999998</v>
      </c>
      <c r="M211" s="75"/>
      <c r="N211" s="111">
        <v>-9716.8100000000013</v>
      </c>
      <c r="O211" s="75"/>
      <c r="P211" s="111">
        <v>0</v>
      </c>
      <c r="Q211" s="75"/>
      <c r="R211" s="111">
        <v>7447362.5699999956</v>
      </c>
      <c r="S211" s="75"/>
      <c r="T211" s="111">
        <v>6982571.4553846121</v>
      </c>
    </row>
    <row r="212" spans="1:20" ht="14.1" customHeight="1" x14ac:dyDescent="0.2">
      <c r="A212" s="84">
        <v>33</v>
      </c>
      <c r="B212" s="596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</row>
    <row r="213" spans="1:20" ht="14.1" customHeight="1" x14ac:dyDescent="0.2">
      <c r="A213" s="84">
        <v>34</v>
      </c>
      <c r="B213" s="596"/>
      <c r="C213" s="237"/>
      <c r="D213" s="616" t="s">
        <v>220</v>
      </c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</row>
    <row r="214" spans="1:20" ht="14.1" customHeight="1" x14ac:dyDescent="0.2">
      <c r="A214" s="84">
        <v>35</v>
      </c>
      <c r="B214" s="596"/>
      <c r="C214" s="607">
        <v>34185</v>
      </c>
      <c r="D214" s="84" t="s">
        <v>161</v>
      </c>
      <c r="F214" s="68">
        <v>1545950.809999998</v>
      </c>
      <c r="G214" s="75"/>
      <c r="H214" s="68">
        <v>137007.13</v>
      </c>
      <c r="I214" s="75"/>
      <c r="J214" s="68">
        <v>0</v>
      </c>
      <c r="K214" s="75"/>
      <c r="L214" s="68">
        <v>0</v>
      </c>
      <c r="M214" s="75"/>
      <c r="N214" s="68">
        <v>0</v>
      </c>
      <c r="O214" s="75"/>
      <c r="P214" s="68">
        <v>0</v>
      </c>
      <c r="Q214" s="75"/>
      <c r="R214" s="68">
        <v>1682957.9399999981</v>
      </c>
      <c r="S214" s="75"/>
      <c r="T214" s="68">
        <v>1614187.2753846135</v>
      </c>
    </row>
    <row r="215" spans="1:20" ht="14.1" customHeight="1" x14ac:dyDescent="0.2">
      <c r="A215" s="84">
        <v>36</v>
      </c>
      <c r="B215" s="596"/>
      <c r="C215" s="607">
        <v>34285</v>
      </c>
      <c r="D215" s="84" t="s">
        <v>206</v>
      </c>
      <c r="F215" s="68">
        <v>515627.20999999985</v>
      </c>
      <c r="G215" s="75"/>
      <c r="H215" s="68">
        <v>74653.41</v>
      </c>
      <c r="I215" s="75"/>
      <c r="J215" s="68">
        <v>0</v>
      </c>
      <c r="K215" s="75"/>
      <c r="L215" s="68">
        <v>-1677.8600000000006</v>
      </c>
      <c r="M215" s="75"/>
      <c r="N215" s="68">
        <v>-868</v>
      </c>
      <c r="O215" s="75"/>
      <c r="P215" s="68">
        <v>0</v>
      </c>
      <c r="Q215" s="75"/>
      <c r="R215" s="68">
        <v>587734.75999999989</v>
      </c>
      <c r="S215" s="75"/>
      <c r="T215" s="68">
        <v>551252.15769230749</v>
      </c>
    </row>
    <row r="216" spans="1:20" ht="14.1" customHeight="1" x14ac:dyDescent="0.2">
      <c r="A216" s="84">
        <v>37</v>
      </c>
      <c r="B216" s="596"/>
      <c r="C216" s="607">
        <v>34385</v>
      </c>
      <c r="D216" s="84" t="s">
        <v>207</v>
      </c>
      <c r="F216" s="68">
        <v>1310145.7500000021</v>
      </c>
      <c r="G216" s="75"/>
      <c r="H216" s="68">
        <v>783885.96</v>
      </c>
      <c r="I216" s="75"/>
      <c r="J216" s="68">
        <v>0</v>
      </c>
      <c r="K216" s="75"/>
      <c r="L216" s="68">
        <v>-15052.36</v>
      </c>
      <c r="M216" s="75"/>
      <c r="N216" s="68">
        <v>-8022.33</v>
      </c>
      <c r="O216" s="75"/>
      <c r="P216" s="68">
        <v>0</v>
      </c>
      <c r="Q216" s="75"/>
      <c r="R216" s="68">
        <v>2070957.0200000019</v>
      </c>
      <c r="S216" s="75"/>
      <c r="T216" s="68">
        <v>1687137.9746153874</v>
      </c>
    </row>
    <row r="217" spans="1:20" ht="14.1" customHeight="1" x14ac:dyDescent="0.2">
      <c r="A217" s="84">
        <v>38</v>
      </c>
      <c r="B217" s="596"/>
      <c r="C217" s="607">
        <v>34585</v>
      </c>
      <c r="D217" s="84" t="s">
        <v>164</v>
      </c>
      <c r="F217" s="68">
        <v>2361627.6500000008</v>
      </c>
      <c r="G217" s="75"/>
      <c r="H217" s="68">
        <v>213137.15999999995</v>
      </c>
      <c r="I217" s="75"/>
      <c r="J217" s="68">
        <v>0</v>
      </c>
      <c r="K217" s="75"/>
      <c r="L217" s="68">
        <v>0</v>
      </c>
      <c r="M217" s="75"/>
      <c r="N217" s="68">
        <v>0</v>
      </c>
      <c r="O217" s="75"/>
      <c r="P217" s="68">
        <v>0</v>
      </c>
      <c r="Q217" s="75"/>
      <c r="R217" s="68">
        <v>2574764.810000001</v>
      </c>
      <c r="S217" s="75"/>
      <c r="T217" s="68">
        <v>2468196.2300000018</v>
      </c>
    </row>
    <row r="218" spans="1:20" ht="14.1" customHeight="1" x14ac:dyDescent="0.2">
      <c r="A218" s="84">
        <v>39</v>
      </c>
      <c r="B218" s="596"/>
      <c r="C218" s="607">
        <v>34685</v>
      </c>
      <c r="D218" s="84" t="s">
        <v>165</v>
      </c>
      <c r="F218" s="68">
        <v>-7.0485839387401938E-12</v>
      </c>
      <c r="G218" s="75"/>
      <c r="H218" s="68">
        <v>0</v>
      </c>
      <c r="I218" s="75"/>
      <c r="J218" s="68">
        <v>0</v>
      </c>
      <c r="K218" s="75"/>
      <c r="L218" s="68">
        <v>0</v>
      </c>
      <c r="M218" s="75"/>
      <c r="N218" s="68">
        <v>0</v>
      </c>
      <c r="O218" s="75"/>
      <c r="P218" s="68">
        <v>0</v>
      </c>
      <c r="Q218" s="75"/>
      <c r="R218" s="68">
        <v>-7.0485839387401938E-12</v>
      </c>
      <c r="S218" s="75"/>
      <c r="T218" s="68">
        <v>-7.0485839387401938E-12</v>
      </c>
    </row>
    <row r="219" spans="1:20" ht="14.1" customHeight="1" x14ac:dyDescent="0.2">
      <c r="A219" s="84">
        <v>40</v>
      </c>
      <c r="B219" s="596"/>
      <c r="C219" s="237"/>
      <c r="D219" s="616" t="s">
        <v>221</v>
      </c>
      <c r="F219" s="111">
        <v>5733351.4199999999</v>
      </c>
      <c r="G219" s="75"/>
      <c r="H219" s="111">
        <v>1208683.6599999999</v>
      </c>
      <c r="I219" s="75"/>
      <c r="J219" s="111">
        <v>0</v>
      </c>
      <c r="K219" s="75"/>
      <c r="L219" s="111">
        <v>-16730.22</v>
      </c>
      <c r="M219" s="75"/>
      <c r="N219" s="111">
        <v>-8890.33</v>
      </c>
      <c r="O219" s="75"/>
      <c r="P219" s="111">
        <v>0</v>
      </c>
      <c r="Q219" s="75"/>
      <c r="R219" s="111">
        <v>6916414.5300000012</v>
      </c>
      <c r="S219" s="75"/>
      <c r="T219" s="111">
        <v>6320773.6376923099</v>
      </c>
    </row>
    <row r="220" spans="1:20" ht="14.1" customHeight="1" x14ac:dyDescent="0.2">
      <c r="A220" s="84">
        <v>41</v>
      </c>
      <c r="B220" s="596"/>
      <c r="C220" s="237"/>
      <c r="F220" s="112"/>
      <c r="G220" s="75"/>
      <c r="H220" s="112"/>
      <c r="I220" s="75"/>
      <c r="J220" s="112"/>
      <c r="K220" s="75"/>
      <c r="L220" s="112"/>
      <c r="M220" s="75"/>
      <c r="N220" s="112"/>
      <c r="O220" s="75"/>
      <c r="P220" s="112"/>
      <c r="Q220" s="75"/>
      <c r="R220" s="112"/>
      <c r="S220" s="75"/>
      <c r="T220" s="112"/>
    </row>
    <row r="221" spans="1:20" ht="14.1" customHeight="1" x14ac:dyDescent="0.2">
      <c r="A221" s="84">
        <v>42</v>
      </c>
      <c r="B221" s="596"/>
      <c r="F221" s="112"/>
      <c r="G221" s="75"/>
      <c r="H221" s="112"/>
      <c r="I221" s="75"/>
      <c r="J221" s="112"/>
      <c r="K221" s="75"/>
      <c r="L221" s="112"/>
      <c r="M221" s="75"/>
      <c r="N221" s="112"/>
      <c r="O221" s="75"/>
      <c r="P221" s="112"/>
      <c r="Q221" s="75"/>
      <c r="R221" s="112"/>
      <c r="S221" s="75"/>
      <c r="T221" s="112"/>
    </row>
    <row r="222" spans="1:20" ht="14.1" customHeight="1" x14ac:dyDescent="0.2">
      <c r="A222" s="84">
        <v>43</v>
      </c>
      <c r="B222" s="596"/>
      <c r="C222" s="620"/>
      <c r="F222" s="627"/>
      <c r="G222" s="75"/>
      <c r="H222" s="627"/>
      <c r="I222" s="75"/>
      <c r="J222" s="627"/>
      <c r="K222" s="75"/>
      <c r="L222" s="627"/>
      <c r="M222" s="75"/>
      <c r="N222" s="627"/>
      <c r="O222" s="75"/>
      <c r="P222" s="627"/>
      <c r="Q222" s="75"/>
      <c r="R222" s="627"/>
      <c r="S222" s="75"/>
      <c r="T222" s="627"/>
    </row>
    <row r="223" spans="1:20" ht="14.1" customHeight="1" thickBot="1" x14ac:dyDescent="0.25">
      <c r="A223" s="114">
        <v>44</v>
      </c>
      <c r="B223" s="343" t="s">
        <v>186</v>
      </c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</row>
    <row r="224" spans="1:20" ht="14.1" customHeight="1" x14ac:dyDescent="0.2">
      <c r="A224" s="84" t="s">
        <v>60</v>
      </c>
      <c r="R224" s="84" t="s">
        <v>60</v>
      </c>
    </row>
    <row r="225" spans="1:20" ht="14.1" customHeight="1" thickBot="1" x14ac:dyDescent="0.25">
      <c r="A225" s="114" t="s">
        <v>301</v>
      </c>
      <c r="B225" s="114"/>
      <c r="C225" s="114"/>
      <c r="D225" s="114"/>
      <c r="E225" s="114"/>
      <c r="F225" s="114" t="s">
        <v>302</v>
      </c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 t="s">
        <v>327</v>
      </c>
    </row>
    <row r="226" spans="1:20" ht="14.1" customHeight="1" x14ac:dyDescent="0.2">
      <c r="A226" s="84" t="s">
        <v>129</v>
      </c>
      <c r="B226" s="622"/>
      <c r="E226" s="88" t="s">
        <v>130</v>
      </c>
      <c r="F226" s="84" t="s">
        <v>303</v>
      </c>
      <c r="J226" s="623"/>
      <c r="K226" s="623"/>
      <c r="P226" s="623"/>
      <c r="Q226" s="623"/>
      <c r="R226" s="623" t="s">
        <v>132</v>
      </c>
      <c r="T226" s="604"/>
    </row>
    <row r="227" spans="1:20" ht="14.1" customHeight="1" x14ac:dyDescent="0.2">
      <c r="B227" s="622"/>
      <c r="F227" s="84" t="s">
        <v>304</v>
      </c>
      <c r="J227" s="88"/>
      <c r="K227" s="604"/>
      <c r="P227" s="88"/>
      <c r="Q227" s="88"/>
      <c r="R227" s="604" t="s">
        <v>844</v>
      </c>
      <c r="T227" s="88"/>
    </row>
    <row r="228" spans="1:20" ht="14.1" customHeight="1" x14ac:dyDescent="0.2">
      <c r="A228" s="84" t="s">
        <v>134</v>
      </c>
      <c r="B228" s="622"/>
      <c r="F228" s="84" t="s">
        <v>123</v>
      </c>
      <c r="J228" s="88"/>
      <c r="K228" s="604"/>
      <c r="L228" s="88"/>
      <c r="N228" s="88"/>
      <c r="Q228" s="88"/>
      <c r="R228" s="604"/>
      <c r="T228" s="88"/>
    </row>
    <row r="229" spans="1:20" ht="14.1" customHeight="1" x14ac:dyDescent="0.2">
      <c r="B229" s="622"/>
      <c r="F229" s="84" t="s">
        <v>123</v>
      </c>
      <c r="J229" s="88"/>
      <c r="K229" s="604"/>
      <c r="L229" s="88"/>
      <c r="N229" s="88"/>
      <c r="Q229" s="88"/>
      <c r="R229" s="604"/>
      <c r="T229" s="88"/>
    </row>
    <row r="230" spans="1:20" ht="14.1" customHeight="1" thickBot="1" x14ac:dyDescent="0.25">
      <c r="A230" s="114" t="s">
        <v>135</v>
      </c>
      <c r="B230" s="624"/>
      <c r="C230" s="114"/>
      <c r="D230" s="114"/>
      <c r="E230" s="114"/>
      <c r="F230" s="114" t="s">
        <v>123</v>
      </c>
      <c r="G230" s="114"/>
      <c r="H230" s="606"/>
      <c r="I230" s="114"/>
      <c r="J230" s="114"/>
      <c r="K230" s="114"/>
      <c r="L230" s="114"/>
      <c r="M230" s="114"/>
      <c r="N230" s="114"/>
      <c r="O230" s="114"/>
      <c r="P230" s="114"/>
      <c r="Q230" s="114"/>
      <c r="R230" s="625"/>
      <c r="S230" s="114"/>
      <c r="T230" s="114"/>
    </row>
    <row r="231" spans="1:20" ht="14.1" customHeight="1" x14ac:dyDescent="0.2">
      <c r="C231" s="607"/>
      <c r="D231" s="607"/>
      <c r="E231" s="607"/>
      <c r="F231" s="607"/>
      <c r="G231" s="607"/>
      <c r="H231" s="607"/>
      <c r="I231" s="607"/>
      <c r="J231" s="607"/>
      <c r="K231" s="607"/>
      <c r="L231" s="607"/>
      <c r="M231" s="607"/>
      <c r="N231" s="607"/>
      <c r="O231" s="607"/>
      <c r="P231" s="607"/>
      <c r="Q231" s="607"/>
      <c r="R231" s="607"/>
      <c r="S231" s="607"/>
      <c r="T231" s="607"/>
    </row>
    <row r="232" spans="1:20" ht="14.1" customHeight="1" x14ac:dyDescent="0.2">
      <c r="C232" s="607" t="s">
        <v>136</v>
      </c>
      <c r="D232" s="607" t="s">
        <v>137</v>
      </c>
      <c r="E232" s="607"/>
      <c r="F232" s="607" t="s">
        <v>138</v>
      </c>
      <c r="G232" s="607"/>
      <c r="H232" s="607" t="s">
        <v>139</v>
      </c>
      <c r="I232" s="607"/>
      <c r="J232" s="237" t="s">
        <v>140</v>
      </c>
      <c r="L232" s="607" t="s">
        <v>141</v>
      </c>
      <c r="M232" s="607"/>
      <c r="N232" s="607" t="s">
        <v>142</v>
      </c>
      <c r="O232" s="607"/>
      <c r="P232" s="607" t="s">
        <v>143</v>
      </c>
      <c r="Q232" s="607"/>
      <c r="R232" s="607" t="s">
        <v>144</v>
      </c>
      <c r="S232" s="607"/>
      <c r="T232" s="607" t="s">
        <v>305</v>
      </c>
    </row>
    <row r="233" spans="1:20" ht="14.1" customHeight="1" x14ac:dyDescent="0.2">
      <c r="C233" s="237" t="s">
        <v>145</v>
      </c>
      <c r="D233" s="237" t="s">
        <v>145</v>
      </c>
      <c r="F233" s="607" t="s">
        <v>41</v>
      </c>
      <c r="G233" s="237"/>
      <c r="H233" s="607" t="s">
        <v>40</v>
      </c>
      <c r="I233" s="237"/>
      <c r="J233" s="607"/>
      <c r="K233" s="237"/>
      <c r="L233" s="237"/>
      <c r="M233" s="237"/>
      <c r="N233" s="237"/>
      <c r="O233" s="237"/>
      <c r="P233" s="237"/>
      <c r="Q233" s="237"/>
      <c r="R233" s="237" t="s">
        <v>41</v>
      </c>
      <c r="T233" s="237"/>
    </row>
    <row r="234" spans="1:20" ht="14.1" customHeight="1" x14ac:dyDescent="0.2">
      <c r="A234" s="84" t="s">
        <v>146</v>
      </c>
      <c r="B234" s="237"/>
      <c r="C234" s="237" t="s">
        <v>147</v>
      </c>
      <c r="D234" s="237" t="s">
        <v>147</v>
      </c>
      <c r="E234" s="607"/>
      <c r="F234" s="237" t="s">
        <v>6</v>
      </c>
      <c r="G234" s="237"/>
      <c r="H234" s="237" t="s">
        <v>6</v>
      </c>
      <c r="I234" s="237"/>
      <c r="J234" s="237"/>
      <c r="K234" s="607"/>
      <c r="L234" s="237" t="s">
        <v>306</v>
      </c>
      <c r="M234" s="237"/>
      <c r="N234" s="237" t="s">
        <v>306</v>
      </c>
      <c r="O234" s="237"/>
      <c r="P234" s="237" t="s">
        <v>150</v>
      </c>
      <c r="Q234" s="607"/>
      <c r="R234" s="607" t="s">
        <v>6</v>
      </c>
      <c r="S234" s="607"/>
      <c r="T234" s="237" t="s">
        <v>151</v>
      </c>
    </row>
    <row r="235" spans="1:20" ht="14.1" customHeight="1" thickBot="1" x14ac:dyDescent="0.25">
      <c r="A235" s="114" t="s">
        <v>152</v>
      </c>
      <c r="B235" s="606"/>
      <c r="C235" s="606" t="s">
        <v>52</v>
      </c>
      <c r="D235" s="606" t="s">
        <v>153</v>
      </c>
      <c r="E235" s="606"/>
      <c r="F235" s="608" t="s">
        <v>154</v>
      </c>
      <c r="G235" s="608"/>
      <c r="H235" s="608" t="s">
        <v>307</v>
      </c>
      <c r="I235" s="609"/>
      <c r="J235" s="608" t="s">
        <v>18</v>
      </c>
      <c r="K235" s="609"/>
      <c r="L235" s="608" t="s">
        <v>19</v>
      </c>
      <c r="M235" s="609"/>
      <c r="N235" s="608" t="s">
        <v>54</v>
      </c>
      <c r="O235" s="609"/>
      <c r="P235" s="610" t="s">
        <v>157</v>
      </c>
      <c r="Q235" s="610"/>
      <c r="R235" s="610" t="s">
        <v>158</v>
      </c>
      <c r="S235" s="610"/>
      <c r="T235" s="610" t="s">
        <v>3</v>
      </c>
    </row>
    <row r="236" spans="1:20" ht="14.1" customHeight="1" x14ac:dyDescent="0.2">
      <c r="A236" s="84">
        <v>1</v>
      </c>
      <c r="B236" s="596"/>
    </row>
    <row r="237" spans="1:20" ht="14.1" customHeight="1" x14ac:dyDescent="0.2">
      <c r="A237" s="84">
        <v>2</v>
      </c>
      <c r="B237" s="596"/>
      <c r="C237" s="237"/>
      <c r="D237" s="616" t="s">
        <v>396</v>
      </c>
    </row>
    <row r="238" spans="1:20" ht="14.1" customHeight="1" x14ac:dyDescent="0.2">
      <c r="A238" s="84">
        <v>3</v>
      </c>
      <c r="B238" s="596"/>
      <c r="C238" s="607">
        <v>34186</v>
      </c>
      <c r="D238" s="84" t="s">
        <v>161</v>
      </c>
      <c r="F238" s="68">
        <v>2060561.6600000001</v>
      </c>
      <c r="G238" s="75"/>
      <c r="H238" s="68">
        <v>387080.85000000003</v>
      </c>
      <c r="I238" s="75"/>
      <c r="J238" s="68">
        <v>0</v>
      </c>
      <c r="K238" s="75"/>
      <c r="L238" s="68">
        <v>0</v>
      </c>
      <c r="M238" s="75"/>
      <c r="N238" s="68">
        <v>0</v>
      </c>
      <c r="O238" s="75"/>
      <c r="P238" s="68">
        <v>0</v>
      </c>
      <c r="Q238" s="75"/>
      <c r="R238" s="68">
        <v>2447642.5100000002</v>
      </c>
      <c r="S238" s="75"/>
      <c r="T238" s="68">
        <v>2254043.4869230771</v>
      </c>
    </row>
    <row r="239" spans="1:20" ht="14.1" customHeight="1" x14ac:dyDescent="0.2">
      <c r="A239" s="84">
        <v>4</v>
      </c>
      <c r="B239" s="596"/>
      <c r="C239" s="607">
        <v>34286</v>
      </c>
      <c r="D239" s="84" t="s">
        <v>206</v>
      </c>
      <c r="F239" s="68">
        <v>11201878.509999992</v>
      </c>
      <c r="G239" s="75"/>
      <c r="H239" s="68">
        <v>6194910.0999999987</v>
      </c>
      <c r="I239" s="75"/>
      <c r="J239" s="68">
        <v>-80057.63</v>
      </c>
      <c r="K239" s="75"/>
      <c r="L239" s="68">
        <v>-159885.32999999996</v>
      </c>
      <c r="M239" s="75"/>
      <c r="N239" s="68">
        <v>-85267.01</v>
      </c>
      <c r="O239" s="75"/>
      <c r="P239" s="68">
        <v>0</v>
      </c>
      <c r="Q239" s="75"/>
      <c r="R239" s="68">
        <v>17071578.639999993</v>
      </c>
      <c r="S239" s="75"/>
      <c r="T239" s="68">
        <v>14128246.219230762</v>
      </c>
    </row>
    <row r="240" spans="1:20" ht="14.1" customHeight="1" x14ac:dyDescent="0.2">
      <c r="A240" s="84">
        <v>5</v>
      </c>
      <c r="B240" s="596"/>
      <c r="C240" s="607">
        <v>34386</v>
      </c>
      <c r="D240" s="84" t="s">
        <v>207</v>
      </c>
      <c r="F240" s="68">
        <v>11592468.809999999</v>
      </c>
      <c r="G240" s="75"/>
      <c r="H240" s="68">
        <v>6481542.1500000004</v>
      </c>
      <c r="I240" s="75"/>
      <c r="J240" s="68">
        <v>-39542.86</v>
      </c>
      <c r="K240" s="75"/>
      <c r="L240" s="68">
        <v>-167446.01999999996</v>
      </c>
      <c r="M240" s="75"/>
      <c r="N240" s="68">
        <v>-89207.989999999991</v>
      </c>
      <c r="O240" s="75"/>
      <c r="P240" s="68">
        <v>0</v>
      </c>
      <c r="Q240" s="75"/>
      <c r="R240" s="68">
        <v>17777814.090000004</v>
      </c>
      <c r="S240" s="75"/>
      <c r="T240" s="68">
        <v>14662488.342307685</v>
      </c>
    </row>
    <row r="241" spans="1:24" ht="14.1" customHeight="1" x14ac:dyDescent="0.2">
      <c r="A241" s="84">
        <v>6</v>
      </c>
      <c r="B241" s="596"/>
      <c r="C241" s="607">
        <v>34586</v>
      </c>
      <c r="D241" s="84" t="s">
        <v>164</v>
      </c>
      <c r="F241" s="68">
        <v>1331113.6200000003</v>
      </c>
      <c r="G241" s="75"/>
      <c r="H241" s="68">
        <v>531398.71</v>
      </c>
      <c r="I241" s="75"/>
      <c r="J241" s="68">
        <v>0</v>
      </c>
      <c r="K241" s="75"/>
      <c r="L241" s="68">
        <v>0</v>
      </c>
      <c r="M241" s="75"/>
      <c r="N241" s="68">
        <v>0</v>
      </c>
      <c r="O241" s="75"/>
      <c r="P241" s="68">
        <v>0</v>
      </c>
      <c r="Q241" s="75"/>
      <c r="R241" s="68">
        <v>1862512.3300000003</v>
      </c>
      <c r="S241" s="75"/>
      <c r="T241" s="68">
        <v>1596746.5961538458</v>
      </c>
    </row>
    <row r="242" spans="1:24" ht="14.1" customHeight="1" x14ac:dyDescent="0.2">
      <c r="A242" s="84">
        <v>7</v>
      </c>
      <c r="C242" s="607">
        <v>34686</v>
      </c>
      <c r="D242" s="84" t="s">
        <v>165</v>
      </c>
      <c r="F242" s="68">
        <v>5818.4200000000019</v>
      </c>
      <c r="G242" s="75"/>
      <c r="H242" s="68">
        <v>4107.1200000000008</v>
      </c>
      <c r="I242" s="75"/>
      <c r="J242" s="68">
        <v>0</v>
      </c>
      <c r="K242" s="75"/>
      <c r="L242" s="68">
        <v>0</v>
      </c>
      <c r="M242" s="75"/>
      <c r="N242" s="68">
        <v>0</v>
      </c>
      <c r="O242" s="75"/>
      <c r="P242" s="68">
        <v>0</v>
      </c>
      <c r="Q242" s="75"/>
      <c r="R242" s="68">
        <v>9925.5400000000027</v>
      </c>
      <c r="S242" s="75"/>
      <c r="T242" s="68">
        <v>7871.9800000000041</v>
      </c>
    </row>
    <row r="243" spans="1:24" ht="14.1" customHeight="1" x14ac:dyDescent="0.2">
      <c r="A243" s="84">
        <v>8</v>
      </c>
      <c r="C243" s="237"/>
      <c r="D243" s="616" t="s">
        <v>397</v>
      </c>
      <c r="F243" s="111">
        <v>26191841.019999992</v>
      </c>
      <c r="G243" s="75"/>
      <c r="H243" s="111">
        <v>13599038.929999998</v>
      </c>
      <c r="I243" s="75"/>
      <c r="J243" s="111">
        <v>-119600.49</v>
      </c>
      <c r="K243" s="75"/>
      <c r="L243" s="111">
        <v>-327331.34999999992</v>
      </c>
      <c r="M243" s="75"/>
      <c r="N243" s="111">
        <v>-174475</v>
      </c>
      <c r="O243" s="75"/>
      <c r="P243" s="111">
        <v>0</v>
      </c>
      <c r="Q243" s="75"/>
      <c r="R243" s="111">
        <v>39169473.109999992</v>
      </c>
      <c r="S243" s="75"/>
      <c r="T243" s="111">
        <v>32649396.624615371</v>
      </c>
    </row>
    <row r="244" spans="1:24" ht="14.1" customHeight="1" x14ac:dyDescent="0.2">
      <c r="A244" s="84">
        <v>9</v>
      </c>
      <c r="W244" s="339"/>
      <c r="X244" s="339"/>
    </row>
    <row r="245" spans="1:24" ht="14.1" customHeight="1" x14ac:dyDescent="0.2">
      <c r="A245" s="84">
        <v>10</v>
      </c>
      <c r="C245" s="607">
        <v>34287</v>
      </c>
      <c r="D245" s="84" t="s">
        <v>222</v>
      </c>
      <c r="F245" s="68">
        <v>1.3315002433955669E-8</v>
      </c>
      <c r="G245" s="75"/>
      <c r="H245" s="68">
        <v>0</v>
      </c>
      <c r="I245" s="75"/>
      <c r="J245" s="68">
        <v>0</v>
      </c>
      <c r="K245" s="75"/>
      <c r="L245" s="68">
        <v>0</v>
      </c>
      <c r="M245" s="75"/>
      <c r="N245" s="68">
        <v>0</v>
      </c>
      <c r="O245" s="75"/>
      <c r="P245" s="68">
        <v>0</v>
      </c>
      <c r="Q245" s="75"/>
      <c r="R245" s="68">
        <v>1.3315002433955669E-8</v>
      </c>
      <c r="S245" s="75"/>
      <c r="T245" s="68">
        <v>1.3315002433955669E-8</v>
      </c>
      <c r="W245" s="339"/>
      <c r="X245" s="339"/>
    </row>
    <row r="246" spans="1:24" ht="14.1" customHeight="1" x14ac:dyDescent="0.2">
      <c r="A246" s="84">
        <v>11</v>
      </c>
      <c r="W246" s="339"/>
      <c r="X246" s="339"/>
    </row>
    <row r="247" spans="1:24" ht="14.1" customHeight="1" x14ac:dyDescent="0.2">
      <c r="A247" s="84">
        <v>12</v>
      </c>
      <c r="B247" s="596"/>
      <c r="C247" s="607">
        <v>34687</v>
      </c>
      <c r="D247" s="84" t="s">
        <v>223</v>
      </c>
      <c r="F247" s="99">
        <v>550069.83000000019</v>
      </c>
      <c r="G247" s="75"/>
      <c r="H247" s="99">
        <v>253077.58999999997</v>
      </c>
      <c r="I247" s="75"/>
      <c r="J247" s="99">
        <v>-105182.15</v>
      </c>
      <c r="K247" s="75"/>
      <c r="L247" s="99">
        <v>0</v>
      </c>
      <c r="M247" s="75"/>
      <c r="N247" s="99">
        <v>0</v>
      </c>
      <c r="O247" s="75"/>
      <c r="P247" s="99">
        <v>0</v>
      </c>
      <c r="Q247" s="75"/>
      <c r="R247" s="99">
        <v>697965.27000000014</v>
      </c>
      <c r="S247" s="75"/>
      <c r="T247" s="99">
        <v>574604.22307692328</v>
      </c>
    </row>
    <row r="248" spans="1:24" ht="14.1" customHeight="1" x14ac:dyDescent="0.2">
      <c r="A248" s="84">
        <v>13</v>
      </c>
      <c r="B248" s="596"/>
    </row>
    <row r="249" spans="1:24" ht="14.1" customHeight="1" thickBot="1" x14ac:dyDescent="0.25">
      <c r="A249" s="84">
        <v>14</v>
      </c>
      <c r="B249" s="596"/>
      <c r="C249" s="237"/>
      <c r="D249" s="84" t="s">
        <v>74</v>
      </c>
      <c r="F249" s="55">
        <v>348541625.32999992</v>
      </c>
      <c r="G249" s="75"/>
      <c r="H249" s="55">
        <v>43429546.479999997</v>
      </c>
      <c r="I249" s="75"/>
      <c r="J249" s="55">
        <v>-5385863.3499999996</v>
      </c>
      <c r="K249" s="75"/>
      <c r="L249" s="55">
        <v>-1060583.2999999998</v>
      </c>
      <c r="M249" s="75"/>
      <c r="N249" s="55">
        <v>-376465.80999999994</v>
      </c>
      <c r="O249" s="75"/>
      <c r="P249" s="55">
        <v>0</v>
      </c>
      <c r="Q249" s="75"/>
      <c r="R249" s="55">
        <v>385148259.3499999</v>
      </c>
      <c r="S249" s="75"/>
      <c r="T249" s="55">
        <v>366040627.89153844</v>
      </c>
    </row>
    <row r="250" spans="1:24" ht="14.1" customHeight="1" thickTop="1" x14ac:dyDescent="0.2">
      <c r="A250" s="84">
        <v>15</v>
      </c>
      <c r="B250" s="596"/>
    </row>
    <row r="251" spans="1:24" ht="14.1" customHeight="1" x14ac:dyDescent="0.2">
      <c r="A251" s="84">
        <v>16</v>
      </c>
      <c r="B251" s="596"/>
    </row>
    <row r="252" spans="1:24" ht="14.1" customHeight="1" x14ac:dyDescent="0.2">
      <c r="A252" s="84">
        <v>17</v>
      </c>
      <c r="B252" s="596"/>
      <c r="D252" s="84" t="s">
        <v>62</v>
      </c>
      <c r="G252" s="75"/>
      <c r="I252" s="75"/>
      <c r="K252" s="75"/>
      <c r="M252" s="75"/>
      <c r="O252" s="75"/>
      <c r="Q252" s="75"/>
      <c r="S252" s="75"/>
    </row>
    <row r="253" spans="1:24" ht="14.1" customHeight="1" x14ac:dyDescent="0.2">
      <c r="A253" s="84">
        <v>18</v>
      </c>
      <c r="B253" s="596"/>
      <c r="D253" s="84" t="s">
        <v>224</v>
      </c>
      <c r="F253" s="112"/>
      <c r="G253" s="75"/>
      <c r="H253" s="112"/>
      <c r="I253" s="75"/>
      <c r="J253" s="112"/>
      <c r="K253" s="75"/>
      <c r="L253" s="112"/>
      <c r="M253" s="75"/>
      <c r="N253" s="112"/>
      <c r="O253" s="75"/>
      <c r="P253" s="112"/>
      <c r="Q253" s="75"/>
      <c r="R253" s="112"/>
      <c r="S253" s="75"/>
      <c r="T253" s="112"/>
    </row>
    <row r="254" spans="1:24" ht="14.1" customHeight="1" x14ac:dyDescent="0.2">
      <c r="A254" s="84">
        <v>19</v>
      </c>
      <c r="B254" s="629"/>
      <c r="C254" s="237">
        <v>34130</v>
      </c>
      <c r="D254" s="84" t="s">
        <v>161</v>
      </c>
      <c r="F254" s="68">
        <v>17927837.899999987</v>
      </c>
      <c r="G254" s="75"/>
      <c r="H254" s="68">
        <v>1852171.9100000001</v>
      </c>
      <c r="I254" s="75"/>
      <c r="J254" s="68">
        <v>-231736.56999999998</v>
      </c>
      <c r="K254" s="75"/>
      <c r="L254" s="68">
        <v>-139353.43999999997</v>
      </c>
      <c r="M254" s="75"/>
      <c r="N254" s="68">
        <v>0</v>
      </c>
      <c r="O254" s="75"/>
      <c r="P254" s="68">
        <v>0</v>
      </c>
      <c r="Q254" s="75"/>
      <c r="R254" s="68">
        <v>19408919.799999986</v>
      </c>
      <c r="S254" s="75"/>
      <c r="T254" s="68">
        <v>18703051.392307684</v>
      </c>
    </row>
    <row r="255" spans="1:24" ht="14.1" customHeight="1" x14ac:dyDescent="0.2">
      <c r="A255" s="84">
        <v>20</v>
      </c>
      <c r="B255" s="596"/>
      <c r="C255" s="237">
        <v>34230</v>
      </c>
      <c r="D255" s="84" t="s">
        <v>206</v>
      </c>
      <c r="F255" s="68">
        <v>6816752.1399999987</v>
      </c>
      <c r="G255" s="75"/>
      <c r="H255" s="68">
        <v>554367.63</v>
      </c>
      <c r="I255" s="75"/>
      <c r="J255" s="68">
        <v>-18545.93</v>
      </c>
      <c r="K255" s="75"/>
      <c r="L255" s="68">
        <v>-704198.94000000006</v>
      </c>
      <c r="M255" s="75"/>
      <c r="N255" s="68">
        <v>-8771.27</v>
      </c>
      <c r="O255" s="75"/>
      <c r="P255" s="68">
        <v>0</v>
      </c>
      <c r="Q255" s="75"/>
      <c r="R255" s="68">
        <v>6639603.629999999</v>
      </c>
      <c r="S255" s="75"/>
      <c r="T255" s="68">
        <v>6866964.2199999969</v>
      </c>
    </row>
    <row r="256" spans="1:24" ht="14.1" customHeight="1" x14ac:dyDescent="0.2">
      <c r="A256" s="84">
        <v>21</v>
      </c>
      <c r="B256" s="596"/>
      <c r="C256" s="237">
        <v>34330</v>
      </c>
      <c r="D256" s="84" t="s">
        <v>207</v>
      </c>
      <c r="F256" s="68">
        <v>12131733.800000006</v>
      </c>
      <c r="G256" s="75"/>
      <c r="H256" s="68">
        <v>1123396.8000000003</v>
      </c>
      <c r="I256" s="75"/>
      <c r="J256" s="68">
        <v>-82995.61</v>
      </c>
      <c r="K256" s="75"/>
      <c r="L256" s="68">
        <v>-1051545.17</v>
      </c>
      <c r="M256" s="75"/>
      <c r="N256" s="68">
        <v>-13977.560000000001</v>
      </c>
      <c r="O256" s="75"/>
      <c r="P256" s="68">
        <v>0</v>
      </c>
      <c r="Q256" s="75"/>
      <c r="R256" s="68">
        <v>12106612.260000007</v>
      </c>
      <c r="S256" s="75"/>
      <c r="T256" s="68">
        <v>12365841.426153855</v>
      </c>
    </row>
    <row r="257" spans="1:20" ht="14.1" customHeight="1" x14ac:dyDescent="0.2">
      <c r="A257" s="84">
        <v>22</v>
      </c>
      <c r="B257" s="596"/>
      <c r="C257" s="237">
        <v>34530</v>
      </c>
      <c r="D257" s="84" t="s">
        <v>164</v>
      </c>
      <c r="F257" s="68">
        <v>10528845.709999986</v>
      </c>
      <c r="G257" s="75"/>
      <c r="H257" s="68">
        <v>1212795.1499999999</v>
      </c>
      <c r="I257" s="75"/>
      <c r="J257" s="68">
        <v>-239644.84999999998</v>
      </c>
      <c r="K257" s="75"/>
      <c r="L257" s="68">
        <v>-49152.439999999995</v>
      </c>
      <c r="M257" s="75"/>
      <c r="N257" s="68">
        <v>0</v>
      </c>
      <c r="O257" s="75"/>
      <c r="P257" s="68">
        <v>0</v>
      </c>
      <c r="Q257" s="75"/>
      <c r="R257" s="68">
        <v>11452843.569999987</v>
      </c>
      <c r="S257" s="75"/>
      <c r="T257" s="68">
        <v>11000238.185384603</v>
      </c>
    </row>
    <row r="258" spans="1:20" ht="14.1" customHeight="1" x14ac:dyDescent="0.2">
      <c r="A258" s="84">
        <v>23</v>
      </c>
      <c r="B258" s="596"/>
      <c r="C258" s="237">
        <v>34630</v>
      </c>
      <c r="D258" s="84" t="s">
        <v>165</v>
      </c>
      <c r="F258" s="68">
        <v>3241735.8799999994</v>
      </c>
      <c r="G258" s="75"/>
      <c r="H258" s="68">
        <v>344284.64000000007</v>
      </c>
      <c r="I258" s="75"/>
      <c r="J258" s="68">
        <v>-14754.08</v>
      </c>
      <c r="K258" s="75"/>
      <c r="L258" s="68">
        <v>-2143.66</v>
      </c>
      <c r="M258" s="75"/>
      <c r="N258" s="68">
        <v>0</v>
      </c>
      <c r="O258" s="75"/>
      <c r="P258" s="68">
        <v>0</v>
      </c>
      <c r="Q258" s="75"/>
      <c r="R258" s="68">
        <v>3569122.7799999993</v>
      </c>
      <c r="S258" s="75"/>
      <c r="T258" s="68">
        <v>3412581.5553846136</v>
      </c>
    </row>
    <row r="259" spans="1:20" ht="14.1" customHeight="1" x14ac:dyDescent="0.2">
      <c r="A259" s="84">
        <v>24</v>
      </c>
      <c r="B259" s="596"/>
      <c r="C259" s="237"/>
      <c r="D259" s="84" t="s">
        <v>225</v>
      </c>
      <c r="F259" s="111">
        <v>50646905.429999977</v>
      </c>
      <c r="G259" s="75"/>
      <c r="H259" s="111">
        <v>5087016.13</v>
      </c>
      <c r="I259" s="75"/>
      <c r="J259" s="111">
        <v>-587677.03999999992</v>
      </c>
      <c r="K259" s="75"/>
      <c r="L259" s="111">
        <v>-1946393.6499999997</v>
      </c>
      <c r="M259" s="75"/>
      <c r="N259" s="111">
        <v>-22748.83</v>
      </c>
      <c r="O259" s="75"/>
      <c r="P259" s="111">
        <v>0</v>
      </c>
      <c r="Q259" s="75"/>
      <c r="R259" s="111">
        <v>53177102.039999977</v>
      </c>
      <c r="S259" s="75"/>
      <c r="T259" s="111">
        <v>52348676.779230751</v>
      </c>
    </row>
    <row r="260" spans="1:20" ht="14.1" customHeight="1" x14ac:dyDescent="0.2">
      <c r="A260" s="84">
        <v>25</v>
      </c>
      <c r="B260" s="596"/>
    </row>
    <row r="261" spans="1:20" ht="14.1" customHeight="1" x14ac:dyDescent="0.2">
      <c r="A261" s="84">
        <v>26</v>
      </c>
      <c r="B261" s="596"/>
      <c r="D261" s="84" t="s">
        <v>226</v>
      </c>
      <c r="F261" s="320"/>
      <c r="G261" s="320"/>
      <c r="H261" s="320"/>
      <c r="I261" s="320"/>
      <c r="J261" s="630"/>
      <c r="K261" s="630"/>
      <c r="L261" s="630"/>
      <c r="M261" s="320"/>
      <c r="N261" s="630"/>
      <c r="O261" s="320"/>
      <c r="P261" s="320"/>
      <c r="Q261" s="320"/>
      <c r="R261" s="320"/>
      <c r="S261" s="320"/>
      <c r="T261" s="652"/>
    </row>
    <row r="262" spans="1:20" ht="14.1" customHeight="1" x14ac:dyDescent="0.2">
      <c r="A262" s="84">
        <v>27</v>
      </c>
      <c r="B262" s="596"/>
      <c r="C262" s="607">
        <v>34131</v>
      </c>
      <c r="D262" s="84" t="s">
        <v>161</v>
      </c>
      <c r="F262" s="68">
        <v>7470779.8099999912</v>
      </c>
      <c r="G262" s="75"/>
      <c r="H262" s="68">
        <v>536181.95000000007</v>
      </c>
      <c r="I262" s="75"/>
      <c r="J262" s="68">
        <v>0</v>
      </c>
      <c r="K262" s="75"/>
      <c r="L262" s="68">
        <v>-366.64</v>
      </c>
      <c r="M262" s="75"/>
      <c r="N262" s="68">
        <v>0</v>
      </c>
      <c r="O262" s="75"/>
      <c r="P262" s="68">
        <v>0</v>
      </c>
      <c r="Q262" s="75"/>
      <c r="R262" s="68">
        <v>8006595.1199999917</v>
      </c>
      <c r="S262" s="75"/>
      <c r="T262" s="68">
        <v>7738433.547692298</v>
      </c>
    </row>
    <row r="263" spans="1:20" ht="14.1" customHeight="1" x14ac:dyDescent="0.2">
      <c r="A263" s="84">
        <v>28</v>
      </c>
      <c r="B263" s="596"/>
      <c r="C263" s="607">
        <v>34231</v>
      </c>
      <c r="D263" s="84" t="s">
        <v>206</v>
      </c>
      <c r="F263" s="68">
        <v>28839116.029999986</v>
      </c>
      <c r="G263" s="75"/>
      <c r="H263" s="68">
        <v>2250958.4</v>
      </c>
      <c r="I263" s="75"/>
      <c r="J263" s="68">
        <v>-391427.47000000003</v>
      </c>
      <c r="K263" s="75"/>
      <c r="L263" s="68">
        <v>-50768.879999999976</v>
      </c>
      <c r="M263" s="75"/>
      <c r="N263" s="68">
        <v>-30780.329999999998</v>
      </c>
      <c r="O263" s="75"/>
      <c r="P263" s="68">
        <v>0</v>
      </c>
      <c r="Q263" s="75"/>
      <c r="R263" s="68">
        <v>30617097.749999989</v>
      </c>
      <c r="S263" s="75"/>
      <c r="T263" s="68">
        <v>29681700.410769224</v>
      </c>
    </row>
    <row r="264" spans="1:20" ht="14.1" customHeight="1" x14ac:dyDescent="0.2">
      <c r="A264" s="84">
        <v>29</v>
      </c>
      <c r="B264" s="596"/>
      <c r="C264" s="607">
        <v>34331</v>
      </c>
      <c r="D264" s="84" t="s">
        <v>207</v>
      </c>
      <c r="F264" s="68">
        <v>48041716.389999971</v>
      </c>
      <c r="G264" s="75"/>
      <c r="H264" s="68">
        <v>8774576.5199999996</v>
      </c>
      <c r="I264" s="75"/>
      <c r="J264" s="68">
        <v>-117782.22</v>
      </c>
      <c r="K264" s="75"/>
      <c r="L264" s="68">
        <v>-149544.49</v>
      </c>
      <c r="M264" s="75"/>
      <c r="N264" s="68">
        <v>-83206.889999999985</v>
      </c>
      <c r="O264" s="75"/>
      <c r="P264" s="68">
        <v>0</v>
      </c>
      <c r="Q264" s="75"/>
      <c r="R264" s="68">
        <v>56465759.309999965</v>
      </c>
      <c r="S264" s="75"/>
      <c r="T264" s="68">
        <v>52207297.622307666</v>
      </c>
    </row>
    <row r="265" spans="1:20" ht="14.1" customHeight="1" x14ac:dyDescent="0.2">
      <c r="A265" s="84">
        <v>30</v>
      </c>
      <c r="B265" s="596"/>
      <c r="C265" s="607">
        <v>34531</v>
      </c>
      <c r="D265" s="84" t="s">
        <v>164</v>
      </c>
      <c r="F265" s="68">
        <v>15522809.049999997</v>
      </c>
      <c r="G265" s="75"/>
      <c r="H265" s="68">
        <v>1220549.48</v>
      </c>
      <c r="I265" s="75"/>
      <c r="J265" s="68">
        <v>-44210.14</v>
      </c>
      <c r="K265" s="75"/>
      <c r="L265" s="68">
        <v>-150184.25</v>
      </c>
      <c r="M265" s="75"/>
      <c r="N265" s="68">
        <v>0</v>
      </c>
      <c r="O265" s="75"/>
      <c r="P265" s="68">
        <v>0</v>
      </c>
      <c r="Q265" s="75"/>
      <c r="R265" s="68">
        <v>16548964.139999997</v>
      </c>
      <c r="S265" s="75"/>
      <c r="T265" s="68">
        <v>16085706.913076919</v>
      </c>
    </row>
    <row r="266" spans="1:20" ht="14.1" customHeight="1" x14ac:dyDescent="0.2">
      <c r="A266" s="84">
        <v>31</v>
      </c>
      <c r="B266" s="596"/>
      <c r="C266" s="607">
        <v>34631</v>
      </c>
      <c r="D266" s="84" t="s">
        <v>165</v>
      </c>
      <c r="F266" s="68">
        <v>467194.12000000081</v>
      </c>
      <c r="G266" s="75"/>
      <c r="H266" s="68">
        <v>31123.079999999998</v>
      </c>
      <c r="I266" s="75"/>
      <c r="J266" s="68">
        <v>0</v>
      </c>
      <c r="K266" s="75"/>
      <c r="L266" s="68">
        <v>0</v>
      </c>
      <c r="M266" s="75"/>
      <c r="N266" s="68">
        <v>0</v>
      </c>
      <c r="O266" s="75"/>
      <c r="P266" s="68">
        <v>0</v>
      </c>
      <c r="Q266" s="75"/>
      <c r="R266" s="68">
        <v>498317.20000000083</v>
      </c>
      <c r="S266" s="75"/>
      <c r="T266" s="68">
        <v>482755.66000000102</v>
      </c>
    </row>
    <row r="267" spans="1:20" ht="14.1" customHeight="1" x14ac:dyDescent="0.2">
      <c r="A267" s="84">
        <v>32</v>
      </c>
      <c r="B267" s="596"/>
      <c r="C267" s="237"/>
      <c r="D267" s="84" t="s">
        <v>227</v>
      </c>
      <c r="F267" s="111">
        <v>100341615.39999995</v>
      </c>
      <c r="G267" s="75"/>
      <c r="H267" s="111">
        <v>12813389.43</v>
      </c>
      <c r="I267" s="75"/>
      <c r="J267" s="111">
        <v>-553419.83000000007</v>
      </c>
      <c r="K267" s="75"/>
      <c r="L267" s="111">
        <v>-350864.25999999995</v>
      </c>
      <c r="M267" s="75"/>
      <c r="N267" s="111">
        <v>-113987.21999999999</v>
      </c>
      <c r="O267" s="75"/>
      <c r="P267" s="111">
        <v>0</v>
      </c>
      <c r="Q267" s="75"/>
      <c r="R267" s="111">
        <v>112136733.51999995</v>
      </c>
      <c r="S267" s="75"/>
      <c r="T267" s="111">
        <v>106195894.1538461</v>
      </c>
    </row>
    <row r="268" spans="1:20" ht="14.1" customHeight="1" x14ac:dyDescent="0.2">
      <c r="A268" s="84">
        <v>33</v>
      </c>
      <c r="B268" s="596"/>
      <c r="C268" s="607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</row>
    <row r="269" spans="1:20" ht="14.1" customHeight="1" x14ac:dyDescent="0.2">
      <c r="A269" s="84">
        <v>34</v>
      </c>
      <c r="B269" s="596"/>
      <c r="C269" s="237"/>
      <c r="D269" s="84" t="s">
        <v>228</v>
      </c>
      <c r="F269" s="106"/>
      <c r="G269" s="75"/>
      <c r="H269" s="106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</row>
    <row r="270" spans="1:20" ht="14.1" customHeight="1" x14ac:dyDescent="0.2">
      <c r="A270" s="84">
        <v>35</v>
      </c>
      <c r="B270" s="596"/>
      <c r="C270" s="607">
        <v>34132</v>
      </c>
      <c r="D270" s="84" t="s">
        <v>161</v>
      </c>
      <c r="F270" s="68">
        <v>9688046.1499999911</v>
      </c>
      <c r="G270" s="75"/>
      <c r="H270" s="68">
        <v>673286.62</v>
      </c>
      <c r="I270" s="75"/>
      <c r="J270" s="68">
        <v>0</v>
      </c>
      <c r="K270" s="75"/>
      <c r="L270" s="68">
        <v>0</v>
      </c>
      <c r="M270" s="75"/>
      <c r="N270" s="68">
        <v>0</v>
      </c>
      <c r="O270" s="75"/>
      <c r="P270" s="68">
        <v>0</v>
      </c>
      <c r="Q270" s="75"/>
      <c r="R270" s="68">
        <v>10361332.76999999</v>
      </c>
      <c r="S270" s="75"/>
      <c r="T270" s="68">
        <v>10024650.207692303</v>
      </c>
    </row>
    <row r="271" spans="1:20" ht="14.1" customHeight="1" x14ac:dyDescent="0.2">
      <c r="A271" s="84">
        <v>36</v>
      </c>
      <c r="B271" s="596"/>
      <c r="C271" s="607">
        <v>34232</v>
      </c>
      <c r="D271" s="84" t="s">
        <v>206</v>
      </c>
      <c r="F271" s="68">
        <v>36157453.000000015</v>
      </c>
      <c r="G271" s="75"/>
      <c r="H271" s="68">
        <v>2860882.5999999996</v>
      </c>
      <c r="I271" s="75"/>
      <c r="J271" s="68">
        <v>-46627.069999999992</v>
      </c>
      <c r="K271" s="75"/>
      <c r="L271" s="68">
        <v>122919.76000000004</v>
      </c>
      <c r="M271" s="75"/>
      <c r="N271" s="68">
        <v>-39355.100000000006</v>
      </c>
      <c r="O271" s="75"/>
      <c r="P271" s="68">
        <v>0</v>
      </c>
      <c r="Q271" s="75"/>
      <c r="R271" s="68">
        <v>39055273.190000013</v>
      </c>
      <c r="S271" s="75"/>
      <c r="T271" s="68">
        <v>37661346.139230795</v>
      </c>
    </row>
    <row r="272" spans="1:20" ht="14.1" customHeight="1" x14ac:dyDescent="0.2">
      <c r="A272" s="84">
        <v>37</v>
      </c>
      <c r="B272" s="596"/>
      <c r="C272" s="607">
        <v>34332</v>
      </c>
      <c r="D272" s="84" t="s">
        <v>207</v>
      </c>
      <c r="F272" s="68">
        <v>54706512.18999999</v>
      </c>
      <c r="G272" s="75"/>
      <c r="H272" s="68">
        <v>11738965.289999999</v>
      </c>
      <c r="I272" s="75"/>
      <c r="J272" s="68">
        <v>-208469.63</v>
      </c>
      <c r="K272" s="75"/>
      <c r="L272" s="68">
        <v>-485718.99000000022</v>
      </c>
      <c r="M272" s="75"/>
      <c r="N272" s="68">
        <v>-114127</v>
      </c>
      <c r="O272" s="75"/>
      <c r="P272" s="68">
        <v>0</v>
      </c>
      <c r="Q272" s="75"/>
      <c r="R272" s="68">
        <v>65637161.859999985</v>
      </c>
      <c r="S272" s="75"/>
      <c r="T272" s="68">
        <v>60239534.358461529</v>
      </c>
    </row>
    <row r="273" spans="1:20" ht="14.1" customHeight="1" x14ac:dyDescent="0.2">
      <c r="A273" s="84">
        <v>38</v>
      </c>
      <c r="B273" s="596"/>
      <c r="C273" s="607">
        <v>34532</v>
      </c>
      <c r="D273" s="84" t="s">
        <v>164</v>
      </c>
      <c r="F273" s="68">
        <v>16813713.190000001</v>
      </c>
      <c r="G273" s="75"/>
      <c r="H273" s="68">
        <v>1358885.15</v>
      </c>
      <c r="I273" s="75"/>
      <c r="J273" s="68">
        <v>-4042.78</v>
      </c>
      <c r="K273" s="75"/>
      <c r="L273" s="68">
        <v>-495748.85</v>
      </c>
      <c r="M273" s="75"/>
      <c r="N273" s="68">
        <v>0</v>
      </c>
      <c r="O273" s="75"/>
      <c r="P273" s="68">
        <v>0</v>
      </c>
      <c r="Q273" s="75"/>
      <c r="R273" s="68">
        <v>17672806.709999997</v>
      </c>
      <c r="S273" s="75"/>
      <c r="T273" s="68">
        <v>17194930.783846155</v>
      </c>
    </row>
    <row r="274" spans="1:20" ht="14.1" customHeight="1" x14ac:dyDescent="0.2">
      <c r="A274" s="84">
        <v>39</v>
      </c>
      <c r="B274" s="596"/>
      <c r="C274" s="607">
        <v>34632</v>
      </c>
      <c r="D274" s="84" t="s">
        <v>165</v>
      </c>
      <c r="F274" s="68">
        <v>587415.37999999931</v>
      </c>
      <c r="G274" s="75"/>
      <c r="H274" s="68">
        <v>40756.559999999998</v>
      </c>
      <c r="I274" s="75"/>
      <c r="J274" s="68">
        <v>0</v>
      </c>
      <c r="K274" s="75"/>
      <c r="L274" s="68">
        <v>0</v>
      </c>
      <c r="M274" s="75"/>
      <c r="N274" s="68">
        <v>0</v>
      </c>
      <c r="O274" s="75"/>
      <c r="P274" s="68">
        <v>0</v>
      </c>
      <c r="Q274" s="75"/>
      <c r="R274" s="68">
        <v>628171.93999999925</v>
      </c>
      <c r="S274" s="75"/>
      <c r="T274" s="68">
        <v>607793.65999999933</v>
      </c>
    </row>
    <row r="275" spans="1:20" ht="14.1" customHeight="1" x14ac:dyDescent="0.2">
      <c r="A275" s="84">
        <v>40</v>
      </c>
      <c r="B275" s="596"/>
      <c r="C275" s="237"/>
      <c r="D275" s="84" t="s">
        <v>229</v>
      </c>
      <c r="F275" s="111">
        <v>117953139.91</v>
      </c>
      <c r="G275" s="75"/>
      <c r="H275" s="111">
        <v>16672776.219999999</v>
      </c>
      <c r="I275" s="75"/>
      <c r="J275" s="111">
        <v>-259139.48</v>
      </c>
      <c r="K275" s="75"/>
      <c r="L275" s="111">
        <v>-858548.08000000019</v>
      </c>
      <c r="M275" s="75"/>
      <c r="N275" s="111">
        <v>-153482.1</v>
      </c>
      <c r="O275" s="75"/>
      <c r="P275" s="111">
        <v>0</v>
      </c>
      <c r="Q275" s="75"/>
      <c r="R275" s="111">
        <v>133354746.46999998</v>
      </c>
      <c r="S275" s="75"/>
      <c r="T275" s="111">
        <v>125728255.14923078</v>
      </c>
    </row>
    <row r="276" spans="1:20" ht="14.1" customHeight="1" x14ac:dyDescent="0.2">
      <c r="A276" s="84">
        <v>41</v>
      </c>
      <c r="B276" s="596"/>
    </row>
    <row r="277" spans="1:20" ht="14.1" customHeight="1" x14ac:dyDescent="0.2">
      <c r="A277" s="84">
        <v>42</v>
      </c>
      <c r="B277" s="596"/>
      <c r="G277" s="75"/>
      <c r="I277" s="75"/>
      <c r="K277" s="75"/>
      <c r="M277" s="75"/>
      <c r="O277" s="75"/>
      <c r="Q277" s="75"/>
      <c r="S277" s="75"/>
    </row>
    <row r="278" spans="1:20" ht="14.1" customHeight="1" x14ac:dyDescent="0.2">
      <c r="A278" s="84">
        <v>43</v>
      </c>
      <c r="B278" s="596"/>
      <c r="G278" s="75"/>
      <c r="I278" s="75"/>
      <c r="K278" s="75"/>
      <c r="M278" s="75"/>
      <c r="O278" s="75"/>
      <c r="Q278" s="75"/>
      <c r="S278" s="75"/>
    </row>
    <row r="279" spans="1:20" ht="14.1" customHeight="1" thickBot="1" x14ac:dyDescent="0.25">
      <c r="A279" s="114">
        <v>44</v>
      </c>
      <c r="B279" s="343" t="s">
        <v>186</v>
      </c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</row>
    <row r="280" spans="1:20" ht="14.1" customHeight="1" x14ac:dyDescent="0.2">
      <c r="A280" s="84" t="s">
        <v>60</v>
      </c>
      <c r="R280" s="84" t="s">
        <v>60</v>
      </c>
    </row>
    <row r="281" spans="1:20" ht="14.1" customHeight="1" thickBot="1" x14ac:dyDescent="0.25">
      <c r="A281" s="114" t="s">
        <v>301</v>
      </c>
      <c r="B281" s="114"/>
      <c r="C281" s="114"/>
      <c r="D281" s="114"/>
      <c r="E281" s="114"/>
      <c r="F281" s="114" t="s">
        <v>302</v>
      </c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 t="s">
        <v>328</v>
      </c>
    </row>
    <row r="282" spans="1:20" ht="14.1" customHeight="1" x14ac:dyDescent="0.2">
      <c r="A282" s="84" t="s">
        <v>129</v>
      </c>
      <c r="B282" s="622"/>
      <c r="E282" s="88" t="s">
        <v>130</v>
      </c>
      <c r="F282" s="84" t="s">
        <v>303</v>
      </c>
      <c r="J282" s="623"/>
      <c r="K282" s="623"/>
      <c r="P282" s="623"/>
      <c r="Q282" s="623"/>
      <c r="R282" s="623" t="s">
        <v>132</v>
      </c>
      <c r="T282" s="604"/>
    </row>
    <row r="283" spans="1:20" ht="14.1" customHeight="1" x14ac:dyDescent="0.2">
      <c r="B283" s="622"/>
      <c r="F283" s="84" t="s">
        <v>304</v>
      </c>
      <c r="J283" s="88"/>
      <c r="K283" s="604"/>
      <c r="P283" s="88"/>
      <c r="Q283" s="88"/>
      <c r="R283" s="604" t="s">
        <v>844</v>
      </c>
      <c r="T283" s="88"/>
    </row>
    <row r="284" spans="1:20" ht="14.1" customHeight="1" x14ac:dyDescent="0.2">
      <c r="A284" s="84" t="s">
        <v>134</v>
      </c>
      <c r="B284" s="622"/>
      <c r="F284" s="84" t="s">
        <v>123</v>
      </c>
      <c r="J284" s="88"/>
      <c r="K284" s="604"/>
      <c r="L284" s="88"/>
      <c r="N284" s="88"/>
      <c r="Q284" s="88"/>
      <c r="R284" s="604"/>
      <c r="T284" s="88"/>
    </row>
    <row r="285" spans="1:20" ht="14.1" customHeight="1" x14ac:dyDescent="0.2">
      <c r="B285" s="622"/>
      <c r="F285" s="84" t="s">
        <v>123</v>
      </c>
      <c r="J285" s="88"/>
      <c r="K285" s="604"/>
      <c r="L285" s="88"/>
      <c r="N285" s="88"/>
      <c r="Q285" s="88"/>
      <c r="R285" s="604"/>
      <c r="T285" s="88"/>
    </row>
    <row r="286" spans="1:20" ht="14.1" customHeight="1" thickBot="1" x14ac:dyDescent="0.25">
      <c r="A286" s="114" t="s">
        <v>135</v>
      </c>
      <c r="B286" s="624"/>
      <c r="C286" s="114"/>
      <c r="D286" s="114"/>
      <c r="E286" s="114"/>
      <c r="F286" s="114" t="s">
        <v>123</v>
      </c>
      <c r="G286" s="114"/>
      <c r="H286" s="606"/>
      <c r="I286" s="114"/>
      <c r="J286" s="114"/>
      <c r="K286" s="114"/>
      <c r="L286" s="114"/>
      <c r="M286" s="114"/>
      <c r="N286" s="114"/>
      <c r="O286" s="114"/>
      <c r="P286" s="114"/>
      <c r="Q286" s="114"/>
      <c r="R286" s="625"/>
      <c r="S286" s="114"/>
      <c r="T286" s="114"/>
    </row>
    <row r="287" spans="1:20" ht="14.1" customHeight="1" x14ac:dyDescent="0.2">
      <c r="C287" s="607"/>
      <c r="D287" s="607"/>
      <c r="E287" s="607"/>
      <c r="F287" s="607"/>
      <c r="G287" s="607"/>
      <c r="H287" s="607"/>
      <c r="I287" s="607"/>
      <c r="J287" s="607"/>
      <c r="K287" s="607"/>
      <c r="L287" s="607"/>
      <c r="M287" s="607"/>
      <c r="N287" s="607"/>
      <c r="O287" s="607"/>
      <c r="P287" s="607"/>
      <c r="Q287" s="607"/>
      <c r="R287" s="607"/>
      <c r="S287" s="607"/>
      <c r="T287" s="607"/>
    </row>
    <row r="288" spans="1:20" ht="14.1" customHeight="1" x14ac:dyDescent="0.2">
      <c r="C288" s="607" t="s">
        <v>136</v>
      </c>
      <c r="D288" s="607" t="s">
        <v>137</v>
      </c>
      <c r="E288" s="607"/>
      <c r="F288" s="607" t="s">
        <v>138</v>
      </c>
      <c r="G288" s="607"/>
      <c r="H288" s="607" t="s">
        <v>139</v>
      </c>
      <c r="I288" s="607"/>
      <c r="J288" s="237" t="s">
        <v>140</v>
      </c>
      <c r="L288" s="607" t="s">
        <v>141</v>
      </c>
      <c r="M288" s="607"/>
      <c r="N288" s="607" t="s">
        <v>142</v>
      </c>
      <c r="O288" s="607"/>
      <c r="P288" s="607" t="s">
        <v>143</v>
      </c>
      <c r="Q288" s="607"/>
      <c r="R288" s="607" t="s">
        <v>144</v>
      </c>
      <c r="S288" s="607"/>
      <c r="T288" s="607" t="s">
        <v>305</v>
      </c>
    </row>
    <row r="289" spans="1:20" ht="14.1" customHeight="1" x14ac:dyDescent="0.2">
      <c r="C289" s="237" t="s">
        <v>145</v>
      </c>
      <c r="D289" s="237" t="s">
        <v>145</v>
      </c>
      <c r="F289" s="607" t="s">
        <v>41</v>
      </c>
      <c r="G289" s="237"/>
      <c r="H289" s="607" t="s">
        <v>40</v>
      </c>
      <c r="I289" s="237"/>
      <c r="J289" s="607"/>
      <c r="K289" s="237"/>
      <c r="L289" s="237"/>
      <c r="M289" s="237"/>
      <c r="N289" s="237"/>
      <c r="O289" s="237"/>
      <c r="P289" s="237"/>
      <c r="Q289" s="237"/>
      <c r="R289" s="237" t="s">
        <v>41</v>
      </c>
      <c r="T289" s="237"/>
    </row>
    <row r="290" spans="1:20" ht="14.1" customHeight="1" x14ac:dyDescent="0.2">
      <c r="A290" s="84" t="s">
        <v>146</v>
      </c>
      <c r="B290" s="237"/>
      <c r="C290" s="237" t="s">
        <v>147</v>
      </c>
      <c r="D290" s="237" t="s">
        <v>147</v>
      </c>
      <c r="E290" s="607"/>
      <c r="F290" s="237" t="s">
        <v>6</v>
      </c>
      <c r="G290" s="237"/>
      <c r="H290" s="237" t="s">
        <v>6</v>
      </c>
      <c r="I290" s="237"/>
      <c r="J290" s="237"/>
      <c r="K290" s="607"/>
      <c r="L290" s="237" t="s">
        <v>306</v>
      </c>
      <c r="M290" s="237"/>
      <c r="N290" s="237" t="s">
        <v>306</v>
      </c>
      <c r="O290" s="237"/>
      <c r="P290" s="237" t="s">
        <v>150</v>
      </c>
      <c r="Q290" s="607"/>
      <c r="R290" s="607" t="s">
        <v>6</v>
      </c>
      <c r="S290" s="607"/>
      <c r="T290" s="237" t="s">
        <v>151</v>
      </c>
    </row>
    <row r="291" spans="1:20" ht="14.1" customHeight="1" thickBot="1" x14ac:dyDescent="0.25">
      <c r="A291" s="114" t="s">
        <v>152</v>
      </c>
      <c r="B291" s="606"/>
      <c r="C291" s="606" t="s">
        <v>52</v>
      </c>
      <c r="D291" s="606" t="s">
        <v>153</v>
      </c>
      <c r="E291" s="606"/>
      <c r="F291" s="608" t="s">
        <v>154</v>
      </c>
      <c r="G291" s="608"/>
      <c r="H291" s="608" t="s">
        <v>307</v>
      </c>
      <c r="I291" s="609"/>
      <c r="J291" s="608" t="s">
        <v>18</v>
      </c>
      <c r="K291" s="609"/>
      <c r="L291" s="608" t="s">
        <v>19</v>
      </c>
      <c r="M291" s="609"/>
      <c r="N291" s="608" t="s">
        <v>54</v>
      </c>
      <c r="O291" s="609"/>
      <c r="P291" s="610" t="s">
        <v>157</v>
      </c>
      <c r="Q291" s="610"/>
      <c r="R291" s="610" t="s">
        <v>158</v>
      </c>
      <c r="S291" s="610"/>
      <c r="T291" s="610" t="s">
        <v>3</v>
      </c>
    </row>
    <row r="292" spans="1:20" ht="14.1" customHeight="1" x14ac:dyDescent="0.2">
      <c r="A292" s="84">
        <v>1</v>
      </c>
      <c r="B292" s="596"/>
    </row>
    <row r="293" spans="1:20" ht="14.1" customHeight="1" x14ac:dyDescent="0.2">
      <c r="A293" s="84">
        <v>2</v>
      </c>
      <c r="B293" s="596"/>
      <c r="C293" s="237"/>
      <c r="D293" s="84" t="s">
        <v>230</v>
      </c>
      <c r="G293" s="75"/>
      <c r="I293" s="75"/>
      <c r="K293" s="75"/>
      <c r="M293" s="75"/>
      <c r="O293" s="75"/>
      <c r="Q293" s="75"/>
      <c r="S293" s="75"/>
    </row>
    <row r="294" spans="1:20" ht="14.1" customHeight="1" x14ac:dyDescent="0.2">
      <c r="A294" s="84">
        <v>3</v>
      </c>
      <c r="B294" s="596"/>
      <c r="C294" s="607">
        <v>34133</v>
      </c>
      <c r="D294" s="84" t="s">
        <v>161</v>
      </c>
      <c r="F294" s="68">
        <v>-44940.890000000247</v>
      </c>
      <c r="G294" s="75"/>
      <c r="H294" s="68">
        <v>17065.080000000002</v>
      </c>
      <c r="I294" s="75"/>
      <c r="J294" s="68">
        <v>0</v>
      </c>
      <c r="K294" s="75"/>
      <c r="L294" s="68">
        <v>0</v>
      </c>
      <c r="M294" s="75"/>
      <c r="N294" s="68">
        <v>0</v>
      </c>
      <c r="O294" s="75"/>
      <c r="P294" s="68">
        <v>0</v>
      </c>
      <c r="Q294" s="75"/>
      <c r="R294" s="68">
        <v>-27875.810000000245</v>
      </c>
      <c r="S294" s="75"/>
      <c r="T294" s="68">
        <v>-36408.35000000026</v>
      </c>
    </row>
    <row r="295" spans="1:20" ht="14.1" customHeight="1" x14ac:dyDescent="0.2">
      <c r="A295" s="84">
        <v>4</v>
      </c>
      <c r="B295" s="596"/>
      <c r="C295" s="607">
        <v>34233</v>
      </c>
      <c r="D295" s="84" t="s">
        <v>206</v>
      </c>
      <c r="F295" s="68">
        <v>755350.85000000068</v>
      </c>
      <c r="G295" s="75"/>
      <c r="H295" s="68">
        <v>122028.84000000004</v>
      </c>
      <c r="I295" s="75"/>
      <c r="J295" s="68">
        <v>0</v>
      </c>
      <c r="K295" s="75"/>
      <c r="L295" s="68">
        <v>-2348.38</v>
      </c>
      <c r="M295" s="75"/>
      <c r="N295" s="68">
        <v>-1352.79</v>
      </c>
      <c r="O295" s="75"/>
      <c r="P295" s="68">
        <v>0</v>
      </c>
      <c r="Q295" s="75"/>
      <c r="R295" s="68">
        <v>873678.52000000072</v>
      </c>
      <c r="S295" s="75"/>
      <c r="T295" s="68">
        <v>814020.24307692354</v>
      </c>
    </row>
    <row r="296" spans="1:20" ht="14.1" customHeight="1" x14ac:dyDescent="0.2">
      <c r="A296" s="84">
        <v>5</v>
      </c>
      <c r="B296" s="596"/>
      <c r="C296" s="607">
        <v>34333</v>
      </c>
      <c r="D296" s="84" t="s">
        <v>207</v>
      </c>
      <c r="F296" s="68">
        <v>6341894.1400000043</v>
      </c>
      <c r="G296" s="75"/>
      <c r="H296" s="68">
        <v>616570.26</v>
      </c>
      <c r="I296" s="75"/>
      <c r="J296" s="68">
        <v>0</v>
      </c>
      <c r="K296" s="75"/>
      <c r="L296" s="68">
        <v>-10701.850000000002</v>
      </c>
      <c r="M296" s="75"/>
      <c r="N296" s="68">
        <v>-6145.5099999999993</v>
      </c>
      <c r="O296" s="75"/>
      <c r="P296" s="68">
        <v>0</v>
      </c>
      <c r="Q296" s="75"/>
      <c r="R296" s="68">
        <v>6941617.0400000047</v>
      </c>
      <c r="S296" s="75"/>
      <c r="T296" s="68">
        <v>6639425.1792307748</v>
      </c>
    </row>
    <row r="297" spans="1:20" ht="14.1" customHeight="1" x14ac:dyDescent="0.2">
      <c r="A297" s="84">
        <v>6</v>
      </c>
      <c r="B297" s="596"/>
      <c r="C297" s="607">
        <v>34533</v>
      </c>
      <c r="D297" s="84" t="s">
        <v>164</v>
      </c>
      <c r="F297" s="68">
        <v>3767014.2000000034</v>
      </c>
      <c r="G297" s="75"/>
      <c r="H297" s="68">
        <v>557786.94000000006</v>
      </c>
      <c r="I297" s="75"/>
      <c r="J297" s="68">
        <v>0</v>
      </c>
      <c r="K297" s="75"/>
      <c r="L297" s="68">
        <v>-86830.73</v>
      </c>
      <c r="M297" s="75"/>
      <c r="N297" s="68">
        <v>0</v>
      </c>
      <c r="O297" s="75"/>
      <c r="P297" s="68">
        <v>0</v>
      </c>
      <c r="Q297" s="75"/>
      <c r="R297" s="68">
        <v>4237970.4100000029</v>
      </c>
      <c r="S297" s="75"/>
      <c r="T297" s="68">
        <v>3998822.2484615413</v>
      </c>
    </row>
    <row r="298" spans="1:20" ht="14.1" customHeight="1" x14ac:dyDescent="0.2">
      <c r="A298" s="84">
        <v>7</v>
      </c>
      <c r="B298" s="596"/>
      <c r="C298" s="607">
        <v>34633</v>
      </c>
      <c r="D298" s="84" t="s">
        <v>165</v>
      </c>
      <c r="F298" s="68">
        <v>286.08000000000021</v>
      </c>
      <c r="G298" s="75"/>
      <c r="H298" s="68">
        <v>36.24</v>
      </c>
      <c r="I298" s="75"/>
      <c r="J298" s="68">
        <v>0</v>
      </c>
      <c r="K298" s="75"/>
      <c r="L298" s="68">
        <v>0</v>
      </c>
      <c r="M298" s="75"/>
      <c r="N298" s="68">
        <v>0</v>
      </c>
      <c r="O298" s="75"/>
      <c r="P298" s="68">
        <v>0</v>
      </c>
      <c r="Q298" s="75"/>
      <c r="R298" s="68">
        <v>322.32000000000022</v>
      </c>
      <c r="S298" s="75"/>
      <c r="T298" s="68">
        <v>304.20000000000016</v>
      </c>
    </row>
    <row r="299" spans="1:20" ht="14.1" customHeight="1" x14ac:dyDescent="0.2">
      <c r="A299" s="84">
        <v>8</v>
      </c>
      <c r="B299" s="598"/>
      <c r="C299" s="237"/>
      <c r="D299" s="84" t="s">
        <v>231</v>
      </c>
      <c r="F299" s="111">
        <v>10819604.380000008</v>
      </c>
      <c r="G299" s="75"/>
      <c r="H299" s="111">
        <v>1313487.3600000001</v>
      </c>
      <c r="I299" s="75"/>
      <c r="J299" s="111">
        <v>0</v>
      </c>
      <c r="K299" s="75"/>
      <c r="L299" s="111">
        <v>-99880.959999999992</v>
      </c>
      <c r="M299" s="75"/>
      <c r="N299" s="111">
        <v>-7498.2999999999993</v>
      </c>
      <c r="O299" s="75"/>
      <c r="P299" s="111">
        <v>0</v>
      </c>
      <c r="Q299" s="75"/>
      <c r="R299" s="111">
        <v>12025712.480000008</v>
      </c>
      <c r="S299" s="75"/>
      <c r="T299" s="111">
        <v>11416163.520769238</v>
      </c>
    </row>
    <row r="300" spans="1:20" ht="14.1" customHeight="1" x14ac:dyDescent="0.2">
      <c r="A300" s="84">
        <v>9</v>
      </c>
      <c r="B300" s="596"/>
      <c r="G300" s="75"/>
      <c r="I300" s="75"/>
      <c r="K300" s="75"/>
      <c r="M300" s="75"/>
      <c r="O300" s="75"/>
      <c r="Q300" s="75"/>
      <c r="S300" s="75"/>
    </row>
    <row r="301" spans="1:20" ht="14.1" customHeight="1" x14ac:dyDescent="0.2">
      <c r="A301" s="84">
        <v>10</v>
      </c>
      <c r="B301" s="596"/>
      <c r="C301" s="237"/>
      <c r="D301" s="84" t="s">
        <v>232</v>
      </c>
      <c r="G301" s="75"/>
      <c r="I301" s="75"/>
      <c r="K301" s="75"/>
      <c r="M301" s="75"/>
      <c r="O301" s="75"/>
      <c r="Q301" s="75"/>
      <c r="S301" s="75"/>
    </row>
    <row r="302" spans="1:20" ht="14.1" customHeight="1" x14ac:dyDescent="0.2">
      <c r="A302" s="84">
        <v>11</v>
      </c>
      <c r="B302" s="596"/>
      <c r="C302" s="607">
        <v>34134</v>
      </c>
      <c r="D302" s="84" t="s">
        <v>161</v>
      </c>
      <c r="F302" s="68">
        <v>-129118.07000000004</v>
      </c>
      <c r="G302" s="75"/>
      <c r="H302" s="68">
        <v>6300.7199999999975</v>
      </c>
      <c r="I302" s="75"/>
      <c r="J302" s="68">
        <v>0</v>
      </c>
      <c r="K302" s="75"/>
      <c r="L302" s="68">
        <v>0</v>
      </c>
      <c r="M302" s="75"/>
      <c r="N302" s="68">
        <v>0</v>
      </c>
      <c r="O302" s="75"/>
      <c r="P302" s="68">
        <v>0</v>
      </c>
      <c r="Q302" s="75"/>
      <c r="R302" s="68">
        <v>-122817.35000000003</v>
      </c>
      <c r="S302" s="75"/>
      <c r="T302" s="68">
        <v>-125967.71000000005</v>
      </c>
    </row>
    <row r="303" spans="1:20" ht="14.1" customHeight="1" x14ac:dyDescent="0.2">
      <c r="A303" s="84">
        <v>12</v>
      </c>
      <c r="B303" s="596"/>
      <c r="C303" s="607">
        <v>34234</v>
      </c>
      <c r="D303" s="84" t="s">
        <v>206</v>
      </c>
      <c r="F303" s="68">
        <v>749157.52999999968</v>
      </c>
      <c r="G303" s="75"/>
      <c r="H303" s="68">
        <v>121035.11999999998</v>
      </c>
      <c r="I303" s="75"/>
      <c r="J303" s="68">
        <v>0</v>
      </c>
      <c r="K303" s="75"/>
      <c r="L303" s="68">
        <v>-2333.2299999999996</v>
      </c>
      <c r="M303" s="75"/>
      <c r="N303" s="68">
        <v>-1341.77</v>
      </c>
      <c r="O303" s="75"/>
      <c r="P303" s="68">
        <v>0</v>
      </c>
      <c r="Q303" s="75"/>
      <c r="R303" s="68">
        <v>866517.64999999967</v>
      </c>
      <c r="S303" s="75"/>
      <c r="T303" s="68">
        <v>807345.59999999951</v>
      </c>
    </row>
    <row r="304" spans="1:20" ht="14.1" customHeight="1" x14ac:dyDescent="0.2">
      <c r="A304" s="84">
        <v>13</v>
      </c>
      <c r="B304" s="596"/>
      <c r="C304" s="607">
        <v>34334</v>
      </c>
      <c r="D304" s="84" t="s">
        <v>207</v>
      </c>
      <c r="F304" s="68">
        <v>6334212.9900000021</v>
      </c>
      <c r="G304" s="75"/>
      <c r="H304" s="68">
        <v>633264.81999999983</v>
      </c>
      <c r="I304" s="75"/>
      <c r="J304" s="68">
        <v>0</v>
      </c>
      <c r="K304" s="75"/>
      <c r="L304" s="68">
        <v>-11014.36</v>
      </c>
      <c r="M304" s="75"/>
      <c r="N304" s="68">
        <v>-6310.4399999999987</v>
      </c>
      <c r="O304" s="75"/>
      <c r="P304" s="68">
        <v>0</v>
      </c>
      <c r="Q304" s="75"/>
      <c r="R304" s="68">
        <v>6950153.0100000016</v>
      </c>
      <c r="S304" s="75"/>
      <c r="T304" s="68">
        <v>6639775.8723076964</v>
      </c>
    </row>
    <row r="305" spans="1:20" ht="14.1" customHeight="1" x14ac:dyDescent="0.2">
      <c r="A305" s="84">
        <v>14</v>
      </c>
      <c r="B305" s="596"/>
      <c r="C305" s="607">
        <v>34534</v>
      </c>
      <c r="D305" s="84" t="s">
        <v>164</v>
      </c>
      <c r="F305" s="68">
        <v>1218206.3699999985</v>
      </c>
      <c r="G305" s="75"/>
      <c r="H305" s="68">
        <v>161658.23999999999</v>
      </c>
      <c r="I305" s="75"/>
      <c r="J305" s="68">
        <v>0</v>
      </c>
      <c r="K305" s="75"/>
      <c r="L305" s="68">
        <v>0</v>
      </c>
      <c r="M305" s="75"/>
      <c r="N305" s="68">
        <v>0</v>
      </c>
      <c r="O305" s="75"/>
      <c r="P305" s="68">
        <v>0</v>
      </c>
      <c r="Q305" s="75"/>
      <c r="R305" s="68">
        <v>1379864.6099999985</v>
      </c>
      <c r="S305" s="75"/>
      <c r="T305" s="68">
        <v>1299035.4899999986</v>
      </c>
    </row>
    <row r="306" spans="1:20" ht="14.1" customHeight="1" x14ac:dyDescent="0.2">
      <c r="A306" s="84">
        <v>15</v>
      </c>
      <c r="C306" s="607">
        <v>34634</v>
      </c>
      <c r="D306" s="84" t="s">
        <v>165</v>
      </c>
      <c r="F306" s="68">
        <v>286.08000000000021</v>
      </c>
      <c r="G306" s="75"/>
      <c r="H306" s="68">
        <v>36.24</v>
      </c>
      <c r="I306" s="75"/>
      <c r="J306" s="68">
        <v>0</v>
      </c>
      <c r="K306" s="75"/>
      <c r="L306" s="68">
        <v>0</v>
      </c>
      <c r="M306" s="75"/>
      <c r="N306" s="68">
        <v>0</v>
      </c>
      <c r="O306" s="75"/>
      <c r="P306" s="68">
        <v>0</v>
      </c>
      <c r="Q306" s="75"/>
      <c r="R306" s="68">
        <v>322.32000000000022</v>
      </c>
      <c r="S306" s="75"/>
      <c r="T306" s="68">
        <v>304.20000000000016</v>
      </c>
    </row>
    <row r="307" spans="1:20" ht="14.1" customHeight="1" x14ac:dyDescent="0.2">
      <c r="A307" s="84">
        <v>16</v>
      </c>
      <c r="C307" s="237"/>
      <c r="D307" s="84" t="s">
        <v>233</v>
      </c>
      <c r="F307" s="111">
        <v>8172744.9000000004</v>
      </c>
      <c r="G307" s="75"/>
      <c r="H307" s="111">
        <v>922295.13999999978</v>
      </c>
      <c r="I307" s="75"/>
      <c r="J307" s="111">
        <v>0</v>
      </c>
      <c r="K307" s="75"/>
      <c r="L307" s="111">
        <v>-13347.59</v>
      </c>
      <c r="M307" s="75"/>
      <c r="N307" s="111">
        <v>-7652.2099999999991</v>
      </c>
      <c r="O307" s="75"/>
      <c r="P307" s="111">
        <v>0</v>
      </c>
      <c r="Q307" s="75"/>
      <c r="R307" s="111">
        <v>9074040.2400000002</v>
      </c>
      <c r="S307" s="75"/>
      <c r="T307" s="111">
        <v>8620493.4523076937</v>
      </c>
    </row>
    <row r="308" spans="1:20" ht="14.1" customHeight="1" x14ac:dyDescent="0.2">
      <c r="A308" s="84">
        <v>17</v>
      </c>
    </row>
    <row r="309" spans="1:20" ht="14.1" customHeight="1" x14ac:dyDescent="0.2">
      <c r="A309" s="84">
        <v>18</v>
      </c>
      <c r="B309" s="596"/>
      <c r="C309" s="237"/>
      <c r="D309" s="84" t="s">
        <v>234</v>
      </c>
    </row>
    <row r="310" spans="1:20" ht="14.1" customHeight="1" x14ac:dyDescent="0.2">
      <c r="A310" s="84">
        <v>19</v>
      </c>
      <c r="B310" s="596"/>
      <c r="C310" s="607">
        <v>34135</v>
      </c>
      <c r="D310" s="84" t="s">
        <v>161</v>
      </c>
      <c r="F310" s="68">
        <v>-194027.99000000005</v>
      </c>
      <c r="G310" s="75"/>
      <c r="H310" s="68">
        <v>20418.529999999995</v>
      </c>
      <c r="I310" s="75"/>
      <c r="J310" s="68">
        <v>0</v>
      </c>
      <c r="K310" s="75"/>
      <c r="L310" s="68">
        <v>0</v>
      </c>
      <c r="M310" s="75"/>
      <c r="N310" s="68">
        <v>0</v>
      </c>
      <c r="O310" s="75"/>
      <c r="P310" s="68">
        <v>0</v>
      </c>
      <c r="Q310" s="75"/>
      <c r="R310" s="68">
        <v>-173609.46000000005</v>
      </c>
      <c r="S310" s="75"/>
      <c r="T310" s="68">
        <v>-183826.51384615383</v>
      </c>
    </row>
    <row r="311" spans="1:20" ht="14.1" customHeight="1" x14ac:dyDescent="0.2">
      <c r="A311" s="84">
        <v>20</v>
      </c>
      <c r="B311" s="596"/>
      <c r="C311" s="607">
        <v>34235</v>
      </c>
      <c r="D311" s="84" t="s">
        <v>206</v>
      </c>
      <c r="F311" s="68">
        <v>472185.51000000106</v>
      </c>
      <c r="G311" s="75"/>
      <c r="H311" s="68">
        <v>72304.800000000003</v>
      </c>
      <c r="I311" s="75"/>
      <c r="J311" s="68">
        <v>0</v>
      </c>
      <c r="K311" s="75"/>
      <c r="L311" s="68">
        <v>-1505.6600000000003</v>
      </c>
      <c r="M311" s="75"/>
      <c r="N311" s="68">
        <v>-801.54</v>
      </c>
      <c r="O311" s="75"/>
      <c r="P311" s="68">
        <v>0</v>
      </c>
      <c r="Q311" s="75"/>
      <c r="R311" s="68">
        <v>542183.11000000103</v>
      </c>
      <c r="S311" s="75"/>
      <c r="T311" s="68">
        <v>506843.06384615501</v>
      </c>
    </row>
    <row r="312" spans="1:20" ht="14.1" customHeight="1" x14ac:dyDescent="0.2">
      <c r="A312" s="84">
        <v>21</v>
      </c>
      <c r="B312" s="596"/>
      <c r="C312" s="607">
        <v>34335</v>
      </c>
      <c r="D312" s="84" t="s">
        <v>207</v>
      </c>
      <c r="F312" s="68">
        <v>7993041.4500000076</v>
      </c>
      <c r="G312" s="75"/>
      <c r="H312" s="68">
        <v>743381.66999999993</v>
      </c>
      <c r="I312" s="75"/>
      <c r="J312" s="68">
        <v>0</v>
      </c>
      <c r="K312" s="75"/>
      <c r="L312" s="68">
        <v>-13935.150000000001</v>
      </c>
      <c r="M312" s="75"/>
      <c r="N312" s="68">
        <v>-7414.01</v>
      </c>
      <c r="O312" s="75"/>
      <c r="P312" s="68">
        <v>0</v>
      </c>
      <c r="Q312" s="75"/>
      <c r="R312" s="68">
        <v>8715073.9600000083</v>
      </c>
      <c r="S312" s="75"/>
      <c r="T312" s="68">
        <v>8350861.0061538564</v>
      </c>
    </row>
    <row r="313" spans="1:20" ht="14.1" customHeight="1" x14ac:dyDescent="0.2">
      <c r="A313" s="84">
        <v>22</v>
      </c>
      <c r="B313" s="596"/>
      <c r="C313" s="607">
        <v>34535</v>
      </c>
      <c r="D313" s="84" t="s">
        <v>164</v>
      </c>
      <c r="F313" s="68">
        <v>3132199.7900000014</v>
      </c>
      <c r="G313" s="75"/>
      <c r="H313" s="68">
        <v>405901.1999999999</v>
      </c>
      <c r="I313" s="75"/>
      <c r="J313" s="68">
        <v>0</v>
      </c>
      <c r="K313" s="75"/>
      <c r="L313" s="68">
        <v>0</v>
      </c>
      <c r="M313" s="75"/>
      <c r="N313" s="68">
        <v>0</v>
      </c>
      <c r="O313" s="75"/>
      <c r="P313" s="68">
        <v>0</v>
      </c>
      <c r="Q313" s="75"/>
      <c r="R313" s="68">
        <v>3538100.9900000012</v>
      </c>
      <c r="S313" s="75"/>
      <c r="T313" s="68">
        <v>3335150.3900000015</v>
      </c>
    </row>
    <row r="314" spans="1:20" ht="14.1" customHeight="1" x14ac:dyDescent="0.2">
      <c r="A314" s="84">
        <v>23</v>
      </c>
      <c r="B314" s="596"/>
      <c r="C314" s="607">
        <v>34635</v>
      </c>
      <c r="D314" s="84" t="s">
        <v>165</v>
      </c>
      <c r="F314" s="68">
        <v>0</v>
      </c>
      <c r="G314" s="75"/>
      <c r="H314" s="68">
        <v>0</v>
      </c>
      <c r="I314" s="75"/>
      <c r="J314" s="68">
        <v>0</v>
      </c>
      <c r="K314" s="75"/>
      <c r="L314" s="68">
        <v>0</v>
      </c>
      <c r="M314" s="75"/>
      <c r="N314" s="68">
        <v>0</v>
      </c>
      <c r="O314" s="75"/>
      <c r="P314" s="68">
        <v>0</v>
      </c>
      <c r="Q314" s="75"/>
      <c r="R314" s="68">
        <v>0</v>
      </c>
      <c r="S314" s="75"/>
      <c r="T314" s="68">
        <v>0</v>
      </c>
    </row>
    <row r="315" spans="1:20" ht="14.1" customHeight="1" x14ac:dyDescent="0.2">
      <c r="A315" s="84">
        <v>24</v>
      </c>
      <c r="B315" s="596"/>
      <c r="C315" s="237"/>
      <c r="D315" s="84" t="s">
        <v>235</v>
      </c>
      <c r="F315" s="111">
        <v>11403398.760000011</v>
      </c>
      <c r="G315" s="75"/>
      <c r="H315" s="111">
        <v>1242006.1999999997</v>
      </c>
      <c r="I315" s="75"/>
      <c r="J315" s="111">
        <v>0</v>
      </c>
      <c r="K315" s="75"/>
      <c r="L315" s="111">
        <v>-15440.810000000001</v>
      </c>
      <c r="M315" s="75"/>
      <c r="N315" s="111">
        <v>-8215.5499999999993</v>
      </c>
      <c r="O315" s="75"/>
      <c r="P315" s="111">
        <v>0</v>
      </c>
      <c r="Q315" s="75"/>
      <c r="R315" s="111">
        <v>12621748.600000009</v>
      </c>
      <c r="S315" s="75"/>
      <c r="T315" s="111">
        <v>12009027.946153861</v>
      </c>
    </row>
    <row r="316" spans="1:20" ht="14.1" customHeight="1" x14ac:dyDescent="0.2">
      <c r="A316" s="84">
        <v>25</v>
      </c>
      <c r="B316" s="596"/>
      <c r="C316" s="237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</row>
    <row r="317" spans="1:20" ht="14.1" customHeight="1" x14ac:dyDescent="0.2">
      <c r="A317" s="84">
        <v>26</v>
      </c>
      <c r="B317" s="596"/>
      <c r="C317" s="237"/>
      <c r="D317" s="84" t="s">
        <v>236</v>
      </c>
      <c r="G317" s="75"/>
      <c r="I317" s="75"/>
      <c r="K317" s="75"/>
      <c r="M317" s="75"/>
      <c r="O317" s="75"/>
      <c r="P317" s="240"/>
      <c r="Q317" s="75"/>
      <c r="S317" s="75"/>
    </row>
    <row r="318" spans="1:20" ht="14.1" customHeight="1" x14ac:dyDescent="0.2">
      <c r="A318" s="84">
        <v>27</v>
      </c>
      <c r="B318" s="596"/>
      <c r="C318" s="607">
        <v>34136</v>
      </c>
      <c r="D318" s="84" t="s">
        <v>161</v>
      </c>
      <c r="F318" s="68">
        <v>240872.1200000002</v>
      </c>
      <c r="G318" s="75"/>
      <c r="H318" s="68">
        <v>69062.039999999994</v>
      </c>
      <c r="I318" s="75"/>
      <c r="J318" s="68">
        <v>0</v>
      </c>
      <c r="K318" s="75"/>
      <c r="L318" s="68">
        <v>0</v>
      </c>
      <c r="M318" s="75"/>
      <c r="N318" s="68">
        <v>0</v>
      </c>
      <c r="O318" s="75"/>
      <c r="P318" s="68">
        <v>0</v>
      </c>
      <c r="Q318" s="75"/>
      <c r="R318" s="68">
        <v>309934.16000000021</v>
      </c>
      <c r="S318" s="75"/>
      <c r="T318" s="68">
        <v>275403.14000000019</v>
      </c>
    </row>
    <row r="319" spans="1:20" ht="14.1" customHeight="1" x14ac:dyDescent="0.2">
      <c r="A319" s="84">
        <v>28</v>
      </c>
      <c r="B319" s="596"/>
      <c r="C319" s="607">
        <v>34236</v>
      </c>
      <c r="D319" s="84" t="s">
        <v>206</v>
      </c>
      <c r="F319" s="68">
        <v>311992.69999999972</v>
      </c>
      <c r="G319" s="75"/>
      <c r="H319" s="68">
        <v>55341.960000000014</v>
      </c>
      <c r="I319" s="75"/>
      <c r="J319" s="68">
        <v>0</v>
      </c>
      <c r="K319" s="75"/>
      <c r="L319" s="68">
        <v>-1152.42</v>
      </c>
      <c r="M319" s="75"/>
      <c r="N319" s="68">
        <v>-613.5</v>
      </c>
      <c r="O319" s="75"/>
      <c r="P319" s="68">
        <v>0</v>
      </c>
      <c r="Q319" s="75"/>
      <c r="R319" s="68">
        <v>365568.73999999976</v>
      </c>
      <c r="S319" s="75"/>
      <c r="T319" s="68">
        <v>338519.46769230755</v>
      </c>
    </row>
    <row r="320" spans="1:20" ht="14.1" customHeight="1" x14ac:dyDescent="0.2">
      <c r="A320" s="84">
        <v>29</v>
      </c>
      <c r="B320" s="596"/>
      <c r="C320" s="607">
        <v>34336</v>
      </c>
      <c r="D320" s="84" t="s">
        <v>207</v>
      </c>
      <c r="F320" s="68">
        <v>8139022</v>
      </c>
      <c r="G320" s="75"/>
      <c r="H320" s="68">
        <v>699005.20000000007</v>
      </c>
      <c r="I320" s="75"/>
      <c r="J320" s="68">
        <v>0</v>
      </c>
      <c r="K320" s="75"/>
      <c r="L320" s="68">
        <v>-13102.14</v>
      </c>
      <c r="M320" s="75"/>
      <c r="N320" s="68">
        <v>-6971.9699999999993</v>
      </c>
      <c r="O320" s="75"/>
      <c r="P320" s="68">
        <v>0</v>
      </c>
      <c r="Q320" s="75"/>
      <c r="R320" s="68">
        <v>8817953.089999998</v>
      </c>
      <c r="S320" s="75"/>
      <c r="T320" s="68">
        <v>8475480.8469230756</v>
      </c>
    </row>
    <row r="321" spans="1:24" ht="14.1" customHeight="1" x14ac:dyDescent="0.2">
      <c r="A321" s="84">
        <v>30</v>
      </c>
      <c r="B321" s="596"/>
      <c r="C321" s="607">
        <v>34536</v>
      </c>
      <c r="D321" s="84" t="s">
        <v>164</v>
      </c>
      <c r="F321" s="68">
        <v>4304544.21</v>
      </c>
      <c r="G321" s="75"/>
      <c r="H321" s="68">
        <v>568369.31999999995</v>
      </c>
      <c r="I321" s="75"/>
      <c r="J321" s="68">
        <v>0</v>
      </c>
      <c r="K321" s="75"/>
      <c r="L321" s="68">
        <v>-1649.94</v>
      </c>
      <c r="M321" s="75"/>
      <c r="N321" s="68">
        <v>0</v>
      </c>
      <c r="O321" s="75"/>
      <c r="P321" s="68">
        <v>0</v>
      </c>
      <c r="Q321" s="75"/>
      <c r="R321" s="68">
        <v>4871263.59</v>
      </c>
      <c r="S321" s="75"/>
      <c r="T321" s="68">
        <v>4587332.7669230793</v>
      </c>
    </row>
    <row r="322" spans="1:24" ht="14.1" customHeight="1" x14ac:dyDescent="0.2">
      <c r="A322" s="84">
        <v>31</v>
      </c>
      <c r="B322" s="596"/>
      <c r="C322" s="607">
        <v>34636</v>
      </c>
      <c r="D322" s="84" t="s">
        <v>165</v>
      </c>
      <c r="F322" s="68">
        <v>3706.6799999999926</v>
      </c>
      <c r="G322" s="75"/>
      <c r="H322" s="68">
        <v>469.44</v>
      </c>
      <c r="I322" s="75"/>
      <c r="J322" s="68">
        <v>0</v>
      </c>
      <c r="K322" s="75"/>
      <c r="L322" s="68">
        <v>0</v>
      </c>
      <c r="M322" s="75"/>
      <c r="N322" s="68">
        <v>0</v>
      </c>
      <c r="O322" s="75"/>
      <c r="P322" s="68">
        <v>0</v>
      </c>
      <c r="Q322" s="75"/>
      <c r="R322" s="68">
        <v>4176.1199999999926</v>
      </c>
      <c r="S322" s="75"/>
      <c r="T322" s="68">
        <v>3941.3999999999919</v>
      </c>
    </row>
    <row r="323" spans="1:24" ht="14.1" customHeight="1" x14ac:dyDescent="0.2">
      <c r="A323" s="84">
        <v>32</v>
      </c>
      <c r="B323" s="596"/>
      <c r="C323" s="237"/>
      <c r="D323" s="84" t="s">
        <v>237</v>
      </c>
      <c r="F323" s="111">
        <v>13000137.710000001</v>
      </c>
      <c r="G323" s="75"/>
      <c r="H323" s="111">
        <v>1392247.96</v>
      </c>
      <c r="I323" s="75"/>
      <c r="J323" s="111">
        <v>0</v>
      </c>
      <c r="K323" s="75"/>
      <c r="L323" s="111">
        <v>-15904.5</v>
      </c>
      <c r="M323" s="75"/>
      <c r="N323" s="111">
        <v>-7585.4699999999993</v>
      </c>
      <c r="O323" s="75"/>
      <c r="P323" s="111">
        <v>0</v>
      </c>
      <c r="Q323" s="75"/>
      <c r="R323" s="111">
        <v>14368895.699999997</v>
      </c>
      <c r="S323" s="75"/>
      <c r="T323" s="111">
        <v>13680677.621538464</v>
      </c>
    </row>
    <row r="324" spans="1:24" ht="14.1" customHeight="1" x14ac:dyDescent="0.2">
      <c r="A324" s="84">
        <v>33</v>
      </c>
      <c r="B324" s="596"/>
      <c r="F324" s="238"/>
      <c r="G324" s="75"/>
      <c r="H324" s="238"/>
      <c r="I324" s="75"/>
      <c r="J324" s="238"/>
      <c r="K324" s="75"/>
      <c r="L324" s="238"/>
      <c r="M324" s="75"/>
      <c r="N324" s="238"/>
      <c r="O324" s="75"/>
      <c r="P324" s="238"/>
      <c r="Q324" s="75"/>
      <c r="R324" s="238"/>
      <c r="S324" s="75"/>
      <c r="T324" s="238"/>
    </row>
    <row r="325" spans="1:24" ht="14.1" customHeight="1" x14ac:dyDescent="0.2">
      <c r="A325" s="84">
        <v>34</v>
      </c>
      <c r="B325" s="596"/>
      <c r="C325" s="237">
        <v>34637</v>
      </c>
      <c r="D325" s="84" t="s">
        <v>238</v>
      </c>
      <c r="F325" s="99">
        <v>350925.40000000008</v>
      </c>
      <c r="G325" s="75"/>
      <c r="H325" s="99">
        <v>137444.75</v>
      </c>
      <c r="I325" s="75"/>
      <c r="J325" s="99">
        <v>-3814.44</v>
      </c>
      <c r="K325" s="75"/>
      <c r="L325" s="99">
        <v>0</v>
      </c>
      <c r="M325" s="75"/>
      <c r="N325" s="99">
        <v>0</v>
      </c>
      <c r="O325" s="75"/>
      <c r="P325" s="99">
        <v>0</v>
      </c>
      <c r="Q325" s="75"/>
      <c r="R325" s="99">
        <v>484555.71000000008</v>
      </c>
      <c r="S325" s="75"/>
      <c r="T325" s="99">
        <v>405912.58461538464</v>
      </c>
    </row>
    <row r="326" spans="1:24" ht="14.1" customHeight="1" x14ac:dyDescent="0.2">
      <c r="A326" s="84">
        <v>35</v>
      </c>
      <c r="B326" s="596"/>
      <c r="C326" s="237"/>
      <c r="F326" s="628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</row>
    <row r="327" spans="1:24" ht="14.1" customHeight="1" thickBot="1" x14ac:dyDescent="0.25">
      <c r="A327" s="84">
        <v>36</v>
      </c>
      <c r="B327" s="596"/>
      <c r="C327" s="237"/>
      <c r="D327" s="84" t="s">
        <v>73</v>
      </c>
      <c r="F327" s="55">
        <v>312688471.88999981</v>
      </c>
      <c r="G327" s="75"/>
      <c r="H327" s="55">
        <v>39580663.190000005</v>
      </c>
      <c r="I327" s="75"/>
      <c r="J327" s="55">
        <v>-1404050.79</v>
      </c>
      <c r="K327" s="75"/>
      <c r="L327" s="55">
        <v>-3300379.8499999996</v>
      </c>
      <c r="M327" s="75"/>
      <c r="N327" s="55">
        <v>-321169.68</v>
      </c>
      <c r="O327" s="75"/>
      <c r="P327" s="55">
        <v>0</v>
      </c>
      <c r="Q327" s="75"/>
      <c r="R327" s="55">
        <v>347243534.75999993</v>
      </c>
      <c r="S327" s="75"/>
      <c r="T327" s="55">
        <v>330405101.20769233</v>
      </c>
    </row>
    <row r="328" spans="1:24" ht="14.1" customHeight="1" thickTop="1" x14ac:dyDescent="0.2">
      <c r="A328" s="84">
        <v>37</v>
      </c>
      <c r="B328" s="596"/>
    </row>
    <row r="329" spans="1:24" ht="14.1" customHeight="1" x14ac:dyDescent="0.2">
      <c r="A329" s="84">
        <v>38</v>
      </c>
      <c r="B329" s="596"/>
    </row>
    <row r="330" spans="1:24" ht="14.1" customHeight="1" x14ac:dyDescent="0.2">
      <c r="A330" s="84">
        <v>39</v>
      </c>
      <c r="B330" s="596"/>
    </row>
    <row r="331" spans="1:24" ht="14.1" customHeight="1" x14ac:dyDescent="0.2">
      <c r="A331" s="84">
        <v>40</v>
      </c>
      <c r="B331" s="596"/>
    </row>
    <row r="332" spans="1:24" ht="14.1" customHeight="1" x14ac:dyDescent="0.2">
      <c r="A332" s="84">
        <v>41</v>
      </c>
      <c r="B332" s="596"/>
    </row>
    <row r="333" spans="1:24" ht="14.1" customHeight="1" x14ac:dyDescent="0.2">
      <c r="A333" s="84">
        <v>42</v>
      </c>
      <c r="B333" s="596"/>
    </row>
    <row r="334" spans="1:24" ht="14.1" customHeight="1" x14ac:dyDescent="0.2">
      <c r="A334" s="84">
        <v>43</v>
      </c>
      <c r="W334" s="339"/>
      <c r="X334" s="339"/>
    </row>
    <row r="335" spans="1:24" ht="14.1" customHeight="1" thickBot="1" x14ac:dyDescent="0.25">
      <c r="A335" s="114">
        <v>44</v>
      </c>
      <c r="B335" s="343" t="s">
        <v>186</v>
      </c>
      <c r="C335" s="631"/>
      <c r="D335" s="114"/>
      <c r="E335" s="114"/>
      <c r="F335" s="115"/>
      <c r="G335" s="115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</row>
    <row r="336" spans="1:24" ht="14.1" customHeight="1" x14ac:dyDescent="0.2">
      <c r="A336" s="84" t="s">
        <v>60</v>
      </c>
      <c r="R336" s="84" t="s">
        <v>60</v>
      </c>
    </row>
    <row r="337" spans="1:20" ht="14.1" customHeight="1" thickBot="1" x14ac:dyDescent="0.25">
      <c r="A337" s="114" t="s">
        <v>301</v>
      </c>
      <c r="B337" s="114"/>
      <c r="C337" s="114"/>
      <c r="D337" s="114"/>
      <c r="E337" s="114"/>
      <c r="F337" s="114" t="s">
        <v>302</v>
      </c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 t="s">
        <v>329</v>
      </c>
    </row>
    <row r="338" spans="1:20" ht="14.1" customHeight="1" x14ac:dyDescent="0.2">
      <c r="A338" s="84" t="s">
        <v>129</v>
      </c>
      <c r="B338" s="622"/>
      <c r="E338" s="88" t="s">
        <v>130</v>
      </c>
      <c r="F338" s="84" t="s">
        <v>303</v>
      </c>
      <c r="J338" s="623"/>
      <c r="K338" s="623"/>
      <c r="P338" s="623"/>
      <c r="Q338" s="623"/>
      <c r="R338" s="623" t="s">
        <v>132</v>
      </c>
      <c r="T338" s="604"/>
    </row>
    <row r="339" spans="1:20" ht="14.1" customHeight="1" x14ac:dyDescent="0.2">
      <c r="B339" s="622"/>
      <c r="F339" s="84" t="s">
        <v>304</v>
      </c>
      <c r="J339" s="88"/>
      <c r="K339" s="604"/>
      <c r="P339" s="88"/>
      <c r="Q339" s="88"/>
      <c r="R339" s="604" t="s">
        <v>844</v>
      </c>
      <c r="T339" s="88"/>
    </row>
    <row r="340" spans="1:20" ht="14.1" customHeight="1" x14ac:dyDescent="0.2">
      <c r="A340" s="84" t="s">
        <v>134</v>
      </c>
      <c r="B340" s="622"/>
      <c r="F340" s="84" t="s">
        <v>123</v>
      </c>
      <c r="J340" s="88"/>
      <c r="K340" s="604"/>
      <c r="L340" s="88"/>
      <c r="N340" s="88"/>
      <c r="Q340" s="88"/>
      <c r="R340" s="604"/>
      <c r="T340" s="88"/>
    </row>
    <row r="341" spans="1:20" ht="14.1" customHeight="1" x14ac:dyDescent="0.2">
      <c r="B341" s="622"/>
      <c r="F341" s="84" t="s">
        <v>123</v>
      </c>
      <c r="J341" s="88"/>
      <c r="K341" s="604"/>
      <c r="L341" s="88"/>
      <c r="N341" s="88"/>
      <c r="Q341" s="88"/>
      <c r="R341" s="604"/>
      <c r="T341" s="88"/>
    </row>
    <row r="342" spans="1:20" ht="14.1" customHeight="1" thickBot="1" x14ac:dyDescent="0.25">
      <c r="A342" s="114" t="s">
        <v>135</v>
      </c>
      <c r="B342" s="624"/>
      <c r="C342" s="114"/>
      <c r="D342" s="114"/>
      <c r="E342" s="114"/>
      <c r="F342" s="114" t="s">
        <v>123</v>
      </c>
      <c r="G342" s="114"/>
      <c r="H342" s="606"/>
      <c r="I342" s="114"/>
      <c r="J342" s="114"/>
      <c r="K342" s="114"/>
      <c r="L342" s="114"/>
      <c r="M342" s="114"/>
      <c r="N342" s="114"/>
      <c r="O342" s="114"/>
      <c r="P342" s="114"/>
      <c r="Q342" s="114"/>
      <c r="R342" s="625"/>
      <c r="S342" s="114"/>
      <c r="T342" s="114"/>
    </row>
    <row r="343" spans="1:20" ht="14.1" customHeight="1" x14ac:dyDescent="0.2">
      <c r="C343" s="607"/>
      <c r="D343" s="607"/>
      <c r="E343" s="607"/>
      <c r="F343" s="607"/>
      <c r="G343" s="607"/>
      <c r="H343" s="607"/>
      <c r="I343" s="607"/>
      <c r="J343" s="607"/>
      <c r="K343" s="607"/>
      <c r="L343" s="607"/>
      <c r="M343" s="607"/>
      <c r="N343" s="607"/>
      <c r="O343" s="607"/>
      <c r="P343" s="607"/>
      <c r="Q343" s="607"/>
      <c r="R343" s="607"/>
      <c r="S343" s="607"/>
      <c r="T343" s="607"/>
    </row>
    <row r="344" spans="1:20" ht="14.1" customHeight="1" x14ac:dyDescent="0.2">
      <c r="C344" s="607" t="s">
        <v>136</v>
      </c>
      <c r="D344" s="607" t="s">
        <v>137</v>
      </c>
      <c r="E344" s="607"/>
      <c r="F344" s="607" t="s">
        <v>138</v>
      </c>
      <c r="G344" s="607"/>
      <c r="H344" s="607" t="s">
        <v>139</v>
      </c>
      <c r="I344" s="607"/>
      <c r="J344" s="237" t="s">
        <v>140</v>
      </c>
      <c r="L344" s="607" t="s">
        <v>141</v>
      </c>
      <c r="M344" s="607"/>
      <c r="N344" s="607" t="s">
        <v>142</v>
      </c>
      <c r="O344" s="607"/>
      <c r="P344" s="607" t="s">
        <v>143</v>
      </c>
      <c r="Q344" s="607"/>
      <c r="R344" s="607" t="s">
        <v>144</v>
      </c>
      <c r="S344" s="607"/>
      <c r="T344" s="607" t="s">
        <v>305</v>
      </c>
    </row>
    <row r="345" spans="1:20" ht="14.1" customHeight="1" x14ac:dyDescent="0.2">
      <c r="C345" s="237" t="s">
        <v>145</v>
      </c>
      <c r="D345" s="237" t="s">
        <v>145</v>
      </c>
      <c r="F345" s="607" t="s">
        <v>41</v>
      </c>
      <c r="G345" s="237"/>
      <c r="H345" s="607" t="s">
        <v>40</v>
      </c>
      <c r="I345" s="237"/>
      <c r="J345" s="607"/>
      <c r="K345" s="237"/>
      <c r="L345" s="237"/>
      <c r="M345" s="237"/>
      <c r="N345" s="237"/>
      <c r="O345" s="237"/>
      <c r="P345" s="237"/>
      <c r="Q345" s="237"/>
      <c r="R345" s="237" t="s">
        <v>41</v>
      </c>
      <c r="T345" s="237"/>
    </row>
    <row r="346" spans="1:20" ht="14.1" customHeight="1" x14ac:dyDescent="0.2">
      <c r="A346" s="84" t="s">
        <v>146</v>
      </c>
      <c r="B346" s="237"/>
      <c r="C346" s="237" t="s">
        <v>147</v>
      </c>
      <c r="D346" s="237" t="s">
        <v>147</v>
      </c>
      <c r="E346" s="607"/>
      <c r="F346" s="237" t="s">
        <v>6</v>
      </c>
      <c r="G346" s="237"/>
      <c r="H346" s="237" t="s">
        <v>6</v>
      </c>
      <c r="I346" s="237"/>
      <c r="J346" s="237"/>
      <c r="K346" s="607"/>
      <c r="L346" s="237" t="s">
        <v>306</v>
      </c>
      <c r="M346" s="237"/>
      <c r="N346" s="237" t="s">
        <v>306</v>
      </c>
      <c r="O346" s="237"/>
      <c r="P346" s="237" t="s">
        <v>150</v>
      </c>
      <c r="Q346" s="607"/>
      <c r="R346" s="607" t="s">
        <v>6</v>
      </c>
      <c r="S346" s="607"/>
      <c r="T346" s="237" t="s">
        <v>151</v>
      </c>
    </row>
    <row r="347" spans="1:20" ht="14.1" customHeight="1" thickBot="1" x14ac:dyDescent="0.25">
      <c r="A347" s="114" t="s">
        <v>152</v>
      </c>
      <c r="B347" s="606"/>
      <c r="C347" s="606" t="s">
        <v>52</v>
      </c>
      <c r="D347" s="606" t="s">
        <v>153</v>
      </c>
      <c r="E347" s="606"/>
      <c r="F347" s="608" t="s">
        <v>154</v>
      </c>
      <c r="G347" s="608"/>
      <c r="H347" s="608" t="s">
        <v>307</v>
      </c>
      <c r="I347" s="609"/>
      <c r="J347" s="608" t="s">
        <v>18</v>
      </c>
      <c r="K347" s="609"/>
      <c r="L347" s="608" t="s">
        <v>19</v>
      </c>
      <c r="M347" s="609"/>
      <c r="N347" s="608" t="s">
        <v>54</v>
      </c>
      <c r="O347" s="609"/>
      <c r="P347" s="610" t="s">
        <v>157</v>
      </c>
      <c r="Q347" s="610"/>
      <c r="R347" s="610" t="s">
        <v>158</v>
      </c>
      <c r="S347" s="610"/>
      <c r="T347" s="610" t="s">
        <v>3</v>
      </c>
    </row>
    <row r="348" spans="1:20" ht="14.1" customHeight="1" x14ac:dyDescent="0.2">
      <c r="A348" s="84">
        <v>1</v>
      </c>
      <c r="B348" s="596"/>
    </row>
    <row r="349" spans="1:20" ht="14.1" customHeight="1" x14ac:dyDescent="0.2">
      <c r="A349" s="84">
        <v>2</v>
      </c>
      <c r="B349" s="596"/>
      <c r="D349" s="84" t="s">
        <v>841</v>
      </c>
    </row>
    <row r="350" spans="1:20" ht="14.1" customHeight="1" x14ac:dyDescent="0.2">
      <c r="A350" s="84">
        <v>3</v>
      </c>
      <c r="B350" s="596"/>
      <c r="C350" s="237">
        <v>34199</v>
      </c>
      <c r="D350" s="84" t="s">
        <v>239</v>
      </c>
      <c r="F350" s="68">
        <v>955464.1100000001</v>
      </c>
      <c r="G350" s="75"/>
      <c r="H350" s="68">
        <v>5003665.5500000007</v>
      </c>
      <c r="I350" s="75"/>
      <c r="J350" s="68">
        <v>0</v>
      </c>
      <c r="K350" s="75"/>
      <c r="L350" s="68">
        <v>0</v>
      </c>
      <c r="M350" s="75"/>
      <c r="N350" s="68">
        <v>0</v>
      </c>
      <c r="O350" s="75"/>
      <c r="P350" s="68">
        <v>0</v>
      </c>
      <c r="Q350" s="75"/>
      <c r="R350" s="68">
        <v>5959129.6600000001</v>
      </c>
      <c r="T350" s="68">
        <v>3154993.3953846162</v>
      </c>
    </row>
    <row r="351" spans="1:20" ht="14.1" customHeight="1" x14ac:dyDescent="0.2">
      <c r="A351" s="84">
        <v>4</v>
      </c>
      <c r="B351" s="596"/>
      <c r="C351" s="607">
        <v>34399</v>
      </c>
      <c r="D351" s="84" t="s">
        <v>313</v>
      </c>
      <c r="F351" s="68">
        <v>2829558.1299999994</v>
      </c>
      <c r="G351" s="75"/>
      <c r="H351" s="68">
        <v>8392197.9300000016</v>
      </c>
      <c r="I351" s="75"/>
      <c r="J351" s="68">
        <v>0</v>
      </c>
      <c r="K351" s="75"/>
      <c r="L351" s="68">
        <v>0</v>
      </c>
      <c r="M351" s="75"/>
      <c r="N351" s="68">
        <v>0</v>
      </c>
      <c r="O351" s="75"/>
      <c r="P351" s="68">
        <v>0</v>
      </c>
      <c r="Q351" s="75"/>
      <c r="R351" s="68">
        <v>11221756.060000001</v>
      </c>
      <c r="S351" s="75"/>
      <c r="T351" s="68">
        <v>6774901.0761538455</v>
      </c>
    </row>
    <row r="352" spans="1:20" ht="14.1" customHeight="1" x14ac:dyDescent="0.2">
      <c r="A352" s="84">
        <v>5</v>
      </c>
      <c r="B352" s="596"/>
      <c r="C352" s="607">
        <v>34599</v>
      </c>
      <c r="D352" s="84" t="s">
        <v>241</v>
      </c>
      <c r="F352" s="99">
        <v>786776.75999999989</v>
      </c>
      <c r="G352" s="75"/>
      <c r="H352" s="99">
        <v>2979972.93</v>
      </c>
      <c r="I352" s="75"/>
      <c r="J352" s="99">
        <v>0</v>
      </c>
      <c r="K352" s="75"/>
      <c r="L352" s="99">
        <v>0</v>
      </c>
      <c r="M352" s="75"/>
      <c r="N352" s="99">
        <v>0</v>
      </c>
      <c r="O352" s="75"/>
      <c r="P352" s="99">
        <v>0</v>
      </c>
      <c r="Q352" s="75"/>
      <c r="R352" s="99">
        <v>3766749.69</v>
      </c>
      <c r="S352" s="75"/>
      <c r="T352" s="99">
        <v>2185306.9761538464</v>
      </c>
    </row>
    <row r="353" spans="1:20" ht="14.1" customHeight="1" x14ac:dyDescent="0.2">
      <c r="A353" s="84">
        <v>6</v>
      </c>
      <c r="B353" s="596"/>
      <c r="D353" s="84" t="s">
        <v>398</v>
      </c>
      <c r="F353" s="240">
        <v>4571798.9999999991</v>
      </c>
      <c r="H353" s="240">
        <v>16375836.410000002</v>
      </c>
      <c r="J353" s="240">
        <v>0</v>
      </c>
      <c r="L353" s="240">
        <v>0</v>
      </c>
      <c r="N353" s="240">
        <v>0</v>
      </c>
      <c r="P353" s="240">
        <v>0</v>
      </c>
      <c r="R353" s="240">
        <v>20947635.41</v>
      </c>
      <c r="T353" s="240">
        <v>12115201.447692309</v>
      </c>
    </row>
    <row r="354" spans="1:20" ht="14.1" customHeight="1" x14ac:dyDescent="0.2">
      <c r="A354" s="84">
        <v>7</v>
      </c>
      <c r="B354" s="596"/>
      <c r="C354" s="607"/>
    </row>
    <row r="355" spans="1:20" ht="14.1" customHeight="1" thickBot="1" x14ac:dyDescent="0.25">
      <c r="A355" s="84">
        <v>8</v>
      </c>
      <c r="B355" s="596"/>
      <c r="D355" s="238" t="s">
        <v>66</v>
      </c>
      <c r="E355" s="238"/>
      <c r="F355" s="55">
        <v>680271930.02999973</v>
      </c>
      <c r="G355" s="75"/>
      <c r="H355" s="55">
        <v>100953276.91999999</v>
      </c>
      <c r="I355" s="75"/>
      <c r="J355" s="55">
        <v>-8020620.9199999999</v>
      </c>
      <c r="K355" s="75"/>
      <c r="L355" s="55">
        <v>-4415523.1099999994</v>
      </c>
      <c r="M355" s="75"/>
      <c r="N355" s="55">
        <v>-706226.54999999993</v>
      </c>
      <c r="O355" s="75"/>
      <c r="P355" s="55">
        <v>0</v>
      </c>
      <c r="Q355" s="75"/>
      <c r="R355" s="55">
        <v>768082836.36999977</v>
      </c>
      <c r="S355" s="75"/>
      <c r="T355" s="55">
        <v>723305836.26769221</v>
      </c>
    </row>
    <row r="356" spans="1:20" ht="14.1" customHeight="1" thickTop="1" x14ac:dyDescent="0.2">
      <c r="A356" s="84">
        <v>9</v>
      </c>
      <c r="B356" s="596"/>
      <c r="D356" s="238"/>
      <c r="E356" s="238"/>
      <c r="F356" s="238"/>
      <c r="G356" s="238"/>
      <c r="H356" s="75"/>
      <c r="I356" s="238"/>
      <c r="J356" s="238"/>
      <c r="K356" s="238"/>
      <c r="L356" s="238"/>
      <c r="M356" s="75"/>
      <c r="N356" s="238"/>
      <c r="O356" s="238"/>
      <c r="P356" s="238"/>
      <c r="Q356" s="238"/>
      <c r="R356" s="75"/>
      <c r="S356" s="238"/>
      <c r="T356" s="238"/>
    </row>
    <row r="357" spans="1:20" ht="14.1" customHeight="1" thickBot="1" x14ac:dyDescent="0.25">
      <c r="A357" s="84">
        <v>10</v>
      </c>
      <c r="B357" s="596"/>
      <c r="D357" s="84" t="s">
        <v>67</v>
      </c>
      <c r="F357" s="55">
        <v>1433893065.6699998</v>
      </c>
      <c r="G357" s="75"/>
      <c r="H357" s="55">
        <v>174875837.32999998</v>
      </c>
      <c r="I357" s="75"/>
      <c r="J357" s="55">
        <v>-16529525.370000001</v>
      </c>
      <c r="K357" s="75"/>
      <c r="L357" s="55">
        <v>-25228498.039999995</v>
      </c>
      <c r="M357" s="75"/>
      <c r="N357" s="55">
        <v>-705888.74999999988</v>
      </c>
      <c r="O357" s="75"/>
      <c r="P357" s="55">
        <v>43891.57</v>
      </c>
      <c r="Q357" s="75"/>
      <c r="R357" s="55">
        <v>1566348882.4099998</v>
      </c>
      <c r="S357" s="75"/>
      <c r="T357" s="55">
        <v>1500674236.8699999</v>
      </c>
    </row>
    <row r="358" spans="1:20" ht="14.1" customHeight="1" thickTop="1" x14ac:dyDescent="0.2">
      <c r="A358" s="84">
        <v>11</v>
      </c>
      <c r="B358" s="596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</row>
    <row r="359" spans="1:20" ht="14.1" customHeight="1" x14ac:dyDescent="0.2">
      <c r="A359" s="84">
        <v>12</v>
      </c>
      <c r="B359" s="596"/>
    </row>
    <row r="360" spans="1:20" ht="14.1" customHeight="1" x14ac:dyDescent="0.2">
      <c r="A360" s="84">
        <v>13</v>
      </c>
      <c r="B360" s="596"/>
      <c r="C360" s="237"/>
      <c r="D360" s="617" t="s">
        <v>124</v>
      </c>
      <c r="E360" s="617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</row>
    <row r="361" spans="1:20" ht="14.1" customHeight="1" x14ac:dyDescent="0.2">
      <c r="A361" s="84">
        <v>14</v>
      </c>
      <c r="B361" s="596"/>
      <c r="C361" s="607">
        <v>35001</v>
      </c>
      <c r="D361" s="84" t="s">
        <v>242</v>
      </c>
      <c r="F361" s="68">
        <v>4141497.5100000012</v>
      </c>
      <c r="G361" s="75"/>
      <c r="H361" s="68">
        <v>157406.12999999998</v>
      </c>
      <c r="I361" s="75"/>
      <c r="J361" s="68">
        <v>0</v>
      </c>
      <c r="K361" s="75"/>
      <c r="L361" s="68">
        <v>0</v>
      </c>
      <c r="M361" s="75"/>
      <c r="N361" s="68">
        <v>0</v>
      </c>
      <c r="O361" s="75"/>
      <c r="P361" s="68">
        <v>0</v>
      </c>
      <c r="Q361" s="75"/>
      <c r="R361" s="68">
        <v>4298903.6400000015</v>
      </c>
      <c r="S361" s="75"/>
      <c r="T361" s="68">
        <v>4220198.180769233</v>
      </c>
    </row>
    <row r="362" spans="1:20" ht="14.1" customHeight="1" x14ac:dyDescent="0.2">
      <c r="A362" s="84">
        <v>15</v>
      </c>
      <c r="B362" s="596"/>
      <c r="C362" s="607">
        <v>35200</v>
      </c>
      <c r="D362" s="84" t="s">
        <v>243</v>
      </c>
      <c r="F362" s="68">
        <v>9964130.6800000016</v>
      </c>
      <c r="G362" s="75"/>
      <c r="H362" s="68">
        <v>774955.03000000014</v>
      </c>
      <c r="I362" s="75"/>
      <c r="J362" s="68">
        <v>-92095.679999999993</v>
      </c>
      <c r="K362" s="75"/>
      <c r="L362" s="68">
        <v>-136315.66</v>
      </c>
      <c r="M362" s="75"/>
      <c r="N362" s="68">
        <v>0</v>
      </c>
      <c r="O362" s="75"/>
      <c r="P362" s="68">
        <v>-4383.01</v>
      </c>
      <c r="Q362" s="75"/>
      <c r="R362" s="68">
        <v>10506291.360000001</v>
      </c>
      <c r="S362" s="75"/>
      <c r="T362" s="68">
        <v>10226639.676153852</v>
      </c>
    </row>
    <row r="363" spans="1:20" ht="14.1" customHeight="1" x14ac:dyDescent="0.2">
      <c r="A363" s="84">
        <v>16</v>
      </c>
      <c r="B363" s="596"/>
      <c r="C363" s="607">
        <v>35300</v>
      </c>
      <c r="D363" s="617" t="s">
        <v>244</v>
      </c>
      <c r="E363" s="617"/>
      <c r="F363" s="68">
        <v>64347286.529999927</v>
      </c>
      <c r="G363" s="75"/>
      <c r="H363" s="68">
        <v>7009765.7299999995</v>
      </c>
      <c r="I363" s="75"/>
      <c r="J363" s="68">
        <v>-1515934.7700000003</v>
      </c>
      <c r="K363" s="75"/>
      <c r="L363" s="68">
        <v>-613121.69000000006</v>
      </c>
      <c r="M363" s="75"/>
      <c r="N363" s="68">
        <v>-115051.91999999998</v>
      </c>
      <c r="O363" s="75"/>
      <c r="P363" s="68">
        <v>-82877.66</v>
      </c>
      <c r="Q363" s="75"/>
      <c r="R363" s="68">
        <v>69030066.219999939</v>
      </c>
      <c r="S363" s="75"/>
      <c r="T363" s="68">
        <v>66476888.932307601</v>
      </c>
    </row>
    <row r="364" spans="1:20" ht="14.1" customHeight="1" x14ac:dyDescent="0.2">
      <c r="A364" s="84">
        <v>17</v>
      </c>
      <c r="B364" s="596"/>
      <c r="C364" s="607">
        <v>35400</v>
      </c>
      <c r="D364" s="617" t="s">
        <v>245</v>
      </c>
      <c r="E364" s="617"/>
      <c r="F364" s="68">
        <v>4502184.9299999913</v>
      </c>
      <c r="G364" s="75"/>
      <c r="H364" s="68">
        <v>117117.47999999997</v>
      </c>
      <c r="I364" s="75"/>
      <c r="J364" s="68">
        <v>0</v>
      </c>
      <c r="K364" s="75"/>
      <c r="L364" s="68">
        <v>0</v>
      </c>
      <c r="M364" s="75"/>
      <c r="N364" s="68">
        <v>0</v>
      </c>
      <c r="O364" s="75"/>
      <c r="P364" s="68">
        <v>0</v>
      </c>
      <c r="Q364" s="75"/>
      <c r="R364" s="68">
        <v>4619302.4099999908</v>
      </c>
      <c r="S364" s="75"/>
      <c r="T364" s="68">
        <v>4560743.6699999906</v>
      </c>
    </row>
    <row r="365" spans="1:20" ht="14.1" customHeight="1" x14ac:dyDescent="0.2">
      <c r="A365" s="84">
        <v>18</v>
      </c>
      <c r="B365" s="596"/>
      <c r="C365" s="607">
        <v>35500</v>
      </c>
      <c r="D365" s="84" t="s">
        <v>246</v>
      </c>
      <c r="F365" s="68">
        <v>90647277.170000061</v>
      </c>
      <c r="G365" s="75"/>
      <c r="H365" s="68">
        <v>12094684.080000002</v>
      </c>
      <c r="I365" s="75"/>
      <c r="J365" s="68">
        <v>-1799101.95</v>
      </c>
      <c r="K365" s="75"/>
      <c r="L365" s="68">
        <v>-2545701.9</v>
      </c>
      <c r="M365" s="75"/>
      <c r="N365" s="68">
        <v>-126391.25</v>
      </c>
      <c r="O365" s="75"/>
      <c r="P365" s="68">
        <v>-4941.9500000000007</v>
      </c>
      <c r="Q365" s="75"/>
      <c r="R365" s="68">
        <v>98265824.200000048</v>
      </c>
      <c r="S365" s="75"/>
      <c r="T365" s="68">
        <v>94457480.094615474</v>
      </c>
    </row>
    <row r="366" spans="1:20" ht="14.1" customHeight="1" x14ac:dyDescent="0.2">
      <c r="A366" s="84">
        <v>19</v>
      </c>
      <c r="B366" s="596"/>
      <c r="C366" s="607">
        <v>35600</v>
      </c>
      <c r="D366" s="84" t="s">
        <v>247</v>
      </c>
      <c r="F366" s="68">
        <v>25795848.18000007</v>
      </c>
      <c r="G366" s="75"/>
      <c r="H366" s="68">
        <v>4196706.5000000009</v>
      </c>
      <c r="I366" s="75"/>
      <c r="J366" s="68">
        <v>-2337521.8699999996</v>
      </c>
      <c r="K366" s="75"/>
      <c r="L366" s="68">
        <v>-1337708.6000000001</v>
      </c>
      <c r="M366" s="75"/>
      <c r="N366" s="68">
        <v>-57936.409999999996</v>
      </c>
      <c r="O366" s="75"/>
      <c r="P366" s="68">
        <v>0</v>
      </c>
      <c r="Q366" s="75"/>
      <c r="R366" s="68">
        <v>26259387.800000068</v>
      </c>
      <c r="S366" s="75"/>
      <c r="T366" s="68">
        <v>25726745.503846213</v>
      </c>
    </row>
    <row r="367" spans="1:20" ht="14.1" customHeight="1" x14ac:dyDescent="0.2">
      <c r="A367" s="84">
        <v>20</v>
      </c>
      <c r="B367" s="596"/>
      <c r="C367" s="607">
        <v>35601</v>
      </c>
      <c r="D367" s="84" t="s">
        <v>248</v>
      </c>
      <c r="F367" s="68">
        <v>1569187.209999993</v>
      </c>
      <c r="G367" s="75"/>
      <c r="H367" s="68">
        <v>42212.159999999996</v>
      </c>
      <c r="I367" s="75"/>
      <c r="J367" s="68">
        <v>0</v>
      </c>
      <c r="K367" s="75"/>
      <c r="L367" s="68">
        <v>0</v>
      </c>
      <c r="M367" s="75"/>
      <c r="N367" s="68">
        <v>0</v>
      </c>
      <c r="O367" s="75"/>
      <c r="P367" s="68">
        <v>0</v>
      </c>
      <c r="Q367" s="75"/>
      <c r="R367" s="68">
        <v>1611399.3699999929</v>
      </c>
      <c r="S367" s="75"/>
      <c r="T367" s="68">
        <v>1590293.2899999928</v>
      </c>
    </row>
    <row r="368" spans="1:20" ht="14.1" customHeight="1" x14ac:dyDescent="0.2">
      <c r="A368" s="84">
        <v>21</v>
      </c>
      <c r="B368" s="596"/>
      <c r="C368" s="607">
        <v>35700</v>
      </c>
      <c r="D368" s="84" t="s">
        <v>249</v>
      </c>
      <c r="F368" s="68">
        <v>1440245.520000003</v>
      </c>
      <c r="G368" s="75"/>
      <c r="H368" s="68">
        <v>64760.399999999987</v>
      </c>
      <c r="I368" s="75"/>
      <c r="J368" s="68">
        <v>0</v>
      </c>
      <c r="K368" s="75"/>
      <c r="L368" s="68">
        <v>-2697.0699999999988</v>
      </c>
      <c r="M368" s="75"/>
      <c r="N368" s="68">
        <v>-2107.44</v>
      </c>
      <c r="O368" s="75"/>
      <c r="P368" s="68">
        <v>0</v>
      </c>
      <c r="Q368" s="75"/>
      <c r="R368" s="68">
        <v>1500201.4100000029</v>
      </c>
      <c r="S368" s="75"/>
      <c r="T368" s="68">
        <v>1469379.6600000027</v>
      </c>
    </row>
    <row r="369" spans="1:23" ht="14.1" customHeight="1" x14ac:dyDescent="0.2">
      <c r="A369" s="84">
        <v>22</v>
      </c>
      <c r="B369" s="596"/>
      <c r="C369" s="607">
        <v>35800</v>
      </c>
      <c r="D369" s="84" t="s">
        <v>250</v>
      </c>
      <c r="F369" s="68">
        <v>2454947.1199999969</v>
      </c>
      <c r="G369" s="75"/>
      <c r="H369" s="68">
        <v>170313.84000000005</v>
      </c>
      <c r="I369" s="75"/>
      <c r="J369" s="68">
        <v>0</v>
      </c>
      <c r="K369" s="75"/>
      <c r="L369" s="68">
        <v>-5551.2199999999993</v>
      </c>
      <c r="M369" s="75"/>
      <c r="N369" s="68">
        <v>-2955.2300000000005</v>
      </c>
      <c r="O369" s="75"/>
      <c r="P369" s="68">
        <v>0</v>
      </c>
      <c r="Q369" s="75"/>
      <c r="R369" s="68">
        <v>2616754.5099999965</v>
      </c>
      <c r="S369" s="75"/>
      <c r="T369" s="68">
        <v>2534592.5876923036</v>
      </c>
    </row>
    <row r="370" spans="1:23" ht="14.1" customHeight="1" x14ac:dyDescent="0.2">
      <c r="A370" s="84">
        <v>23</v>
      </c>
      <c r="B370" s="596"/>
      <c r="C370" s="607">
        <v>35900</v>
      </c>
      <c r="D370" s="619" t="s">
        <v>251</v>
      </c>
      <c r="E370" s="619"/>
      <c r="F370" s="68">
        <v>2171691.7399999993</v>
      </c>
      <c r="G370" s="75"/>
      <c r="H370" s="68">
        <v>229194.15999999992</v>
      </c>
      <c r="I370" s="75"/>
      <c r="J370" s="68">
        <v>-10256.51</v>
      </c>
      <c r="K370" s="75"/>
      <c r="L370" s="68">
        <v>-27922.18</v>
      </c>
      <c r="M370" s="75"/>
      <c r="N370" s="68">
        <v>0</v>
      </c>
      <c r="O370" s="75"/>
      <c r="P370" s="68">
        <v>0</v>
      </c>
      <c r="Q370" s="75"/>
      <c r="R370" s="68">
        <v>2362707.2099999995</v>
      </c>
      <c r="S370" s="75"/>
      <c r="T370" s="68">
        <v>2262720.6438461528</v>
      </c>
    </row>
    <row r="371" spans="1:23" ht="14.1" customHeight="1" x14ac:dyDescent="0.2">
      <c r="A371" s="84">
        <v>24</v>
      </c>
      <c r="B371" s="596"/>
      <c r="C371" s="237"/>
      <c r="D371" s="619"/>
      <c r="E371" s="619"/>
      <c r="F371" s="111"/>
      <c r="G371" s="75"/>
      <c r="H371" s="111"/>
      <c r="I371" s="75"/>
      <c r="J371" s="111"/>
      <c r="K371" s="75"/>
      <c r="L371" s="111"/>
      <c r="M371" s="75"/>
      <c r="N371" s="111"/>
      <c r="O371" s="75"/>
      <c r="P371" s="111"/>
      <c r="Q371" s="75"/>
      <c r="R371" s="111"/>
      <c r="S371" s="75"/>
      <c r="T371" s="111"/>
    </row>
    <row r="372" spans="1:23" ht="14.1" customHeight="1" thickBot="1" x14ac:dyDescent="0.25">
      <c r="A372" s="84">
        <v>25</v>
      </c>
      <c r="B372" s="596"/>
      <c r="C372" s="237"/>
      <c r="D372" s="619" t="s">
        <v>166</v>
      </c>
      <c r="E372" s="619"/>
      <c r="F372" s="55">
        <v>207034296.59000006</v>
      </c>
      <c r="G372" s="75"/>
      <c r="H372" s="55">
        <v>24857115.510000002</v>
      </c>
      <c r="I372" s="75"/>
      <c r="J372" s="55">
        <v>-5754910.7799999993</v>
      </c>
      <c r="K372" s="75"/>
      <c r="L372" s="55">
        <v>-4669018.3199999994</v>
      </c>
      <c r="M372" s="75"/>
      <c r="N372" s="55">
        <v>-304442.24999999994</v>
      </c>
      <c r="O372" s="75"/>
      <c r="P372" s="55">
        <v>-92202.62</v>
      </c>
      <c r="Q372" s="75"/>
      <c r="R372" s="55">
        <v>221070838.13000005</v>
      </c>
      <c r="S372" s="75"/>
      <c r="T372" s="55">
        <v>213525682.23923078</v>
      </c>
      <c r="W372" s="339"/>
    </row>
    <row r="373" spans="1:23" ht="14.1" customHeight="1" thickTop="1" x14ac:dyDescent="0.2">
      <c r="A373" s="84">
        <v>26</v>
      </c>
    </row>
    <row r="374" spans="1:23" ht="14.1" customHeight="1" x14ac:dyDescent="0.2">
      <c r="A374" s="84">
        <v>27</v>
      </c>
      <c r="C374" s="237"/>
      <c r="D374" s="84" t="s">
        <v>125</v>
      </c>
      <c r="F374" s="627"/>
      <c r="G374" s="345"/>
      <c r="H374" s="345"/>
      <c r="I374" s="346"/>
      <c r="J374" s="346"/>
      <c r="K374" s="346"/>
      <c r="L374" s="346"/>
      <c r="M374" s="346"/>
      <c r="N374" s="346"/>
      <c r="O374" s="346"/>
      <c r="P374" s="346"/>
      <c r="Q374" s="346"/>
      <c r="R374" s="346"/>
      <c r="S374" s="346"/>
      <c r="T374" s="346"/>
    </row>
    <row r="375" spans="1:23" ht="14.1" customHeight="1" x14ac:dyDescent="0.2">
      <c r="A375" s="84">
        <v>28</v>
      </c>
      <c r="C375" s="237">
        <v>36001</v>
      </c>
      <c r="D375" s="619" t="s">
        <v>242</v>
      </c>
      <c r="E375" s="619"/>
      <c r="F375" s="68"/>
      <c r="G375" s="112"/>
      <c r="H375" s="68"/>
      <c r="I375" s="112"/>
      <c r="J375" s="68"/>
      <c r="K375" s="112"/>
      <c r="L375" s="68"/>
      <c r="M375" s="112"/>
      <c r="N375" s="68"/>
      <c r="O375" s="112"/>
      <c r="P375" s="68"/>
      <c r="Q375" s="112"/>
      <c r="R375" s="68"/>
      <c r="S375" s="112"/>
      <c r="T375" s="68"/>
    </row>
    <row r="376" spans="1:23" ht="14.1" customHeight="1" x14ac:dyDescent="0.2">
      <c r="A376" s="84">
        <v>29</v>
      </c>
      <c r="B376" s="596"/>
      <c r="C376" s="237">
        <v>36100</v>
      </c>
      <c r="D376" s="84" t="s">
        <v>243</v>
      </c>
      <c r="F376" s="68">
        <v>7077099.9799999977</v>
      </c>
      <c r="G376" s="75"/>
      <c r="H376" s="68">
        <v>432405.12</v>
      </c>
      <c r="I376" s="75"/>
      <c r="J376" s="68">
        <v>-21882.62</v>
      </c>
      <c r="K376" s="75"/>
      <c r="L376" s="68">
        <v>-42229.87</v>
      </c>
      <c r="M376" s="75"/>
      <c r="N376" s="68">
        <v>0</v>
      </c>
      <c r="O376" s="75"/>
      <c r="P376" s="68">
        <v>0</v>
      </c>
      <c r="Q376" s="75"/>
      <c r="R376" s="68">
        <v>7445392.6099999975</v>
      </c>
      <c r="S376" s="75"/>
      <c r="T376" s="68">
        <v>7254294.723076921</v>
      </c>
    </row>
    <row r="377" spans="1:23" ht="14.1" customHeight="1" x14ac:dyDescent="0.2">
      <c r="A377" s="84">
        <v>30</v>
      </c>
      <c r="B377" s="596"/>
      <c r="C377" s="237">
        <v>36200</v>
      </c>
      <c r="D377" s="84" t="s">
        <v>244</v>
      </c>
      <c r="F377" s="68">
        <v>57030359.349999979</v>
      </c>
      <c r="G377" s="75"/>
      <c r="H377" s="68">
        <v>5697606.5100000007</v>
      </c>
      <c r="I377" s="75"/>
      <c r="J377" s="68">
        <v>-2612940.4900000002</v>
      </c>
      <c r="K377" s="75"/>
      <c r="L377" s="68">
        <v>-760756.77</v>
      </c>
      <c r="M377" s="75"/>
      <c r="N377" s="68">
        <v>-88589.200000000012</v>
      </c>
      <c r="O377" s="75"/>
      <c r="P377" s="68">
        <v>82877.66</v>
      </c>
      <c r="Q377" s="75"/>
      <c r="R377" s="68">
        <v>59348557.059999965</v>
      </c>
      <c r="S377" s="75"/>
      <c r="T377" s="68">
        <v>57830335.932307675</v>
      </c>
    </row>
    <row r="378" spans="1:23" ht="14.1" customHeight="1" x14ac:dyDescent="0.2">
      <c r="A378" s="84">
        <v>31</v>
      </c>
      <c r="B378" s="596"/>
      <c r="C378" s="237">
        <v>36400</v>
      </c>
      <c r="D378" s="84" t="s">
        <v>252</v>
      </c>
      <c r="F378" s="68">
        <v>161297317.70000026</v>
      </c>
      <c r="G378" s="75"/>
      <c r="H378" s="68">
        <v>13981836.140000001</v>
      </c>
      <c r="I378" s="75"/>
      <c r="J378" s="68">
        <v>-4142823.6100000003</v>
      </c>
      <c r="K378" s="75"/>
      <c r="L378" s="68">
        <v>-4973073.1099999994</v>
      </c>
      <c r="M378" s="75"/>
      <c r="N378" s="68">
        <v>-113929.20999999999</v>
      </c>
      <c r="O378" s="75"/>
      <c r="P378" s="68">
        <v>-6484.2099999999991</v>
      </c>
      <c r="Q378" s="75"/>
      <c r="R378" s="68">
        <v>166042843.70000023</v>
      </c>
      <c r="S378" s="75"/>
      <c r="T378" s="68">
        <v>163725925.67230791</v>
      </c>
    </row>
    <row r="379" spans="1:23" ht="14.1" customHeight="1" x14ac:dyDescent="0.2">
      <c r="A379" s="84">
        <v>32</v>
      </c>
      <c r="B379" s="596"/>
      <c r="C379" s="237">
        <v>36500</v>
      </c>
      <c r="D379" s="84" t="s">
        <v>247</v>
      </c>
      <c r="F379" s="68">
        <v>135659277.73000008</v>
      </c>
      <c r="G379" s="75"/>
      <c r="H379" s="68">
        <v>7864613.71</v>
      </c>
      <c r="I379" s="75"/>
      <c r="J379" s="68">
        <v>-2219825.62</v>
      </c>
      <c r="K379" s="75"/>
      <c r="L379" s="68">
        <v>-1293907.7299999997</v>
      </c>
      <c r="M379" s="75"/>
      <c r="N379" s="68">
        <v>513230.96</v>
      </c>
      <c r="O379" s="75"/>
      <c r="P379" s="68">
        <v>50397.73</v>
      </c>
      <c r="Q379" s="75"/>
      <c r="R379" s="68">
        <v>140573786.78000009</v>
      </c>
      <c r="S379" s="75"/>
      <c r="T379" s="68">
        <v>138012376.71923086</v>
      </c>
    </row>
    <row r="380" spans="1:23" ht="14.1" customHeight="1" x14ac:dyDescent="0.2">
      <c r="A380" s="84">
        <v>33</v>
      </c>
      <c r="B380" s="596"/>
      <c r="C380" s="237">
        <v>36600</v>
      </c>
      <c r="D380" s="84" t="s">
        <v>249</v>
      </c>
      <c r="F380" s="68">
        <v>67529349.920000017</v>
      </c>
      <c r="G380" s="75"/>
      <c r="H380" s="68">
        <v>4965815.3499999996</v>
      </c>
      <c r="I380" s="75"/>
      <c r="J380" s="68">
        <v>-135000.66</v>
      </c>
      <c r="K380" s="75"/>
      <c r="L380" s="68">
        <v>-281064.03999999992</v>
      </c>
      <c r="M380" s="75"/>
      <c r="N380" s="68">
        <v>-103164.88</v>
      </c>
      <c r="O380" s="75"/>
      <c r="P380" s="68">
        <v>6214.9800000000005</v>
      </c>
      <c r="Q380" s="75"/>
      <c r="R380" s="68">
        <v>71982150.670000017</v>
      </c>
      <c r="S380" s="75"/>
      <c r="T380" s="68">
        <v>69690871.81230773</v>
      </c>
    </row>
    <row r="381" spans="1:23" ht="14.1" customHeight="1" x14ac:dyDescent="0.2">
      <c r="A381" s="84">
        <v>34</v>
      </c>
      <c r="B381" s="596"/>
      <c r="C381" s="237">
        <v>36700</v>
      </c>
      <c r="D381" s="84" t="s">
        <v>250</v>
      </c>
      <c r="F381" s="68">
        <v>71271987.209999949</v>
      </c>
      <c r="G381" s="75"/>
      <c r="H381" s="68">
        <v>8640052.3200000003</v>
      </c>
      <c r="I381" s="75"/>
      <c r="J381" s="68">
        <v>-3709379.8400000008</v>
      </c>
      <c r="K381" s="75"/>
      <c r="L381" s="68">
        <v>-1515817.0299999998</v>
      </c>
      <c r="M381" s="75"/>
      <c r="N381" s="68">
        <v>1207638.54</v>
      </c>
      <c r="O381" s="75"/>
      <c r="P381" s="68">
        <v>2331.7799999999997</v>
      </c>
      <c r="Q381" s="75"/>
      <c r="R381" s="68">
        <v>75896812.979999945</v>
      </c>
      <c r="S381" s="75"/>
      <c r="T381" s="68">
        <v>73261933.831538409</v>
      </c>
    </row>
    <row r="382" spans="1:23" ht="14.1" customHeight="1" x14ac:dyDescent="0.2">
      <c r="A382" s="84">
        <v>35</v>
      </c>
      <c r="B382" s="596"/>
      <c r="C382" s="237">
        <v>36800</v>
      </c>
      <c r="D382" s="84" t="s">
        <v>253</v>
      </c>
      <c r="F382" s="68">
        <v>258464690.77999967</v>
      </c>
      <c r="G382" s="75"/>
      <c r="H382" s="68">
        <v>29694877.409999996</v>
      </c>
      <c r="I382" s="75"/>
      <c r="J382" s="68">
        <v>-9579340.2099999972</v>
      </c>
      <c r="K382" s="75"/>
      <c r="L382" s="68">
        <v>-9659139.4299999997</v>
      </c>
      <c r="M382" s="75"/>
      <c r="N382" s="68">
        <v>1892335.4799999997</v>
      </c>
      <c r="O382" s="75"/>
      <c r="P382" s="68">
        <v>-44627.490000000005</v>
      </c>
      <c r="Q382" s="75"/>
      <c r="R382" s="68">
        <v>270768796.53999972</v>
      </c>
      <c r="S382" s="75"/>
      <c r="T382" s="68">
        <v>264618233.27846131</v>
      </c>
    </row>
    <row r="383" spans="1:23" ht="14.1" customHeight="1" x14ac:dyDescent="0.2">
      <c r="A383" s="84">
        <v>36</v>
      </c>
      <c r="B383" s="596"/>
      <c r="C383" s="237">
        <v>36900</v>
      </c>
      <c r="D383" s="84" t="s">
        <v>254</v>
      </c>
      <c r="F383" s="68">
        <v>56949386.79999996</v>
      </c>
      <c r="G383" s="75"/>
      <c r="H383" s="68">
        <v>2646026.7399999998</v>
      </c>
      <c r="I383" s="75"/>
      <c r="J383" s="68">
        <v>-78876.390000000014</v>
      </c>
      <c r="K383" s="75"/>
      <c r="L383" s="68">
        <v>-329990.67</v>
      </c>
      <c r="M383" s="75"/>
      <c r="N383" s="68">
        <v>36989.369999999995</v>
      </c>
      <c r="O383" s="75"/>
      <c r="P383" s="68">
        <v>-941.93999999999994</v>
      </c>
      <c r="Q383" s="75"/>
      <c r="R383" s="68">
        <v>59222593.909999959</v>
      </c>
      <c r="S383" s="75"/>
      <c r="T383" s="68">
        <v>58078963.723076895</v>
      </c>
    </row>
    <row r="384" spans="1:23" ht="14.1" customHeight="1" x14ac:dyDescent="0.2">
      <c r="A384" s="84">
        <v>37</v>
      </c>
      <c r="B384" s="629"/>
      <c r="C384" s="237">
        <v>36902</v>
      </c>
      <c r="D384" s="84" t="s">
        <v>255</v>
      </c>
      <c r="F384" s="68">
        <v>57471368.380000047</v>
      </c>
      <c r="G384" s="75"/>
      <c r="H384" s="68">
        <v>3500615.82</v>
      </c>
      <c r="I384" s="75"/>
      <c r="J384" s="68">
        <v>-261138.19</v>
      </c>
      <c r="K384" s="75"/>
      <c r="L384" s="68">
        <v>-289050.65000000002</v>
      </c>
      <c r="M384" s="75"/>
      <c r="N384" s="68">
        <v>97460.800000000003</v>
      </c>
      <c r="O384" s="75"/>
      <c r="P384" s="68">
        <v>-4019.64</v>
      </c>
      <c r="Q384" s="75"/>
      <c r="R384" s="68">
        <v>60515236.520000048</v>
      </c>
      <c r="S384" s="75"/>
      <c r="T384" s="68">
        <v>58950346.516923137</v>
      </c>
    </row>
    <row r="385" spans="1:20" ht="14.1" customHeight="1" x14ac:dyDescent="0.2">
      <c r="A385" s="84">
        <v>38</v>
      </c>
      <c r="B385" s="629"/>
      <c r="C385" s="237">
        <v>37000</v>
      </c>
      <c r="D385" s="84" t="s">
        <v>256</v>
      </c>
      <c r="F385" s="68">
        <v>33729462.229999997</v>
      </c>
      <c r="G385" s="75"/>
      <c r="H385" s="68">
        <v>5937316.8399999999</v>
      </c>
      <c r="I385" s="75"/>
      <c r="J385" s="68">
        <v>-1287421.1400000001</v>
      </c>
      <c r="K385" s="75"/>
      <c r="L385" s="68">
        <v>-6844823.5600000005</v>
      </c>
      <c r="M385" s="75"/>
      <c r="N385" s="68">
        <v>62411.749999999993</v>
      </c>
      <c r="O385" s="75"/>
      <c r="P385" s="68">
        <v>0</v>
      </c>
      <c r="Q385" s="75"/>
      <c r="R385" s="68">
        <v>31596946.119999997</v>
      </c>
      <c r="S385" s="75"/>
      <c r="T385" s="68">
        <v>34452279.812307693</v>
      </c>
    </row>
    <row r="386" spans="1:20" ht="14.1" customHeight="1" x14ac:dyDescent="0.2">
      <c r="A386" s="84">
        <v>39</v>
      </c>
      <c r="B386" s="629"/>
      <c r="C386" s="237">
        <v>37300</v>
      </c>
      <c r="D386" s="84" t="s">
        <v>257</v>
      </c>
      <c r="F386" s="68">
        <v>114166246.25000013</v>
      </c>
      <c r="G386" s="75"/>
      <c r="H386" s="68">
        <v>13742580.98</v>
      </c>
      <c r="I386" s="75"/>
      <c r="J386" s="68">
        <v>-8883768.0399999991</v>
      </c>
      <c r="K386" s="75"/>
      <c r="L386" s="68">
        <v>-1162680.1599999999</v>
      </c>
      <c r="M386" s="75"/>
      <c r="N386" s="68">
        <v>-197671.62</v>
      </c>
      <c r="O386" s="75"/>
      <c r="P386" s="68">
        <v>4632558.9900000012</v>
      </c>
      <c r="Q386" s="75"/>
      <c r="R386" s="68">
        <v>122297266.40000014</v>
      </c>
      <c r="S386" s="75"/>
      <c r="T386" s="68">
        <v>118683615.28307702</v>
      </c>
    </row>
    <row r="387" spans="1:20" ht="14.1" customHeight="1" x14ac:dyDescent="0.2">
      <c r="A387" s="84">
        <v>40</v>
      </c>
      <c r="B387" s="629"/>
      <c r="D387" s="617"/>
      <c r="E387" s="617"/>
      <c r="F387" s="111"/>
      <c r="G387" s="75"/>
      <c r="H387" s="111"/>
      <c r="I387" s="75"/>
      <c r="J387" s="111"/>
      <c r="K387" s="75"/>
      <c r="L387" s="111"/>
      <c r="M387" s="75"/>
      <c r="N387" s="111"/>
      <c r="O387" s="75"/>
      <c r="P387" s="111"/>
      <c r="Q387" s="75"/>
      <c r="R387" s="111"/>
      <c r="S387" s="75"/>
      <c r="T387" s="111"/>
    </row>
    <row r="388" spans="1:20" ht="14.1" customHeight="1" thickBot="1" x14ac:dyDescent="0.25">
      <c r="A388" s="84">
        <v>41</v>
      </c>
      <c r="B388" s="629"/>
      <c r="D388" s="84" t="s">
        <v>169</v>
      </c>
      <c r="F388" s="55">
        <v>1020646546.3300002</v>
      </c>
      <c r="G388" s="75"/>
      <c r="H388" s="55">
        <v>97103746.939999998</v>
      </c>
      <c r="I388" s="75"/>
      <c r="J388" s="55">
        <v>-32932396.809999999</v>
      </c>
      <c r="K388" s="75"/>
      <c r="L388" s="55">
        <v>-27152533.02</v>
      </c>
      <c r="M388" s="75"/>
      <c r="N388" s="55">
        <v>3306711.9899999993</v>
      </c>
      <c r="O388" s="75"/>
      <c r="P388" s="55">
        <v>4718307.8600000013</v>
      </c>
      <c r="Q388" s="75"/>
      <c r="R388" s="55">
        <v>1065690383.2900001</v>
      </c>
      <c r="S388" s="75"/>
      <c r="T388" s="55">
        <v>1044559177.3046157</v>
      </c>
    </row>
    <row r="389" spans="1:20" ht="14.1" customHeight="1" thickTop="1" x14ac:dyDescent="0.2">
      <c r="A389" s="84">
        <v>42</v>
      </c>
      <c r="B389" s="629"/>
      <c r="G389" s="75"/>
      <c r="I389" s="75"/>
      <c r="K389" s="75"/>
      <c r="M389" s="75"/>
      <c r="O389" s="75"/>
      <c r="Q389" s="75"/>
      <c r="S389" s="75"/>
    </row>
    <row r="390" spans="1:20" ht="14.1" customHeight="1" x14ac:dyDescent="0.2">
      <c r="A390" s="84">
        <v>43</v>
      </c>
      <c r="B390" s="596"/>
    </row>
    <row r="391" spans="1:20" ht="14.1" customHeight="1" thickBot="1" x14ac:dyDescent="0.25">
      <c r="A391" s="84">
        <v>44</v>
      </c>
      <c r="B391" s="343" t="s">
        <v>186</v>
      </c>
      <c r="C391" s="631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</row>
    <row r="392" spans="1:20" ht="14.1" customHeight="1" x14ac:dyDescent="0.2">
      <c r="A392" s="84" t="s">
        <v>60</v>
      </c>
      <c r="R392" s="84" t="s">
        <v>60</v>
      </c>
    </row>
    <row r="393" spans="1:20" ht="14.1" customHeight="1" thickBot="1" x14ac:dyDescent="0.25">
      <c r="A393" s="114" t="s">
        <v>301</v>
      </c>
      <c r="B393" s="114"/>
      <c r="C393" s="114"/>
      <c r="D393" s="114"/>
      <c r="E393" s="114"/>
      <c r="F393" s="114" t="s">
        <v>302</v>
      </c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 t="s">
        <v>330</v>
      </c>
    </row>
    <row r="394" spans="1:20" ht="14.1" customHeight="1" x14ac:dyDescent="0.2">
      <c r="A394" s="84" t="s">
        <v>129</v>
      </c>
      <c r="B394" s="622"/>
      <c r="E394" s="88" t="s">
        <v>130</v>
      </c>
      <c r="F394" s="84" t="s">
        <v>303</v>
      </c>
      <c r="J394" s="623"/>
      <c r="K394" s="623"/>
      <c r="P394" s="623"/>
      <c r="Q394" s="623"/>
      <c r="R394" s="623" t="s">
        <v>132</v>
      </c>
      <c r="T394" s="604"/>
    </row>
    <row r="395" spans="1:20" ht="14.1" customHeight="1" x14ac:dyDescent="0.2">
      <c r="B395" s="622"/>
      <c r="F395" s="84" t="s">
        <v>304</v>
      </c>
      <c r="J395" s="88"/>
      <c r="K395" s="604"/>
      <c r="P395" s="88"/>
      <c r="Q395" s="88"/>
      <c r="R395" s="604" t="s">
        <v>844</v>
      </c>
      <c r="T395" s="88"/>
    </row>
    <row r="396" spans="1:20" ht="14.1" customHeight="1" x14ac:dyDescent="0.2">
      <c r="A396" s="84" t="s">
        <v>134</v>
      </c>
      <c r="B396" s="622"/>
      <c r="F396" s="84" t="s">
        <v>123</v>
      </c>
      <c r="J396" s="88"/>
      <c r="K396" s="604"/>
      <c r="L396" s="88"/>
      <c r="N396" s="88"/>
      <c r="Q396" s="88"/>
      <c r="R396" s="604"/>
      <c r="T396" s="88"/>
    </row>
    <row r="397" spans="1:20" ht="14.1" customHeight="1" x14ac:dyDescent="0.2">
      <c r="B397" s="622"/>
      <c r="F397" s="84" t="s">
        <v>123</v>
      </c>
      <c r="J397" s="88"/>
      <c r="K397" s="604"/>
      <c r="L397" s="88"/>
      <c r="N397" s="88"/>
      <c r="Q397" s="88"/>
      <c r="R397" s="604"/>
      <c r="T397" s="88"/>
    </row>
    <row r="398" spans="1:20" ht="14.1" customHeight="1" thickBot="1" x14ac:dyDescent="0.25">
      <c r="A398" s="114" t="s">
        <v>135</v>
      </c>
      <c r="B398" s="624"/>
      <c r="C398" s="114"/>
      <c r="D398" s="114"/>
      <c r="E398" s="114"/>
      <c r="F398" s="114" t="s">
        <v>123</v>
      </c>
      <c r="G398" s="114"/>
      <c r="H398" s="606"/>
      <c r="I398" s="114"/>
      <c r="J398" s="114"/>
      <c r="K398" s="114"/>
      <c r="L398" s="114"/>
      <c r="M398" s="114"/>
      <c r="N398" s="114"/>
      <c r="O398" s="114"/>
      <c r="P398" s="114"/>
      <c r="Q398" s="114"/>
      <c r="R398" s="625"/>
      <c r="S398" s="114"/>
      <c r="T398" s="114"/>
    </row>
    <row r="399" spans="1:20" ht="14.1" customHeight="1" x14ac:dyDescent="0.2">
      <c r="C399" s="607"/>
      <c r="D399" s="607"/>
      <c r="E399" s="607"/>
      <c r="F399" s="607"/>
      <c r="G399" s="607"/>
      <c r="H399" s="607"/>
      <c r="I399" s="607"/>
      <c r="J399" s="607"/>
      <c r="K399" s="607"/>
      <c r="L399" s="607"/>
      <c r="M399" s="607"/>
      <c r="N399" s="607"/>
      <c r="O399" s="607"/>
      <c r="P399" s="607"/>
      <c r="Q399" s="607"/>
      <c r="R399" s="607"/>
      <c r="S399" s="607"/>
      <c r="T399" s="607"/>
    </row>
    <row r="400" spans="1:20" ht="14.1" customHeight="1" x14ac:dyDescent="0.2">
      <c r="C400" s="607" t="s">
        <v>136</v>
      </c>
      <c r="D400" s="607" t="s">
        <v>137</v>
      </c>
      <c r="E400" s="607"/>
      <c r="F400" s="607" t="s">
        <v>138</v>
      </c>
      <c r="G400" s="607"/>
      <c r="H400" s="607" t="s">
        <v>139</v>
      </c>
      <c r="I400" s="607"/>
      <c r="J400" s="237" t="s">
        <v>140</v>
      </c>
      <c r="L400" s="607" t="s">
        <v>141</v>
      </c>
      <c r="M400" s="607"/>
      <c r="N400" s="607" t="s">
        <v>142</v>
      </c>
      <c r="O400" s="607"/>
      <c r="P400" s="607" t="s">
        <v>143</v>
      </c>
      <c r="Q400" s="607"/>
      <c r="R400" s="607" t="s">
        <v>144</v>
      </c>
      <c r="S400" s="607"/>
      <c r="T400" s="607" t="s">
        <v>305</v>
      </c>
    </row>
    <row r="401" spans="1:20" ht="14.1" customHeight="1" x14ac:dyDescent="0.2">
      <c r="C401" s="237" t="s">
        <v>145</v>
      </c>
      <c r="D401" s="237" t="s">
        <v>145</v>
      </c>
      <c r="F401" s="607" t="s">
        <v>41</v>
      </c>
      <c r="G401" s="237"/>
      <c r="H401" s="607" t="s">
        <v>40</v>
      </c>
      <c r="I401" s="237"/>
      <c r="J401" s="607"/>
      <c r="K401" s="237"/>
      <c r="L401" s="237"/>
      <c r="M401" s="237"/>
      <c r="N401" s="237"/>
      <c r="O401" s="237"/>
      <c r="P401" s="237"/>
      <c r="Q401" s="237"/>
      <c r="R401" s="237" t="s">
        <v>41</v>
      </c>
      <c r="T401" s="237"/>
    </row>
    <row r="402" spans="1:20" ht="14.1" customHeight="1" x14ac:dyDescent="0.2">
      <c r="A402" s="84" t="s">
        <v>146</v>
      </c>
      <c r="B402" s="237"/>
      <c r="C402" s="237" t="s">
        <v>147</v>
      </c>
      <c r="D402" s="237" t="s">
        <v>147</v>
      </c>
      <c r="E402" s="607"/>
      <c r="F402" s="237" t="s">
        <v>6</v>
      </c>
      <c r="G402" s="237"/>
      <c r="H402" s="237" t="s">
        <v>6</v>
      </c>
      <c r="I402" s="237"/>
      <c r="J402" s="237"/>
      <c r="K402" s="607"/>
      <c r="L402" s="237" t="s">
        <v>306</v>
      </c>
      <c r="M402" s="237"/>
      <c r="N402" s="237" t="s">
        <v>306</v>
      </c>
      <c r="O402" s="237"/>
      <c r="P402" s="237" t="s">
        <v>150</v>
      </c>
      <c r="Q402" s="607"/>
      <c r="R402" s="607" t="s">
        <v>6</v>
      </c>
      <c r="S402" s="607"/>
      <c r="T402" s="237" t="s">
        <v>151</v>
      </c>
    </row>
    <row r="403" spans="1:20" ht="14.1" customHeight="1" thickBot="1" x14ac:dyDescent="0.25">
      <c r="A403" s="114" t="s">
        <v>152</v>
      </c>
      <c r="B403" s="606"/>
      <c r="C403" s="606" t="s">
        <v>52</v>
      </c>
      <c r="D403" s="606" t="s">
        <v>153</v>
      </c>
      <c r="E403" s="606"/>
      <c r="F403" s="608" t="s">
        <v>154</v>
      </c>
      <c r="G403" s="608"/>
      <c r="H403" s="608" t="s">
        <v>307</v>
      </c>
      <c r="I403" s="609"/>
      <c r="J403" s="608" t="s">
        <v>18</v>
      </c>
      <c r="K403" s="609"/>
      <c r="L403" s="608" t="s">
        <v>19</v>
      </c>
      <c r="M403" s="609"/>
      <c r="N403" s="608" t="s">
        <v>54</v>
      </c>
      <c r="O403" s="609"/>
      <c r="P403" s="610" t="s">
        <v>157</v>
      </c>
      <c r="Q403" s="610"/>
      <c r="R403" s="610" t="s">
        <v>158</v>
      </c>
      <c r="S403" s="610"/>
      <c r="T403" s="610" t="s">
        <v>3</v>
      </c>
    </row>
    <row r="404" spans="1:20" ht="14.1" customHeight="1" x14ac:dyDescent="0.2">
      <c r="A404" s="84">
        <v>1</v>
      </c>
      <c r="B404" s="596"/>
    </row>
    <row r="405" spans="1:20" ht="14.1" customHeight="1" x14ac:dyDescent="0.2">
      <c r="A405" s="84">
        <v>2</v>
      </c>
      <c r="B405" s="596"/>
      <c r="D405" s="617" t="s">
        <v>126</v>
      </c>
      <c r="E405" s="617"/>
      <c r="F405" s="344"/>
      <c r="G405" s="75"/>
      <c r="H405" s="112"/>
      <c r="I405" s="75"/>
      <c r="J405" s="112"/>
      <c r="K405" s="75"/>
      <c r="L405" s="112"/>
      <c r="M405" s="75"/>
      <c r="N405" s="112"/>
      <c r="O405" s="75"/>
      <c r="P405" s="112"/>
      <c r="Q405" s="75"/>
      <c r="R405" s="112"/>
      <c r="S405" s="75"/>
      <c r="T405" s="112"/>
    </row>
    <row r="406" spans="1:20" ht="14.1" customHeight="1" x14ac:dyDescent="0.2">
      <c r="A406" s="84">
        <v>3</v>
      </c>
      <c r="B406" s="596"/>
      <c r="C406" s="237">
        <v>39000</v>
      </c>
      <c r="D406" s="84" t="s">
        <v>243</v>
      </c>
      <c r="F406" s="68">
        <v>49055592.030000046</v>
      </c>
      <c r="G406" s="75"/>
      <c r="H406" s="68">
        <v>2744805.2299999995</v>
      </c>
      <c r="I406" s="75"/>
      <c r="J406" s="68">
        <v>-846129.97</v>
      </c>
      <c r="K406" s="75"/>
      <c r="L406" s="68">
        <v>-445513.5</v>
      </c>
      <c r="M406" s="75"/>
      <c r="N406" s="68">
        <v>0</v>
      </c>
      <c r="O406" s="75"/>
      <c r="P406" s="68">
        <v>71980.38</v>
      </c>
      <c r="Q406" s="75"/>
      <c r="R406" s="68">
        <v>50580734.170000046</v>
      </c>
      <c r="S406" s="75"/>
      <c r="T406" s="68">
        <v>49711789.933076963</v>
      </c>
    </row>
    <row r="407" spans="1:20" ht="14.1" customHeight="1" x14ac:dyDescent="0.2">
      <c r="A407" s="84">
        <v>4</v>
      </c>
      <c r="B407" s="596"/>
      <c r="C407" s="237">
        <v>39101</v>
      </c>
      <c r="D407" s="84" t="s">
        <v>258</v>
      </c>
      <c r="E407" s="240"/>
      <c r="F407" s="68">
        <v>1443402.6499999997</v>
      </c>
      <c r="G407" s="75"/>
      <c r="H407" s="68">
        <v>967266.04</v>
      </c>
      <c r="I407" s="75"/>
      <c r="J407" s="68">
        <v>-8739.5300000000007</v>
      </c>
      <c r="K407" s="75"/>
      <c r="L407" s="68">
        <v>0</v>
      </c>
      <c r="M407" s="75"/>
      <c r="N407" s="68">
        <v>0</v>
      </c>
      <c r="O407" s="75"/>
      <c r="P407" s="68">
        <v>56792.04</v>
      </c>
      <c r="Q407" s="75"/>
      <c r="R407" s="68">
        <v>2458721.1999999997</v>
      </c>
      <c r="S407" s="75"/>
      <c r="T407" s="68">
        <v>1890090.1384615379</v>
      </c>
    </row>
    <row r="408" spans="1:20" ht="14.1" customHeight="1" x14ac:dyDescent="0.2">
      <c r="A408" s="84">
        <v>5</v>
      </c>
      <c r="B408" s="596"/>
      <c r="C408" s="237">
        <v>39102</v>
      </c>
      <c r="D408" s="84" t="s">
        <v>259</v>
      </c>
      <c r="E408" s="240"/>
      <c r="F408" s="68">
        <v>4542840.2200000007</v>
      </c>
      <c r="G408" s="75"/>
      <c r="H408" s="68">
        <v>1620486.6199999999</v>
      </c>
      <c r="I408" s="75"/>
      <c r="J408" s="68">
        <v>-4071437.8899999997</v>
      </c>
      <c r="K408" s="75"/>
      <c r="L408" s="68">
        <v>0</v>
      </c>
      <c r="M408" s="75"/>
      <c r="N408" s="68">
        <v>0</v>
      </c>
      <c r="O408" s="75"/>
      <c r="P408" s="68">
        <v>570328.82999999996</v>
      </c>
      <c r="Q408" s="75"/>
      <c r="R408" s="68">
        <v>2662217.7800000012</v>
      </c>
      <c r="S408" s="75"/>
      <c r="T408" s="68">
        <v>4401238.33</v>
      </c>
    </row>
    <row r="409" spans="1:20" ht="14.1" customHeight="1" x14ac:dyDescent="0.2">
      <c r="A409" s="84">
        <v>6</v>
      </c>
      <c r="B409" s="596"/>
      <c r="C409" s="237">
        <v>39103</v>
      </c>
      <c r="D409" s="84" t="s">
        <v>260</v>
      </c>
      <c r="F409" s="68">
        <v>0</v>
      </c>
      <c r="G409" s="75"/>
      <c r="H409" s="68">
        <v>0</v>
      </c>
      <c r="I409" s="75"/>
      <c r="J409" s="68">
        <v>0</v>
      </c>
      <c r="K409" s="75"/>
      <c r="L409" s="68">
        <v>0</v>
      </c>
      <c r="M409" s="75"/>
      <c r="N409" s="68">
        <v>0</v>
      </c>
      <c r="O409" s="75"/>
      <c r="P409" s="68">
        <v>0</v>
      </c>
      <c r="Q409" s="75"/>
      <c r="R409" s="68">
        <v>0</v>
      </c>
      <c r="S409" s="75"/>
      <c r="T409" s="68">
        <v>0</v>
      </c>
    </row>
    <row r="410" spans="1:20" ht="14.1" customHeight="1" x14ac:dyDescent="0.2">
      <c r="A410" s="84">
        <v>7</v>
      </c>
      <c r="B410" s="596"/>
      <c r="C410" s="237">
        <v>39104</v>
      </c>
      <c r="D410" s="84" t="s">
        <v>261</v>
      </c>
      <c r="F410" s="68">
        <v>14048507.000000002</v>
      </c>
      <c r="G410" s="75"/>
      <c r="H410" s="68">
        <v>7353118.3900000006</v>
      </c>
      <c r="I410" s="75"/>
      <c r="J410" s="68">
        <v>-3964297.42</v>
      </c>
      <c r="K410" s="75"/>
      <c r="L410" s="68">
        <v>0</v>
      </c>
      <c r="M410" s="75"/>
      <c r="N410" s="68">
        <v>0</v>
      </c>
      <c r="O410" s="75"/>
      <c r="P410" s="68">
        <v>0</v>
      </c>
      <c r="Q410" s="75"/>
      <c r="R410" s="68">
        <v>17437327.969999999</v>
      </c>
      <c r="S410" s="75"/>
      <c r="T410" s="68">
        <v>16704475.899230771</v>
      </c>
    </row>
    <row r="411" spans="1:20" ht="14.1" customHeight="1" x14ac:dyDescent="0.2">
      <c r="A411" s="84">
        <v>8</v>
      </c>
      <c r="B411" s="596"/>
      <c r="C411" s="632">
        <v>39202</v>
      </c>
      <c r="D411" s="84" t="s">
        <v>262</v>
      </c>
      <c r="F411" s="68">
        <v>871601.19999999972</v>
      </c>
      <c r="G411" s="75"/>
      <c r="H411" s="68">
        <v>628672.10000000009</v>
      </c>
      <c r="I411" s="75"/>
      <c r="J411" s="68">
        <v>-187081.07</v>
      </c>
      <c r="K411" s="75"/>
      <c r="L411" s="68">
        <v>4423.1700000000019</v>
      </c>
      <c r="M411" s="75"/>
      <c r="N411" s="68">
        <v>663685.54</v>
      </c>
      <c r="O411" s="75"/>
      <c r="P411" s="68">
        <v>-24820.46</v>
      </c>
      <c r="Q411" s="75"/>
      <c r="R411" s="68">
        <v>1956480.4799999997</v>
      </c>
      <c r="S411" s="75"/>
      <c r="T411" s="68">
        <v>1199060.8484615383</v>
      </c>
    </row>
    <row r="412" spans="1:20" ht="14.1" customHeight="1" x14ac:dyDescent="0.2">
      <c r="A412" s="84">
        <v>9</v>
      </c>
      <c r="B412" s="596"/>
      <c r="C412" s="237">
        <v>39203</v>
      </c>
      <c r="D412" s="84" t="s">
        <v>263</v>
      </c>
      <c r="F412" s="68">
        <v>11295834.390000001</v>
      </c>
      <c r="G412" s="75"/>
      <c r="H412" s="68">
        <v>2731290.8099999996</v>
      </c>
      <c r="I412" s="75"/>
      <c r="J412" s="68">
        <v>-1322445.93</v>
      </c>
      <c r="K412" s="75"/>
      <c r="L412" s="68">
        <v>-46889.180000000008</v>
      </c>
      <c r="M412" s="75"/>
      <c r="N412" s="68">
        <v>-19153.330000000002</v>
      </c>
      <c r="O412" s="75"/>
      <c r="P412" s="68">
        <v>24820.46</v>
      </c>
      <c r="Q412" s="75"/>
      <c r="R412" s="68">
        <v>12663457.220000001</v>
      </c>
      <c r="S412" s="75"/>
      <c r="T412" s="68">
        <v>11953638.460000001</v>
      </c>
    </row>
    <row r="413" spans="1:20" ht="14.1" customHeight="1" x14ac:dyDescent="0.2">
      <c r="A413" s="84">
        <v>10</v>
      </c>
      <c r="B413" s="596"/>
      <c r="C413" s="237">
        <v>39204</v>
      </c>
      <c r="D413" s="619" t="s">
        <v>264</v>
      </c>
      <c r="E413" s="619"/>
      <c r="F413" s="68">
        <v>-1.5279510989785194E-10</v>
      </c>
      <c r="G413" s="75"/>
      <c r="H413" s="68">
        <v>0</v>
      </c>
      <c r="I413" s="75"/>
      <c r="J413" s="68">
        <v>0</v>
      </c>
      <c r="K413" s="75"/>
      <c r="L413" s="68">
        <v>0</v>
      </c>
      <c r="M413" s="75"/>
      <c r="N413" s="68">
        <v>0</v>
      </c>
      <c r="O413" s="75"/>
      <c r="P413" s="68">
        <v>0</v>
      </c>
      <c r="Q413" s="75"/>
      <c r="R413" s="68">
        <v>-1.5279510989785194E-10</v>
      </c>
      <c r="S413" s="75"/>
      <c r="T413" s="68">
        <v>-1.5279510989785194E-10</v>
      </c>
    </row>
    <row r="414" spans="1:20" ht="14.1" customHeight="1" x14ac:dyDescent="0.2">
      <c r="A414" s="84">
        <v>11</v>
      </c>
      <c r="B414" s="596"/>
      <c r="C414" s="632">
        <v>39212</v>
      </c>
      <c r="D414" s="84" t="s">
        <v>265</v>
      </c>
      <c r="F414" s="68">
        <v>798880.21000000089</v>
      </c>
      <c r="G414" s="75"/>
      <c r="H414" s="68">
        <v>464294.62999999995</v>
      </c>
      <c r="I414" s="75"/>
      <c r="J414" s="68">
        <v>-166809.71999999997</v>
      </c>
      <c r="K414" s="75"/>
      <c r="L414" s="68">
        <v>-2725.579999999999</v>
      </c>
      <c r="M414" s="75"/>
      <c r="N414" s="68">
        <v>95517.41</v>
      </c>
      <c r="O414" s="75"/>
      <c r="P414" s="68">
        <v>0</v>
      </c>
      <c r="Q414" s="75"/>
      <c r="R414" s="68">
        <v>1189156.9500000007</v>
      </c>
      <c r="S414" s="75"/>
      <c r="T414" s="68">
        <v>1071980.3169230779</v>
      </c>
    </row>
    <row r="415" spans="1:20" ht="14.1" customHeight="1" x14ac:dyDescent="0.2">
      <c r="A415" s="84">
        <v>12</v>
      </c>
      <c r="B415" s="596"/>
      <c r="C415" s="237">
        <v>39213</v>
      </c>
      <c r="D415" s="84" t="s">
        <v>266</v>
      </c>
      <c r="F415" s="68">
        <v>103730.81999999993</v>
      </c>
      <c r="G415" s="75"/>
      <c r="H415" s="68">
        <v>29458.41</v>
      </c>
      <c r="I415" s="75"/>
      <c r="J415" s="68">
        <v>-28928.880000000001</v>
      </c>
      <c r="K415" s="75"/>
      <c r="L415" s="68">
        <v>-534.57000000000016</v>
      </c>
      <c r="M415" s="75"/>
      <c r="N415" s="68">
        <v>-322.89</v>
      </c>
      <c r="O415" s="75"/>
      <c r="P415" s="68">
        <v>0</v>
      </c>
      <c r="Q415" s="75"/>
      <c r="R415" s="68">
        <v>103402.88999999991</v>
      </c>
      <c r="S415" s="75"/>
      <c r="T415" s="68">
        <v>113451.82999999991</v>
      </c>
    </row>
    <row r="416" spans="1:20" ht="14.1" customHeight="1" x14ac:dyDescent="0.2">
      <c r="A416" s="84">
        <v>13</v>
      </c>
      <c r="B416" s="596"/>
      <c r="C416" s="237">
        <v>39214</v>
      </c>
      <c r="D416" s="619" t="s">
        <v>267</v>
      </c>
      <c r="E416" s="619"/>
      <c r="F416" s="68">
        <v>0</v>
      </c>
      <c r="G416" s="75"/>
      <c r="H416" s="68">
        <v>0</v>
      </c>
      <c r="I416" s="75"/>
      <c r="J416" s="68">
        <v>0</v>
      </c>
      <c r="K416" s="75"/>
      <c r="L416" s="68">
        <v>0</v>
      </c>
      <c r="M416" s="75"/>
      <c r="N416" s="68">
        <v>0</v>
      </c>
      <c r="O416" s="75"/>
      <c r="P416" s="68">
        <v>0</v>
      </c>
      <c r="Q416" s="75"/>
      <c r="R416" s="68">
        <v>0</v>
      </c>
      <c r="S416" s="75"/>
      <c r="T416" s="68">
        <v>0</v>
      </c>
    </row>
    <row r="417" spans="1:20" ht="14.1" customHeight="1" x14ac:dyDescent="0.2">
      <c r="A417" s="84">
        <v>14</v>
      </c>
      <c r="B417" s="596"/>
      <c r="C417" s="237">
        <v>39300</v>
      </c>
      <c r="D417" s="619" t="s">
        <v>268</v>
      </c>
      <c r="E417" s="619"/>
      <c r="F417" s="68">
        <v>0</v>
      </c>
      <c r="G417" s="75"/>
      <c r="H417" s="68">
        <v>0</v>
      </c>
      <c r="I417" s="75"/>
      <c r="J417" s="68">
        <v>0</v>
      </c>
      <c r="K417" s="75"/>
      <c r="L417" s="68">
        <v>0</v>
      </c>
      <c r="M417" s="75"/>
      <c r="N417" s="68">
        <v>0</v>
      </c>
      <c r="O417" s="75"/>
      <c r="P417" s="68">
        <v>0</v>
      </c>
      <c r="Q417" s="75"/>
      <c r="R417" s="68">
        <v>0</v>
      </c>
      <c r="S417" s="75"/>
      <c r="T417" s="68">
        <v>0</v>
      </c>
    </row>
    <row r="418" spans="1:20" ht="14.1" customHeight="1" x14ac:dyDescent="0.2">
      <c r="A418" s="84">
        <v>15</v>
      </c>
      <c r="B418" s="596"/>
      <c r="C418" s="237">
        <v>39400</v>
      </c>
      <c r="D418" s="619" t="s">
        <v>269</v>
      </c>
      <c r="E418" s="619"/>
      <c r="F418" s="68">
        <v>6907435.9100000011</v>
      </c>
      <c r="G418" s="75"/>
      <c r="H418" s="68">
        <v>1865306.33</v>
      </c>
      <c r="I418" s="75"/>
      <c r="J418" s="68">
        <v>-3302652.7800000003</v>
      </c>
      <c r="K418" s="75"/>
      <c r="L418" s="68">
        <v>0</v>
      </c>
      <c r="M418" s="75"/>
      <c r="N418" s="68">
        <v>0</v>
      </c>
      <c r="O418" s="75"/>
      <c r="P418" s="68">
        <v>0</v>
      </c>
      <c r="Q418" s="75"/>
      <c r="R418" s="68">
        <v>5470089.4600000018</v>
      </c>
      <c r="S418" s="75"/>
      <c r="T418" s="68">
        <v>5128497.4500000011</v>
      </c>
    </row>
    <row r="419" spans="1:20" ht="14.1" customHeight="1" x14ac:dyDescent="0.2">
      <c r="A419" s="84">
        <v>16</v>
      </c>
      <c r="B419" s="596"/>
      <c r="C419" s="237">
        <v>39500</v>
      </c>
      <c r="D419" s="84" t="s">
        <v>270</v>
      </c>
      <c r="F419" s="68">
        <v>456966.75</v>
      </c>
      <c r="G419" s="75"/>
      <c r="H419" s="68">
        <v>284898.38</v>
      </c>
      <c r="I419" s="75"/>
      <c r="J419" s="68">
        <v>0</v>
      </c>
      <c r="K419" s="75"/>
      <c r="L419" s="68">
        <v>0</v>
      </c>
      <c r="M419" s="75"/>
      <c r="N419" s="68">
        <v>0</v>
      </c>
      <c r="O419" s="75"/>
      <c r="P419" s="68">
        <v>0</v>
      </c>
      <c r="Q419" s="75"/>
      <c r="R419" s="68">
        <v>741865.13</v>
      </c>
      <c r="S419" s="75"/>
      <c r="T419" s="68">
        <v>594188.92153846147</v>
      </c>
    </row>
    <row r="420" spans="1:20" ht="14.1" customHeight="1" x14ac:dyDescent="0.2">
      <c r="A420" s="84">
        <v>17</v>
      </c>
      <c r="B420" s="596"/>
      <c r="C420" s="237">
        <v>39600</v>
      </c>
      <c r="D420" s="84" t="s">
        <v>271</v>
      </c>
      <c r="F420" s="68">
        <v>0</v>
      </c>
      <c r="G420" s="75"/>
      <c r="H420" s="68">
        <v>0</v>
      </c>
      <c r="I420" s="75"/>
      <c r="J420" s="68">
        <v>0</v>
      </c>
      <c r="K420" s="75"/>
      <c r="L420" s="68">
        <v>0</v>
      </c>
      <c r="M420" s="75"/>
      <c r="N420" s="68">
        <v>0</v>
      </c>
      <c r="O420" s="75"/>
      <c r="P420" s="68">
        <v>0</v>
      </c>
      <c r="Q420" s="75"/>
      <c r="R420" s="68">
        <v>0</v>
      </c>
      <c r="S420" s="75"/>
      <c r="T420" s="68">
        <v>0</v>
      </c>
    </row>
    <row r="421" spans="1:20" ht="14.1" customHeight="1" x14ac:dyDescent="0.2">
      <c r="A421" s="84">
        <v>18</v>
      </c>
      <c r="B421" s="596"/>
      <c r="C421" s="237">
        <v>39700</v>
      </c>
      <c r="D421" s="619" t="s">
        <v>272</v>
      </c>
      <c r="E421" s="619"/>
      <c r="F421" s="68">
        <v>10330995.110000003</v>
      </c>
      <c r="G421" s="75"/>
      <c r="H421" s="68">
        <v>4874134.8</v>
      </c>
      <c r="I421" s="75"/>
      <c r="J421" s="68">
        <v>-1006749.26</v>
      </c>
      <c r="K421" s="75"/>
      <c r="L421" s="68">
        <v>0</v>
      </c>
      <c r="M421" s="75"/>
      <c r="N421" s="68">
        <v>0</v>
      </c>
      <c r="O421" s="75"/>
      <c r="P421" s="68">
        <v>23053.49</v>
      </c>
      <c r="Q421" s="75"/>
      <c r="R421" s="68">
        <v>14221434.140000004</v>
      </c>
      <c r="S421" s="75"/>
      <c r="T421" s="68">
        <v>12036041.790769236</v>
      </c>
    </row>
    <row r="422" spans="1:20" ht="14.1" customHeight="1" x14ac:dyDescent="0.2">
      <c r="A422" s="84">
        <v>19</v>
      </c>
      <c r="B422" s="596"/>
      <c r="C422" s="607">
        <v>39725</v>
      </c>
      <c r="D422" s="619" t="s">
        <v>273</v>
      </c>
      <c r="E422" s="619"/>
      <c r="F422" s="68">
        <v>23543274.659999974</v>
      </c>
      <c r="G422" s="75"/>
      <c r="H422" s="68">
        <v>1559663.67</v>
      </c>
      <c r="I422" s="75"/>
      <c r="J422" s="68">
        <v>-623576.65</v>
      </c>
      <c r="K422" s="75"/>
      <c r="L422" s="68">
        <v>-107797.78</v>
      </c>
      <c r="M422" s="75"/>
      <c r="N422" s="68">
        <v>17632.12</v>
      </c>
      <c r="O422" s="75"/>
      <c r="P422" s="68">
        <v>1932.75</v>
      </c>
      <c r="Q422" s="75"/>
      <c r="R422" s="68">
        <v>24391128.769999977</v>
      </c>
      <c r="S422" s="75"/>
      <c r="T422" s="68">
        <v>23888113.483076893</v>
      </c>
    </row>
    <row r="423" spans="1:20" ht="14.1" customHeight="1" x14ac:dyDescent="0.2">
      <c r="A423" s="84">
        <v>20</v>
      </c>
      <c r="B423" s="596"/>
      <c r="C423" s="607">
        <v>39800</v>
      </c>
      <c r="D423" s="619" t="s">
        <v>274</v>
      </c>
      <c r="E423" s="619"/>
      <c r="F423" s="68">
        <v>141092.51000000015</v>
      </c>
      <c r="G423" s="75"/>
      <c r="H423" s="68">
        <v>189250.22999999998</v>
      </c>
      <c r="I423" s="75"/>
      <c r="J423" s="68">
        <v>0</v>
      </c>
      <c r="K423" s="75"/>
      <c r="L423" s="68">
        <v>0</v>
      </c>
      <c r="M423" s="75"/>
      <c r="N423" s="68">
        <v>0</v>
      </c>
      <c r="O423" s="75"/>
      <c r="P423" s="68">
        <v>5859.32</v>
      </c>
      <c r="Q423" s="75"/>
      <c r="R423" s="68">
        <v>336202.06000000011</v>
      </c>
      <c r="S423" s="75"/>
      <c r="T423" s="68">
        <v>228613.66000000018</v>
      </c>
    </row>
    <row r="424" spans="1:20" ht="14.1" customHeight="1" x14ac:dyDescent="0.2">
      <c r="A424" s="84">
        <v>21</v>
      </c>
      <c r="B424" s="596"/>
      <c r="F424" s="111"/>
      <c r="G424" s="75"/>
      <c r="H424" s="111"/>
      <c r="I424" s="75"/>
      <c r="J424" s="111"/>
      <c r="K424" s="75"/>
      <c r="L424" s="111"/>
      <c r="M424" s="75"/>
      <c r="N424" s="111"/>
      <c r="O424" s="75"/>
      <c r="P424" s="111"/>
      <c r="Q424" s="75"/>
      <c r="R424" s="111"/>
      <c r="S424" s="75"/>
      <c r="T424" s="111"/>
    </row>
    <row r="425" spans="1:20" ht="14.1" customHeight="1" thickBot="1" x14ac:dyDescent="0.25">
      <c r="A425" s="84">
        <v>22</v>
      </c>
      <c r="B425" s="596"/>
      <c r="D425" s="619" t="s">
        <v>171</v>
      </c>
      <c r="E425" s="619"/>
      <c r="F425" s="55">
        <v>123540153.46000002</v>
      </c>
      <c r="G425" s="75"/>
      <c r="H425" s="55">
        <v>25312645.640000004</v>
      </c>
      <c r="I425" s="75"/>
      <c r="J425" s="55">
        <v>-15528849.100000001</v>
      </c>
      <c r="K425" s="75"/>
      <c r="L425" s="55">
        <v>-599037.44000000006</v>
      </c>
      <c r="M425" s="75"/>
      <c r="N425" s="55">
        <v>757358.85000000009</v>
      </c>
      <c r="O425" s="75"/>
      <c r="P425" s="55">
        <v>729946.80999999994</v>
      </c>
      <c r="Q425" s="110"/>
      <c r="R425" s="55">
        <v>134212218.22000004</v>
      </c>
      <c r="S425" s="75"/>
      <c r="T425" s="55">
        <v>128921181.06153849</v>
      </c>
    </row>
    <row r="426" spans="1:20" ht="14.1" customHeight="1" thickTop="1" x14ac:dyDescent="0.2">
      <c r="A426" s="84">
        <v>23</v>
      </c>
      <c r="B426" s="596"/>
      <c r="F426" s="91"/>
      <c r="G426" s="75"/>
      <c r="H426" s="91"/>
      <c r="I426" s="75"/>
      <c r="J426" s="91"/>
      <c r="K426" s="75"/>
      <c r="L426" s="91"/>
      <c r="M426" s="75"/>
      <c r="N426" s="91"/>
      <c r="O426" s="75"/>
      <c r="P426" s="91"/>
      <c r="Q426" s="75"/>
      <c r="R426" s="91"/>
      <c r="S426" s="75"/>
      <c r="T426" s="91"/>
    </row>
    <row r="427" spans="1:20" ht="14.1" customHeight="1" thickBot="1" x14ac:dyDescent="0.25">
      <c r="A427" s="84">
        <v>24</v>
      </c>
      <c r="B427" s="596"/>
      <c r="D427" s="615" t="s">
        <v>308</v>
      </c>
      <c r="E427" s="619"/>
      <c r="F427" s="648">
        <v>2785114062.0500002</v>
      </c>
      <c r="G427" s="75"/>
      <c r="H427" s="648">
        <v>322149345.41999996</v>
      </c>
      <c r="I427" s="75"/>
      <c r="J427" s="648">
        <v>-70745682.060000002</v>
      </c>
      <c r="K427" s="75"/>
      <c r="L427" s="648">
        <v>-57649086.819999993</v>
      </c>
      <c r="M427" s="75"/>
      <c r="N427" s="648">
        <v>3053739.8399999994</v>
      </c>
      <c r="O427" s="75"/>
      <c r="P427" s="648">
        <v>5399943.620000001</v>
      </c>
      <c r="Q427" s="110"/>
      <c r="R427" s="648">
        <v>2987322322.0500002</v>
      </c>
      <c r="S427" s="75"/>
      <c r="T427" s="648">
        <v>2887680277.4753852</v>
      </c>
    </row>
    <row r="428" spans="1:20" ht="14.1" customHeight="1" thickTop="1" x14ac:dyDescent="0.2">
      <c r="A428" s="84">
        <v>25</v>
      </c>
      <c r="B428" s="596"/>
    </row>
    <row r="429" spans="1:20" ht="14.1" customHeight="1" x14ac:dyDescent="0.2">
      <c r="A429" s="84">
        <v>26</v>
      </c>
      <c r="B429" s="596"/>
    </row>
    <row r="430" spans="1:20" ht="14.1" customHeight="1" x14ac:dyDescent="0.2">
      <c r="A430" s="84">
        <v>27</v>
      </c>
      <c r="B430" s="596"/>
      <c r="C430" s="237"/>
      <c r="D430" s="84" t="s">
        <v>275</v>
      </c>
      <c r="F430" s="627"/>
      <c r="G430" s="75"/>
      <c r="H430" s="345"/>
      <c r="I430" s="75"/>
      <c r="J430" s="346"/>
      <c r="K430" s="75"/>
      <c r="L430" s="346"/>
      <c r="M430" s="75"/>
      <c r="N430" s="346"/>
      <c r="O430" s="75"/>
      <c r="P430" s="346"/>
      <c r="Q430" s="75"/>
      <c r="R430" s="346"/>
      <c r="S430" s="75"/>
      <c r="T430" s="346"/>
    </row>
    <row r="431" spans="1:20" ht="14.1" customHeight="1" x14ac:dyDescent="0.2">
      <c r="A431" s="84">
        <v>28</v>
      </c>
      <c r="B431" s="596"/>
      <c r="C431" s="237" t="s">
        <v>276</v>
      </c>
      <c r="D431" s="100" t="s">
        <v>277</v>
      </c>
      <c r="E431" s="85"/>
      <c r="F431" s="68">
        <v>0</v>
      </c>
      <c r="G431" s="75"/>
      <c r="H431" s="68">
        <v>0</v>
      </c>
      <c r="I431" s="75"/>
      <c r="J431" s="68">
        <v>0</v>
      </c>
      <c r="K431" s="75"/>
      <c r="L431" s="68">
        <v>0</v>
      </c>
      <c r="M431" s="75"/>
      <c r="N431" s="68">
        <v>0</v>
      </c>
      <c r="O431" s="75"/>
      <c r="P431" s="68">
        <v>0</v>
      </c>
      <c r="Q431" s="75"/>
      <c r="R431" s="68">
        <v>0</v>
      </c>
      <c r="S431" s="75"/>
      <c r="T431" s="68">
        <v>0</v>
      </c>
    </row>
    <row r="432" spans="1:20" ht="14.1" customHeight="1" x14ac:dyDescent="0.2">
      <c r="A432" s="84">
        <v>29</v>
      </c>
      <c r="B432" s="596"/>
      <c r="C432" s="237" t="s">
        <v>278</v>
      </c>
      <c r="D432" s="102" t="s">
        <v>279</v>
      </c>
      <c r="E432" s="103"/>
      <c r="F432" s="68">
        <v>0</v>
      </c>
      <c r="G432" s="75"/>
      <c r="H432" s="68">
        <v>0</v>
      </c>
      <c r="I432" s="75"/>
      <c r="J432" s="68">
        <v>0</v>
      </c>
      <c r="K432" s="75"/>
      <c r="L432" s="68">
        <v>0</v>
      </c>
      <c r="M432" s="75"/>
      <c r="N432" s="68">
        <v>0</v>
      </c>
      <c r="O432" s="75"/>
      <c r="P432" s="68">
        <v>0</v>
      </c>
      <c r="Q432" s="75"/>
      <c r="R432" s="68">
        <v>0</v>
      </c>
      <c r="S432" s="75"/>
      <c r="T432" s="68">
        <v>0</v>
      </c>
    </row>
    <row r="433" spans="1:20" ht="14.1" customHeight="1" x14ac:dyDescent="0.2">
      <c r="A433" s="84">
        <v>30</v>
      </c>
      <c r="B433" s="596"/>
      <c r="C433" s="237">
        <v>35000</v>
      </c>
      <c r="D433" s="104" t="s">
        <v>280</v>
      </c>
      <c r="E433" s="105"/>
      <c r="F433" s="68">
        <v>0</v>
      </c>
      <c r="G433" s="75"/>
      <c r="H433" s="68">
        <v>0</v>
      </c>
      <c r="I433" s="75"/>
      <c r="J433" s="68">
        <v>0</v>
      </c>
      <c r="K433" s="75"/>
      <c r="L433" s="68">
        <v>0</v>
      </c>
      <c r="M433" s="75"/>
      <c r="N433" s="68">
        <v>0</v>
      </c>
      <c r="O433" s="75"/>
      <c r="P433" s="68">
        <v>0</v>
      </c>
      <c r="Q433" s="75"/>
      <c r="R433" s="68">
        <v>0</v>
      </c>
      <c r="S433" s="75"/>
      <c r="T433" s="68">
        <v>0</v>
      </c>
    </row>
    <row r="434" spans="1:20" ht="14.1" customHeight="1" x14ac:dyDescent="0.2">
      <c r="A434" s="84">
        <v>31</v>
      </c>
      <c r="B434" s="596"/>
      <c r="C434" s="237">
        <v>36000</v>
      </c>
      <c r="D434" s="104" t="s">
        <v>281</v>
      </c>
      <c r="E434" s="105"/>
      <c r="F434" s="68">
        <v>0</v>
      </c>
      <c r="G434" s="75"/>
      <c r="H434" s="68">
        <v>0</v>
      </c>
      <c r="I434" s="75"/>
      <c r="J434" s="68">
        <v>0</v>
      </c>
      <c r="K434" s="75"/>
      <c r="L434" s="68">
        <v>0</v>
      </c>
      <c r="M434" s="75"/>
      <c r="N434" s="68">
        <v>0</v>
      </c>
      <c r="O434" s="75"/>
      <c r="P434" s="68">
        <v>0</v>
      </c>
      <c r="Q434" s="75"/>
      <c r="R434" s="68">
        <v>0</v>
      </c>
      <c r="S434" s="75"/>
      <c r="T434" s="68">
        <v>0</v>
      </c>
    </row>
    <row r="435" spans="1:20" ht="14.1" customHeight="1" x14ac:dyDescent="0.2">
      <c r="A435" s="84">
        <v>32</v>
      </c>
      <c r="B435" s="596"/>
      <c r="C435" s="237">
        <v>38900</v>
      </c>
      <c r="D435" s="104" t="s">
        <v>282</v>
      </c>
      <c r="E435" s="105"/>
      <c r="F435" s="68">
        <v>0</v>
      </c>
      <c r="G435" s="75"/>
      <c r="H435" s="68">
        <v>0</v>
      </c>
      <c r="I435" s="75"/>
      <c r="J435" s="68">
        <v>0</v>
      </c>
      <c r="K435" s="75"/>
      <c r="L435" s="68">
        <v>0</v>
      </c>
      <c r="M435" s="75"/>
      <c r="N435" s="68">
        <v>0</v>
      </c>
      <c r="O435" s="75"/>
      <c r="P435" s="68">
        <v>0</v>
      </c>
      <c r="Q435" s="75"/>
      <c r="R435" s="68">
        <v>0</v>
      </c>
      <c r="S435" s="75"/>
      <c r="T435" s="68">
        <v>0</v>
      </c>
    </row>
    <row r="436" spans="1:20" ht="14.1" customHeight="1" x14ac:dyDescent="0.2">
      <c r="A436" s="84">
        <v>33</v>
      </c>
      <c r="B436" s="596"/>
      <c r="C436" s="237"/>
      <c r="D436" s="102" t="s">
        <v>173</v>
      </c>
      <c r="E436" s="103"/>
      <c r="F436" s="111">
        <v>0</v>
      </c>
      <c r="G436" s="75"/>
      <c r="H436" s="111">
        <v>0</v>
      </c>
      <c r="I436" s="75"/>
      <c r="J436" s="111">
        <v>0</v>
      </c>
      <c r="K436" s="75"/>
      <c r="L436" s="111">
        <v>0</v>
      </c>
      <c r="M436" s="75"/>
      <c r="N436" s="111">
        <v>0</v>
      </c>
      <c r="O436" s="75"/>
      <c r="P436" s="111">
        <v>0</v>
      </c>
      <c r="Q436" s="75"/>
      <c r="R436" s="111">
        <v>0</v>
      </c>
      <c r="S436" s="75"/>
      <c r="T436" s="111">
        <v>0</v>
      </c>
    </row>
    <row r="437" spans="1:20" ht="14.1" customHeight="1" x14ac:dyDescent="0.2">
      <c r="A437" s="84">
        <v>34</v>
      </c>
      <c r="B437" s="596"/>
      <c r="C437" s="237"/>
    </row>
    <row r="438" spans="1:20" ht="14.1" customHeight="1" x14ac:dyDescent="0.2">
      <c r="A438" s="84">
        <v>35</v>
      </c>
      <c r="B438" s="596"/>
      <c r="C438" s="237"/>
      <c r="D438" s="650" t="s">
        <v>283</v>
      </c>
      <c r="E438" s="85"/>
      <c r="F438" s="113"/>
      <c r="G438" s="75"/>
      <c r="H438" s="627"/>
      <c r="I438" s="75"/>
      <c r="J438" s="627"/>
      <c r="K438" s="75"/>
      <c r="L438" s="627"/>
      <c r="M438" s="75"/>
      <c r="N438" s="627"/>
      <c r="O438" s="75"/>
      <c r="P438" s="627"/>
      <c r="Q438" s="75"/>
      <c r="R438" s="113"/>
      <c r="S438" s="75"/>
      <c r="T438" s="113"/>
    </row>
    <row r="439" spans="1:20" ht="14.1" customHeight="1" x14ac:dyDescent="0.2">
      <c r="A439" s="84">
        <v>36</v>
      </c>
      <c r="B439" s="596"/>
      <c r="C439" s="237">
        <v>30315</v>
      </c>
      <c r="D439" s="95" t="s">
        <v>284</v>
      </c>
      <c r="F439" s="110">
        <v>66784074.710000023</v>
      </c>
      <c r="G439" s="75"/>
      <c r="H439" s="110">
        <v>14725797.640000002</v>
      </c>
      <c r="I439" s="75"/>
      <c r="J439" s="110">
        <v>0</v>
      </c>
      <c r="K439" s="75"/>
      <c r="L439" s="110">
        <v>0</v>
      </c>
      <c r="M439" s="75"/>
      <c r="N439" s="110">
        <v>0</v>
      </c>
      <c r="O439" s="75"/>
      <c r="P439" s="110">
        <v>1576469.92</v>
      </c>
      <c r="Q439" s="75"/>
      <c r="R439" s="110">
        <v>83086342.270000026</v>
      </c>
      <c r="S439" s="75"/>
      <c r="T439" s="110">
        <v>74200487.701538458</v>
      </c>
    </row>
    <row r="440" spans="1:20" ht="14.1" customHeight="1" x14ac:dyDescent="0.2">
      <c r="A440" s="84">
        <v>37</v>
      </c>
      <c r="B440" s="596"/>
      <c r="C440" s="237">
        <v>30399</v>
      </c>
      <c r="D440" s="84" t="s">
        <v>845</v>
      </c>
      <c r="F440" s="99">
        <v>0</v>
      </c>
      <c r="H440" s="99">
        <v>1152.07</v>
      </c>
      <c r="J440" s="99">
        <v>0</v>
      </c>
      <c r="L440" s="99">
        <v>0</v>
      </c>
      <c r="N440" s="99">
        <v>0</v>
      </c>
      <c r="O440" s="75"/>
      <c r="P440" s="99">
        <v>3348.84</v>
      </c>
      <c r="Q440" s="75"/>
      <c r="R440" s="99">
        <v>4500.91</v>
      </c>
      <c r="S440" s="75"/>
      <c r="T440" s="99">
        <v>603.82692307692309</v>
      </c>
    </row>
    <row r="441" spans="1:20" ht="14.1" customHeight="1" x14ac:dyDescent="0.2">
      <c r="A441" s="84">
        <v>38</v>
      </c>
      <c r="B441" s="596"/>
      <c r="C441" s="237"/>
      <c r="D441" s="102" t="s">
        <v>285</v>
      </c>
      <c r="E441" s="106"/>
      <c r="F441" s="91">
        <v>66784074.710000023</v>
      </c>
      <c r="G441" s="93"/>
      <c r="H441" s="91">
        <v>14726949.710000003</v>
      </c>
      <c r="I441" s="93"/>
      <c r="J441" s="91">
        <v>0</v>
      </c>
      <c r="K441" s="93"/>
      <c r="L441" s="91">
        <v>0</v>
      </c>
      <c r="M441" s="93"/>
      <c r="N441" s="91">
        <v>0</v>
      </c>
      <c r="O441" s="93"/>
      <c r="P441" s="91">
        <v>1579818.76</v>
      </c>
      <c r="Q441" s="75"/>
      <c r="R441" s="91">
        <v>83090843.180000022</v>
      </c>
      <c r="S441" s="75"/>
      <c r="T441" s="91">
        <v>74201091.528461531</v>
      </c>
    </row>
    <row r="442" spans="1:20" ht="14.1" customHeight="1" x14ac:dyDescent="0.2">
      <c r="A442" s="84">
        <v>39</v>
      </c>
      <c r="B442" s="596"/>
      <c r="C442" s="237"/>
    </row>
    <row r="443" spans="1:20" ht="14.1" customHeight="1" x14ac:dyDescent="0.2">
      <c r="A443" s="84">
        <v>40</v>
      </c>
      <c r="B443" s="596"/>
    </row>
    <row r="444" spans="1:20" ht="14.1" customHeight="1" x14ac:dyDescent="0.2">
      <c r="A444" s="84">
        <v>41</v>
      </c>
      <c r="B444" s="596"/>
    </row>
    <row r="445" spans="1:20" ht="14.1" customHeight="1" x14ac:dyDescent="0.2">
      <c r="A445" s="84">
        <v>42</v>
      </c>
    </row>
    <row r="446" spans="1:20" ht="14.1" customHeight="1" x14ac:dyDescent="0.2">
      <c r="A446" s="84">
        <v>43</v>
      </c>
    </row>
    <row r="447" spans="1:20" ht="14.1" customHeight="1" thickBot="1" x14ac:dyDescent="0.25">
      <c r="A447" s="84">
        <v>44</v>
      </c>
      <c r="B447" s="343" t="s">
        <v>186</v>
      </c>
      <c r="C447" s="631"/>
      <c r="D447" s="114"/>
      <c r="E447" s="114"/>
      <c r="F447" s="114"/>
      <c r="G447" s="310"/>
      <c r="H447" s="310"/>
      <c r="I447" s="310"/>
      <c r="J447" s="310"/>
      <c r="K447" s="310"/>
      <c r="L447" s="310"/>
      <c r="M447" s="310"/>
      <c r="N447" s="310"/>
      <c r="O447" s="310"/>
      <c r="P447" s="310"/>
      <c r="Q447" s="310"/>
      <c r="R447" s="310"/>
      <c r="S447" s="310"/>
      <c r="T447" s="310"/>
    </row>
    <row r="448" spans="1:20" ht="14.1" customHeight="1" x14ac:dyDescent="0.2">
      <c r="A448" s="84" t="s">
        <v>60</v>
      </c>
      <c r="R448" s="84" t="s">
        <v>60</v>
      </c>
    </row>
    <row r="449" spans="1:24" ht="14.1" customHeight="1" thickBot="1" x14ac:dyDescent="0.25">
      <c r="A449" s="114" t="s">
        <v>301</v>
      </c>
      <c r="B449" s="114"/>
      <c r="C449" s="114"/>
      <c r="D449" s="114"/>
      <c r="E449" s="114"/>
      <c r="F449" s="114" t="s">
        <v>302</v>
      </c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 t="s">
        <v>331</v>
      </c>
    </row>
    <row r="450" spans="1:24" ht="14.1" customHeight="1" x14ac:dyDescent="0.2">
      <c r="A450" s="84" t="s">
        <v>129</v>
      </c>
      <c r="B450" s="622"/>
      <c r="E450" s="88" t="s">
        <v>130</v>
      </c>
      <c r="F450" s="84" t="s">
        <v>303</v>
      </c>
      <c r="J450" s="623"/>
      <c r="K450" s="623"/>
      <c r="P450" s="623"/>
      <c r="Q450" s="623"/>
      <c r="R450" s="623" t="s">
        <v>132</v>
      </c>
      <c r="T450" s="604"/>
    </row>
    <row r="451" spans="1:24" ht="14.1" customHeight="1" x14ac:dyDescent="0.2">
      <c r="B451" s="622"/>
      <c r="F451" s="84" t="s">
        <v>304</v>
      </c>
      <c r="J451" s="88"/>
      <c r="K451" s="604"/>
      <c r="P451" s="88"/>
      <c r="Q451" s="88"/>
      <c r="R451" s="604" t="s">
        <v>844</v>
      </c>
      <c r="T451" s="88"/>
    </row>
    <row r="452" spans="1:24" ht="14.1" customHeight="1" x14ac:dyDescent="0.2">
      <c r="A452" s="84" t="s">
        <v>134</v>
      </c>
      <c r="B452" s="622"/>
      <c r="F452" s="84" t="s">
        <v>123</v>
      </c>
      <c r="J452" s="88"/>
      <c r="K452" s="604"/>
      <c r="L452" s="88"/>
      <c r="N452" s="88"/>
      <c r="Q452" s="88"/>
      <c r="R452" s="604"/>
      <c r="T452" s="88"/>
    </row>
    <row r="453" spans="1:24" ht="14.1" customHeight="1" x14ac:dyDescent="0.2">
      <c r="B453" s="622"/>
      <c r="F453" s="84" t="s">
        <v>123</v>
      </c>
      <c r="J453" s="88"/>
      <c r="K453" s="604"/>
      <c r="L453" s="88"/>
      <c r="N453" s="88"/>
      <c r="Q453" s="88"/>
      <c r="R453" s="604"/>
      <c r="T453" s="88"/>
    </row>
    <row r="454" spans="1:24" ht="14.1" customHeight="1" thickBot="1" x14ac:dyDescent="0.25">
      <c r="A454" s="114" t="s">
        <v>135</v>
      </c>
      <c r="B454" s="624"/>
      <c r="C454" s="114"/>
      <c r="D454" s="114"/>
      <c r="E454" s="114"/>
      <c r="F454" s="114" t="s">
        <v>123</v>
      </c>
      <c r="G454" s="114"/>
      <c r="H454" s="606"/>
      <c r="I454" s="114"/>
      <c r="J454" s="114"/>
      <c r="K454" s="114"/>
      <c r="L454" s="114"/>
      <c r="M454" s="114"/>
      <c r="N454" s="114"/>
      <c r="O454" s="114"/>
      <c r="P454" s="114"/>
      <c r="Q454" s="114"/>
      <c r="R454" s="625"/>
      <c r="S454" s="114"/>
      <c r="T454" s="114"/>
    </row>
    <row r="455" spans="1:24" ht="14.1" customHeight="1" x14ac:dyDescent="0.2">
      <c r="C455" s="607"/>
      <c r="D455" s="607"/>
      <c r="E455" s="607"/>
      <c r="F455" s="607"/>
      <c r="G455" s="607"/>
      <c r="H455" s="607"/>
      <c r="I455" s="607"/>
      <c r="J455" s="607"/>
      <c r="K455" s="607"/>
      <c r="L455" s="607"/>
      <c r="M455" s="607"/>
      <c r="N455" s="607"/>
      <c r="O455" s="607"/>
      <c r="P455" s="607"/>
      <c r="Q455" s="607"/>
      <c r="R455" s="607"/>
      <c r="S455" s="607"/>
      <c r="T455" s="607"/>
    </row>
    <row r="456" spans="1:24" ht="14.1" customHeight="1" x14ac:dyDescent="0.2">
      <c r="C456" s="607" t="s">
        <v>136</v>
      </c>
      <c r="D456" s="607" t="s">
        <v>137</v>
      </c>
      <c r="E456" s="607"/>
      <c r="F456" s="607" t="s">
        <v>138</v>
      </c>
      <c r="G456" s="607"/>
      <c r="H456" s="607" t="s">
        <v>139</v>
      </c>
      <c r="I456" s="607"/>
      <c r="J456" s="237" t="s">
        <v>140</v>
      </c>
      <c r="L456" s="607" t="s">
        <v>141</v>
      </c>
      <c r="M456" s="607"/>
      <c r="N456" s="607" t="s">
        <v>142</v>
      </c>
      <c r="O456" s="607"/>
      <c r="P456" s="607" t="s">
        <v>143</v>
      </c>
      <c r="Q456" s="607"/>
      <c r="R456" s="607" t="s">
        <v>144</v>
      </c>
      <c r="S456" s="607"/>
      <c r="T456" s="607" t="s">
        <v>305</v>
      </c>
    </row>
    <row r="457" spans="1:24" ht="14.1" customHeight="1" x14ac:dyDescent="0.2">
      <c r="C457" s="237" t="s">
        <v>145</v>
      </c>
      <c r="D457" s="237" t="s">
        <v>145</v>
      </c>
      <c r="F457" s="607" t="s">
        <v>41</v>
      </c>
      <c r="G457" s="237"/>
      <c r="H457" s="607" t="s">
        <v>40</v>
      </c>
      <c r="I457" s="237"/>
      <c r="J457" s="607"/>
      <c r="K457" s="237"/>
      <c r="L457" s="237"/>
      <c r="M457" s="237"/>
      <c r="N457" s="237"/>
      <c r="O457" s="237"/>
      <c r="P457" s="237"/>
      <c r="Q457" s="237"/>
      <c r="R457" s="237" t="s">
        <v>41</v>
      </c>
      <c r="T457" s="237"/>
    </row>
    <row r="458" spans="1:24" ht="14.1" customHeight="1" x14ac:dyDescent="0.2">
      <c r="A458" s="84" t="s">
        <v>146</v>
      </c>
      <c r="B458" s="237"/>
      <c r="C458" s="237" t="s">
        <v>147</v>
      </c>
      <c r="D458" s="237" t="s">
        <v>147</v>
      </c>
      <c r="E458" s="607"/>
      <c r="F458" s="237" t="s">
        <v>6</v>
      </c>
      <c r="G458" s="237"/>
      <c r="H458" s="237" t="s">
        <v>6</v>
      </c>
      <c r="I458" s="237"/>
      <c r="J458" s="237"/>
      <c r="K458" s="607"/>
      <c r="L458" s="237" t="s">
        <v>306</v>
      </c>
      <c r="M458" s="237"/>
      <c r="N458" s="237" t="s">
        <v>306</v>
      </c>
      <c r="O458" s="237"/>
      <c r="P458" s="237" t="s">
        <v>150</v>
      </c>
      <c r="Q458" s="607"/>
      <c r="R458" s="607" t="s">
        <v>6</v>
      </c>
      <c r="S458" s="607"/>
      <c r="T458" s="237" t="s">
        <v>151</v>
      </c>
    </row>
    <row r="459" spans="1:24" ht="14.1" customHeight="1" thickBot="1" x14ac:dyDescent="0.25">
      <c r="A459" s="114" t="s">
        <v>152</v>
      </c>
      <c r="B459" s="606"/>
      <c r="C459" s="606" t="s">
        <v>52</v>
      </c>
      <c r="D459" s="606" t="s">
        <v>153</v>
      </c>
      <c r="E459" s="606"/>
      <c r="F459" s="608" t="s">
        <v>154</v>
      </c>
      <c r="G459" s="608"/>
      <c r="H459" s="608" t="s">
        <v>307</v>
      </c>
      <c r="I459" s="609"/>
      <c r="J459" s="608" t="s">
        <v>18</v>
      </c>
      <c r="K459" s="609"/>
      <c r="L459" s="608" t="s">
        <v>19</v>
      </c>
      <c r="M459" s="609"/>
      <c r="N459" s="608" t="s">
        <v>54</v>
      </c>
      <c r="O459" s="609"/>
      <c r="P459" s="610" t="s">
        <v>157</v>
      </c>
      <c r="Q459" s="610"/>
      <c r="R459" s="610" t="s">
        <v>158</v>
      </c>
      <c r="S459" s="610"/>
      <c r="T459" s="610" t="s">
        <v>3</v>
      </c>
    </row>
    <row r="460" spans="1:24" ht="14.1" customHeight="1" x14ac:dyDescent="0.2">
      <c r="A460" s="84">
        <v>1</v>
      </c>
    </row>
    <row r="461" spans="1:24" ht="14.1" customHeight="1" x14ac:dyDescent="0.2">
      <c r="A461" s="84">
        <v>2</v>
      </c>
      <c r="B461" s="596"/>
      <c r="D461" s="616" t="s">
        <v>286</v>
      </c>
      <c r="W461" s="339"/>
      <c r="X461" s="339"/>
    </row>
    <row r="462" spans="1:24" ht="14.1" customHeight="1" x14ac:dyDescent="0.2">
      <c r="A462" s="84">
        <v>3</v>
      </c>
      <c r="B462" s="596"/>
      <c r="C462" s="237">
        <v>31700</v>
      </c>
      <c r="D462" s="84" t="s">
        <v>287</v>
      </c>
      <c r="F462" s="68">
        <v>10423031.01</v>
      </c>
      <c r="H462" s="68">
        <v>18142442.870000001</v>
      </c>
      <c r="J462" s="68">
        <v>-18001106.350000001</v>
      </c>
      <c r="L462" s="68">
        <v>0</v>
      </c>
      <c r="N462" s="68">
        <v>0</v>
      </c>
      <c r="P462" s="68">
        <v>4872840.46</v>
      </c>
      <c r="Q462" s="110"/>
      <c r="R462" s="68">
        <v>15437207.990000002</v>
      </c>
      <c r="T462" s="68">
        <v>19070235.188461538</v>
      </c>
    </row>
    <row r="463" spans="1:24" ht="14.1" customHeight="1" x14ac:dyDescent="0.2">
      <c r="A463" s="84">
        <v>4</v>
      </c>
      <c r="B463" s="596"/>
      <c r="C463" s="237">
        <v>34700</v>
      </c>
      <c r="D463" s="84" t="s">
        <v>288</v>
      </c>
      <c r="F463" s="68">
        <v>240052.86000000007</v>
      </c>
      <c r="H463" s="68">
        <v>61145.54</v>
      </c>
      <c r="J463" s="68">
        <v>0</v>
      </c>
      <c r="L463" s="68">
        <v>0</v>
      </c>
      <c r="N463" s="68">
        <v>0</v>
      </c>
      <c r="P463" s="68">
        <v>0</v>
      </c>
      <c r="Q463" s="110"/>
      <c r="R463" s="68">
        <v>301198.40000000008</v>
      </c>
      <c r="T463" s="68">
        <v>269889.87923076929</v>
      </c>
    </row>
    <row r="464" spans="1:24" ht="14.1" customHeight="1" x14ac:dyDescent="0.2">
      <c r="A464" s="84">
        <v>5</v>
      </c>
      <c r="B464" s="596"/>
      <c r="C464" s="237">
        <v>37400</v>
      </c>
      <c r="D464" s="84" t="s">
        <v>289</v>
      </c>
      <c r="F464" s="68">
        <v>1204378.2999999996</v>
      </c>
      <c r="H464" s="68">
        <v>148246.95000000001</v>
      </c>
      <c r="J464" s="68">
        <v>0</v>
      </c>
      <c r="L464" s="68">
        <v>0</v>
      </c>
      <c r="N464" s="68">
        <v>0</v>
      </c>
      <c r="P464" s="68">
        <v>0</v>
      </c>
      <c r="Q464" s="110"/>
      <c r="R464" s="68">
        <v>1352625.2499999995</v>
      </c>
      <c r="T464" s="68">
        <v>1280563.6146153843</v>
      </c>
    </row>
    <row r="465" spans="1:20" ht="14.1" customHeight="1" x14ac:dyDescent="0.2">
      <c r="A465" s="84">
        <v>6</v>
      </c>
      <c r="B465" s="596"/>
      <c r="C465" s="237">
        <v>39910</v>
      </c>
      <c r="D465" s="84" t="s">
        <v>290</v>
      </c>
      <c r="F465" s="68">
        <v>72583.440000000017</v>
      </c>
      <c r="H465" s="68">
        <v>10580.160000000002</v>
      </c>
      <c r="J465" s="68">
        <v>0</v>
      </c>
      <c r="L465" s="68">
        <v>0</v>
      </c>
      <c r="N465" s="68">
        <v>0</v>
      </c>
      <c r="P465" s="68">
        <v>0</v>
      </c>
      <c r="Q465" s="110"/>
      <c r="R465" s="68">
        <v>83163.60000000002</v>
      </c>
      <c r="T465" s="68">
        <v>77873.51999999999</v>
      </c>
    </row>
    <row r="466" spans="1:20" ht="14.1" customHeight="1" x14ac:dyDescent="0.2">
      <c r="A466" s="84">
        <v>7</v>
      </c>
      <c r="B466" s="596"/>
      <c r="D466" s="616" t="s">
        <v>177</v>
      </c>
      <c r="F466" s="111">
        <v>11940045.609999998</v>
      </c>
      <c r="H466" s="111">
        <v>18362415.52</v>
      </c>
      <c r="J466" s="111">
        <v>-18001106.350000001</v>
      </c>
      <c r="L466" s="111">
        <v>0</v>
      </c>
      <c r="N466" s="111">
        <v>0</v>
      </c>
      <c r="P466" s="111">
        <v>4872840.46</v>
      </c>
      <c r="Q466" s="110"/>
      <c r="R466" s="111">
        <v>17174195.240000002</v>
      </c>
      <c r="T466" s="111">
        <v>20698562.20230769</v>
      </c>
    </row>
    <row r="467" spans="1:20" ht="14.1" customHeight="1" x14ac:dyDescent="0.2">
      <c r="A467" s="84">
        <v>8</v>
      </c>
      <c r="B467" s="596"/>
      <c r="F467" s="633"/>
      <c r="H467" s="633"/>
      <c r="J467" s="633"/>
      <c r="L467" s="633"/>
      <c r="N467" s="633"/>
      <c r="P467" s="633"/>
      <c r="R467" s="633"/>
      <c r="T467" s="633"/>
    </row>
    <row r="468" spans="1:20" ht="14.1" customHeight="1" x14ac:dyDescent="0.2">
      <c r="A468" s="84">
        <v>9</v>
      </c>
      <c r="B468" s="596"/>
      <c r="F468" s="75"/>
    </row>
    <row r="469" spans="1:20" ht="14.1" customHeight="1" thickBot="1" x14ac:dyDescent="0.25">
      <c r="A469" s="84">
        <v>10</v>
      </c>
      <c r="B469" s="596"/>
      <c r="D469" s="616" t="s">
        <v>309</v>
      </c>
      <c r="F469" s="648">
        <v>2863838182.3700004</v>
      </c>
      <c r="G469" s="93"/>
      <c r="H469" s="648">
        <v>355238710.64999992</v>
      </c>
      <c r="I469" s="93"/>
      <c r="J469" s="648">
        <v>-88746788.409999996</v>
      </c>
      <c r="K469" s="93"/>
      <c r="L469" s="648">
        <v>-57649086.819999993</v>
      </c>
      <c r="M469" s="93"/>
      <c r="N469" s="648">
        <v>3053739.8399999994</v>
      </c>
      <c r="O469" s="93"/>
      <c r="P469" s="648">
        <v>11852602.84</v>
      </c>
      <c r="Q469" s="110"/>
      <c r="R469" s="648">
        <v>3087587360.4699998</v>
      </c>
      <c r="S469" s="347"/>
      <c r="T469" s="648">
        <v>2982579931.2061543</v>
      </c>
    </row>
    <row r="470" spans="1:20" ht="14.1" customHeight="1" thickTop="1" x14ac:dyDescent="0.2">
      <c r="A470" s="84">
        <v>11</v>
      </c>
      <c r="B470" s="596"/>
    </row>
    <row r="471" spans="1:20" ht="14.1" customHeight="1" x14ac:dyDescent="0.2">
      <c r="A471" s="84">
        <v>12</v>
      </c>
      <c r="B471" s="596"/>
    </row>
    <row r="472" spans="1:20" ht="14.1" customHeight="1" x14ac:dyDescent="0.2">
      <c r="A472" s="84">
        <v>13</v>
      </c>
      <c r="B472" s="596"/>
      <c r="C472" s="237"/>
      <c r="D472" s="84" t="s">
        <v>291</v>
      </c>
      <c r="F472" s="68"/>
      <c r="G472" s="75"/>
      <c r="H472" s="68"/>
      <c r="I472" s="75"/>
      <c r="J472" s="68"/>
      <c r="K472" s="75"/>
      <c r="L472" s="68"/>
      <c r="M472" s="75"/>
      <c r="N472" s="68"/>
      <c r="O472" s="75"/>
      <c r="P472" s="68"/>
      <c r="Q472" s="75"/>
      <c r="R472" s="68"/>
      <c r="S472" s="75"/>
      <c r="T472" s="68"/>
    </row>
    <row r="473" spans="1:20" ht="14.1" customHeight="1" x14ac:dyDescent="0.2">
      <c r="A473" s="84">
        <v>14</v>
      </c>
      <c r="B473" s="596"/>
      <c r="C473" s="237">
        <v>11401</v>
      </c>
      <c r="D473" s="84" t="s">
        <v>292</v>
      </c>
      <c r="F473" s="68">
        <v>4743253.2400000021</v>
      </c>
      <c r="G473" s="75"/>
      <c r="H473" s="68">
        <v>185749.26</v>
      </c>
      <c r="I473" s="75"/>
      <c r="J473" s="68">
        <v>0</v>
      </c>
      <c r="K473" s="75"/>
      <c r="L473" s="68">
        <v>0</v>
      </c>
      <c r="M473" s="75"/>
      <c r="N473" s="68">
        <v>0</v>
      </c>
      <c r="O473" s="75"/>
      <c r="P473" s="68">
        <v>0</v>
      </c>
      <c r="Q473" s="75"/>
      <c r="R473" s="68">
        <v>4929002.5000000019</v>
      </c>
      <c r="S473" s="75"/>
      <c r="T473" s="68">
        <v>4836127.8676923085</v>
      </c>
    </row>
    <row r="474" spans="1:20" ht="14.1" customHeight="1" x14ac:dyDescent="0.2">
      <c r="A474" s="84">
        <v>15</v>
      </c>
      <c r="B474" s="596"/>
      <c r="C474" s="237">
        <v>11402</v>
      </c>
      <c r="D474" s="84" t="s">
        <v>293</v>
      </c>
      <c r="F474" s="68">
        <v>635311.39</v>
      </c>
      <c r="G474" s="75"/>
      <c r="H474" s="68">
        <v>41900.58</v>
      </c>
      <c r="I474" s="75"/>
      <c r="J474" s="68">
        <v>0</v>
      </c>
      <c r="K474" s="75"/>
      <c r="L474" s="68">
        <v>0</v>
      </c>
      <c r="M474" s="75"/>
      <c r="N474" s="68">
        <v>0</v>
      </c>
      <c r="O474" s="75"/>
      <c r="P474" s="68">
        <v>0</v>
      </c>
      <c r="Q474" s="75"/>
      <c r="R474" s="68">
        <v>677211.97</v>
      </c>
      <c r="S474" s="75"/>
      <c r="T474" s="68">
        <v>656261.67769230739</v>
      </c>
    </row>
    <row r="475" spans="1:20" ht="14.1" customHeight="1" x14ac:dyDescent="0.2">
      <c r="A475" s="84">
        <v>16</v>
      </c>
      <c r="B475" s="596"/>
      <c r="C475" s="237">
        <v>11403</v>
      </c>
      <c r="D475" s="84" t="s">
        <v>294</v>
      </c>
      <c r="F475" s="68">
        <v>84549.280000000086</v>
      </c>
      <c r="G475" s="75"/>
      <c r="H475" s="68">
        <v>9058.8599999999988</v>
      </c>
      <c r="I475" s="75"/>
      <c r="J475" s="68">
        <v>0</v>
      </c>
      <c r="K475" s="75"/>
      <c r="L475" s="68">
        <v>0</v>
      </c>
      <c r="M475" s="75"/>
      <c r="N475" s="68">
        <v>0</v>
      </c>
      <c r="O475" s="75"/>
      <c r="P475" s="68">
        <v>0</v>
      </c>
      <c r="Q475" s="75"/>
      <c r="R475" s="68">
        <v>93608.140000000087</v>
      </c>
      <c r="S475" s="75"/>
      <c r="T475" s="68">
        <v>89078.707692307784</v>
      </c>
    </row>
    <row r="476" spans="1:20" ht="14.1" customHeight="1" x14ac:dyDescent="0.2">
      <c r="A476" s="84">
        <v>17</v>
      </c>
      <c r="B476" s="596"/>
      <c r="D476" s="84" t="s">
        <v>179</v>
      </c>
      <c r="F476" s="111">
        <v>5463113.910000002</v>
      </c>
      <c r="H476" s="111">
        <v>236708.7</v>
      </c>
      <c r="J476" s="111">
        <v>0</v>
      </c>
      <c r="L476" s="111">
        <v>0</v>
      </c>
      <c r="N476" s="111">
        <v>0</v>
      </c>
      <c r="P476" s="111">
        <v>0</v>
      </c>
      <c r="R476" s="111">
        <v>5699822.6100000013</v>
      </c>
      <c r="T476" s="111">
        <v>5581468.2530769231</v>
      </c>
    </row>
    <row r="477" spans="1:20" ht="14.1" customHeight="1" x14ac:dyDescent="0.2">
      <c r="A477" s="84">
        <v>18</v>
      </c>
      <c r="B477" s="596"/>
    </row>
    <row r="478" spans="1:20" ht="14.1" customHeight="1" x14ac:dyDescent="0.2">
      <c r="A478" s="84">
        <v>19</v>
      </c>
      <c r="B478" s="596"/>
      <c r="D478" s="84" t="s">
        <v>314</v>
      </c>
      <c r="F478" s="238"/>
      <c r="G478" s="238"/>
      <c r="H478" s="238"/>
      <c r="I478" s="238"/>
      <c r="J478" s="238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</row>
    <row r="479" spans="1:20" ht="14.1" customHeight="1" x14ac:dyDescent="0.2">
      <c r="A479" s="84">
        <v>20</v>
      </c>
      <c r="B479" s="596"/>
      <c r="C479" s="634" t="s">
        <v>315</v>
      </c>
      <c r="D479" s="616" t="s">
        <v>316</v>
      </c>
      <c r="F479" s="75">
        <v>76572300.720000178</v>
      </c>
      <c r="G479" s="75"/>
      <c r="H479" s="75">
        <v>1088010.04</v>
      </c>
      <c r="I479" s="75"/>
      <c r="J479" s="75"/>
      <c r="K479" s="75"/>
      <c r="L479" s="75"/>
      <c r="M479" s="75"/>
      <c r="N479" s="75"/>
      <c r="O479" s="75"/>
      <c r="P479" s="75"/>
      <c r="Q479" s="75"/>
      <c r="R479" s="75">
        <v>77660310.760000184</v>
      </c>
      <c r="S479" s="75"/>
      <c r="T479" s="75">
        <v>77116305.740000188</v>
      </c>
    </row>
    <row r="480" spans="1:20" ht="14.1" customHeight="1" x14ac:dyDescent="0.2">
      <c r="A480" s="84">
        <v>21</v>
      </c>
      <c r="B480" s="596"/>
      <c r="C480" s="635" t="s">
        <v>317</v>
      </c>
      <c r="D480" s="616" t="s">
        <v>318</v>
      </c>
      <c r="F480" s="636">
        <v>17764102</v>
      </c>
      <c r="G480" s="106"/>
      <c r="H480" s="636">
        <v>98084</v>
      </c>
      <c r="I480" s="75"/>
      <c r="J480" s="636"/>
      <c r="K480" s="75"/>
      <c r="L480" s="636"/>
      <c r="M480" s="75"/>
      <c r="N480" s="636"/>
      <c r="O480" s="75"/>
      <c r="P480" s="636"/>
      <c r="Q480" s="75"/>
      <c r="R480" s="636">
        <v>17862186</v>
      </c>
      <c r="S480" s="75"/>
      <c r="T480" s="636">
        <v>17813144</v>
      </c>
    </row>
    <row r="481" spans="1:20" ht="14.1" customHeight="1" x14ac:dyDescent="0.2">
      <c r="A481" s="84">
        <v>22</v>
      </c>
      <c r="B481" s="596"/>
      <c r="D481" s="84" t="s">
        <v>310</v>
      </c>
      <c r="F481" s="238">
        <v>94336402.720000178</v>
      </c>
      <c r="G481" s="238"/>
      <c r="H481" s="238">
        <v>1186094.04</v>
      </c>
      <c r="I481" s="238"/>
      <c r="J481" s="238">
        <v>0</v>
      </c>
      <c r="K481" s="238"/>
      <c r="L481" s="238">
        <v>0</v>
      </c>
      <c r="M481" s="238"/>
      <c r="N481" s="238">
        <v>0</v>
      </c>
      <c r="O481" s="238"/>
      <c r="P481" s="238">
        <v>0</v>
      </c>
      <c r="Q481" s="238"/>
      <c r="R481" s="238">
        <v>95522496.760000184</v>
      </c>
      <c r="S481" s="238"/>
      <c r="T481" s="238">
        <v>94929449.740000188</v>
      </c>
    </row>
    <row r="482" spans="1:20" ht="14.1" customHeight="1" x14ac:dyDescent="0.2">
      <c r="A482" s="84">
        <v>23</v>
      </c>
      <c r="B482" s="596"/>
      <c r="F482" s="238"/>
      <c r="G482" s="238"/>
      <c r="H482" s="238"/>
      <c r="I482" s="238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</row>
    <row r="483" spans="1:20" ht="14.1" customHeight="1" x14ac:dyDescent="0.2">
      <c r="A483" s="84">
        <v>24</v>
      </c>
      <c r="B483" s="596"/>
      <c r="C483" s="237">
        <v>10501</v>
      </c>
      <c r="D483" s="107" t="s">
        <v>183</v>
      </c>
      <c r="F483" s="342">
        <v>0</v>
      </c>
      <c r="G483" s="75"/>
      <c r="H483" s="110">
        <v>0</v>
      </c>
      <c r="I483" s="75"/>
      <c r="J483" s="110">
        <v>-22949.89</v>
      </c>
      <c r="K483" s="75"/>
      <c r="L483" s="110">
        <v>0</v>
      </c>
      <c r="M483" s="75"/>
      <c r="N483" s="110">
        <v>0</v>
      </c>
      <c r="O483" s="75"/>
      <c r="P483" s="110">
        <v>27332.899999999998</v>
      </c>
      <c r="Q483" s="75"/>
      <c r="R483" s="110">
        <v>4383.0099999999984</v>
      </c>
      <c r="S483" s="75"/>
      <c r="T483" s="342">
        <v>674.30923076923057</v>
      </c>
    </row>
    <row r="484" spans="1:20" ht="14.1" customHeight="1" x14ac:dyDescent="0.2">
      <c r="A484" s="84">
        <v>25</v>
      </c>
      <c r="B484" s="596"/>
      <c r="C484" s="237">
        <v>10801</v>
      </c>
      <c r="D484" s="84" t="s">
        <v>311</v>
      </c>
      <c r="F484" s="239">
        <v>0</v>
      </c>
      <c r="G484" s="238"/>
      <c r="H484" s="239">
        <v>0</v>
      </c>
      <c r="I484" s="238"/>
      <c r="J484" s="239">
        <v>0</v>
      </c>
      <c r="K484" s="238"/>
      <c r="L484" s="239">
        <v>0</v>
      </c>
      <c r="M484" s="238"/>
      <c r="N484" s="239">
        <v>0</v>
      </c>
      <c r="O484" s="238"/>
      <c r="P484" s="239">
        <v>0</v>
      </c>
      <c r="Q484" s="238"/>
      <c r="R484" s="239">
        <v>0</v>
      </c>
      <c r="S484" s="238"/>
      <c r="T484" s="239">
        <v>0</v>
      </c>
    </row>
    <row r="485" spans="1:20" ht="14.1" customHeight="1" x14ac:dyDescent="0.2">
      <c r="A485" s="84">
        <v>26</v>
      </c>
      <c r="B485" s="596"/>
    </row>
    <row r="486" spans="1:20" ht="14.1" customHeight="1" x14ac:dyDescent="0.2">
      <c r="A486" s="84">
        <v>27</v>
      </c>
      <c r="B486" s="596"/>
    </row>
    <row r="487" spans="1:20" ht="14.1" customHeight="1" x14ac:dyDescent="0.2">
      <c r="A487" s="84">
        <v>28</v>
      </c>
      <c r="B487" s="596"/>
    </row>
    <row r="488" spans="1:20" ht="14.1" customHeight="1" thickBot="1" x14ac:dyDescent="0.25">
      <c r="A488" s="84">
        <v>29</v>
      </c>
      <c r="B488" s="596"/>
      <c r="D488" s="616" t="s">
        <v>312</v>
      </c>
      <c r="E488" s="106"/>
      <c r="F488" s="55">
        <v>2963637699.0000005</v>
      </c>
      <c r="G488" s="75"/>
      <c r="H488" s="55">
        <v>356661513.38999993</v>
      </c>
      <c r="I488" s="110"/>
      <c r="J488" s="55">
        <v>-88769738.299999997</v>
      </c>
      <c r="K488" s="75"/>
      <c r="L488" s="55">
        <v>-57649086.819999993</v>
      </c>
      <c r="M488" s="75"/>
      <c r="N488" s="55">
        <v>3053739.8399999994</v>
      </c>
      <c r="O488" s="75"/>
      <c r="P488" s="55">
        <v>11879935.74</v>
      </c>
      <c r="Q488" s="110"/>
      <c r="R488" s="55">
        <v>3188814062.8500004</v>
      </c>
      <c r="S488" s="75"/>
      <c r="T488" s="55">
        <v>3083091523.5084624</v>
      </c>
    </row>
    <row r="489" spans="1:20" ht="14.1" customHeight="1" thickTop="1" x14ac:dyDescent="0.2">
      <c r="A489" s="84">
        <v>30</v>
      </c>
      <c r="B489" s="596"/>
    </row>
    <row r="490" spans="1:20" ht="14.1" customHeight="1" x14ac:dyDescent="0.2">
      <c r="A490" s="84">
        <v>31</v>
      </c>
      <c r="B490" s="596"/>
    </row>
    <row r="491" spans="1:20" ht="14.1" customHeight="1" x14ac:dyDescent="0.2">
      <c r="A491" s="84">
        <v>32</v>
      </c>
      <c r="B491" s="596"/>
    </row>
    <row r="492" spans="1:20" ht="14.1" customHeight="1" x14ac:dyDescent="0.2">
      <c r="A492" s="84">
        <v>33</v>
      </c>
      <c r="B492" s="596"/>
    </row>
    <row r="493" spans="1:20" ht="14.1" customHeight="1" x14ac:dyDescent="0.2">
      <c r="A493" s="84">
        <v>34</v>
      </c>
      <c r="B493" s="596"/>
    </row>
    <row r="494" spans="1:20" ht="14.1" customHeight="1" x14ac:dyDescent="0.2">
      <c r="A494" s="84">
        <v>35</v>
      </c>
    </row>
    <row r="495" spans="1:20" ht="14.1" customHeight="1" x14ac:dyDescent="0.2">
      <c r="A495" s="84">
        <v>36</v>
      </c>
    </row>
    <row r="496" spans="1:20" ht="14.1" customHeight="1" x14ac:dyDescent="0.2">
      <c r="A496" s="84">
        <v>37</v>
      </c>
    </row>
    <row r="497" spans="1:20" ht="14.1" customHeight="1" x14ac:dyDescent="0.2">
      <c r="A497" s="84">
        <v>38</v>
      </c>
    </row>
    <row r="498" spans="1:20" ht="14.1" customHeight="1" x14ac:dyDescent="0.2">
      <c r="A498" s="84">
        <v>39</v>
      </c>
    </row>
    <row r="499" spans="1:20" ht="14.1" customHeight="1" x14ac:dyDescent="0.2">
      <c r="A499" s="84">
        <v>40</v>
      </c>
    </row>
    <row r="500" spans="1:20" ht="14.1" customHeight="1" x14ac:dyDescent="0.2">
      <c r="A500" s="84">
        <v>41</v>
      </c>
      <c r="D500" s="616"/>
      <c r="E500" s="106"/>
      <c r="F500" s="75"/>
      <c r="G500" s="75"/>
      <c r="H500" s="75"/>
      <c r="I500" s="110"/>
      <c r="J500" s="75"/>
      <c r="K500" s="75"/>
      <c r="L500" s="75"/>
      <c r="M500" s="75"/>
      <c r="N500" s="75"/>
      <c r="O500" s="75"/>
      <c r="P500" s="75"/>
      <c r="Q500" s="110"/>
      <c r="R500" s="75"/>
      <c r="S500" s="75"/>
      <c r="T500" s="75"/>
    </row>
    <row r="501" spans="1:20" ht="14.1" customHeight="1" x14ac:dyDescent="0.2">
      <c r="A501" s="84">
        <v>42</v>
      </c>
      <c r="D501" s="616"/>
      <c r="E501" s="106"/>
      <c r="F501" s="75"/>
      <c r="G501" s="75"/>
      <c r="H501" s="75"/>
      <c r="I501" s="110"/>
      <c r="J501" s="75"/>
      <c r="K501" s="75"/>
      <c r="L501" s="75"/>
      <c r="M501" s="75"/>
      <c r="N501" s="75"/>
      <c r="O501" s="75"/>
      <c r="P501" s="75"/>
      <c r="Q501" s="110"/>
      <c r="R501" s="75"/>
      <c r="S501" s="75"/>
      <c r="T501" s="75"/>
    </row>
    <row r="502" spans="1:20" ht="14.1" customHeight="1" x14ac:dyDescent="0.2">
      <c r="A502" s="84">
        <v>43</v>
      </c>
    </row>
    <row r="503" spans="1:20" ht="14.1" customHeight="1" thickBot="1" x14ac:dyDescent="0.25">
      <c r="A503" s="84">
        <v>44</v>
      </c>
      <c r="B503" s="343" t="s">
        <v>186</v>
      </c>
      <c r="C503" s="631"/>
      <c r="D503" s="114"/>
      <c r="E503" s="114"/>
      <c r="F503" s="637"/>
      <c r="G503" s="637"/>
      <c r="H503" s="637"/>
      <c r="I503" s="637"/>
      <c r="J503" s="637"/>
      <c r="K503" s="637"/>
      <c r="L503" s="637"/>
      <c r="M503" s="637"/>
      <c r="N503" s="637"/>
      <c r="O503" s="637"/>
      <c r="P503" s="637"/>
      <c r="Q503" s="637"/>
      <c r="R503" s="637"/>
      <c r="S503" s="637"/>
      <c r="T503" s="637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FF"/>
  </sheetPr>
  <dimension ref="A1:V153"/>
  <sheetViews>
    <sheetView view="pageBreakPreview" zoomScaleNormal="100" zoomScaleSheetLayoutView="100" workbookViewId="0">
      <pane ySplit="11" topLeftCell="A12" activePane="bottomLeft" state="frozen"/>
      <selection activeCell="U131" sqref="U131"/>
      <selection pane="bottomLeft" activeCell="Y8" sqref="Y8"/>
    </sheetView>
  </sheetViews>
  <sheetFormatPr defaultRowHeight="12.75" x14ac:dyDescent="0.2"/>
  <cols>
    <col min="1" max="1" width="8.42578125" style="590" bestFit="1" customWidth="1"/>
    <col min="2" max="2" width="5.140625" style="76" customWidth="1"/>
    <col min="3" max="3" width="21" style="76" bestFit="1" customWidth="1"/>
    <col min="4" max="4" width="1.85546875" style="76" customWidth="1"/>
    <col min="5" max="6" width="8.5703125" style="590" customWidth="1"/>
    <col min="7" max="7" width="1.85546875" style="76" customWidth="1"/>
    <col min="8" max="9" width="8.5703125" style="590" customWidth="1"/>
    <col min="10" max="10" width="1.85546875" style="76" customWidth="1"/>
    <col min="11" max="12" width="8.5703125" style="590" customWidth="1"/>
    <col min="13" max="13" width="1.85546875" style="76" customWidth="1"/>
    <col min="14" max="15" width="8.5703125" style="590" customWidth="1"/>
    <col min="16" max="16" width="0.85546875" style="590" customWidth="1"/>
    <col min="17" max="17" width="1.140625" style="590" customWidth="1"/>
    <col min="18" max="19" width="8.5703125" style="590" customWidth="1"/>
    <col min="20" max="16384" width="9.140625" style="76"/>
  </cols>
  <sheetData>
    <row r="1" spans="1:19" ht="16.5" x14ac:dyDescent="0.25">
      <c r="A1" s="871" t="s">
        <v>0</v>
      </c>
      <c r="B1" s="871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  <c r="P1" s="871"/>
      <c r="Q1" s="871"/>
      <c r="R1" s="871"/>
      <c r="S1" s="871"/>
    </row>
    <row r="2" spans="1:19" ht="16.5" x14ac:dyDescent="0.25">
      <c r="A2" s="871" t="s">
        <v>368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871"/>
      <c r="R2" s="871"/>
      <c r="S2" s="871"/>
    </row>
    <row r="3" spans="1:19" ht="16.5" x14ac:dyDescent="0.25">
      <c r="A3" s="871" t="s">
        <v>1306</v>
      </c>
      <c r="B3" s="871"/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</row>
    <row r="4" spans="1:19" x14ac:dyDescent="0.2">
      <c r="A4" s="76"/>
    </row>
    <row r="5" spans="1:19" x14ac:dyDescent="0.2">
      <c r="A5" s="76"/>
    </row>
    <row r="6" spans="1:19" x14ac:dyDescent="0.2">
      <c r="A6" s="76"/>
    </row>
    <row r="7" spans="1:19" ht="13.5" thickBot="1" x14ac:dyDescent="0.25">
      <c r="A7" s="76"/>
      <c r="D7" s="859"/>
      <c r="E7" s="872" t="s">
        <v>334</v>
      </c>
      <c r="F7" s="872"/>
      <c r="G7" s="872"/>
      <c r="H7" s="872"/>
      <c r="I7" s="872"/>
      <c r="J7" s="872"/>
      <c r="K7" s="872"/>
      <c r="L7" s="872"/>
      <c r="M7" s="859"/>
      <c r="N7" s="872" t="s">
        <v>335</v>
      </c>
      <c r="O7" s="872"/>
      <c r="P7" s="872"/>
      <c r="Q7" s="872"/>
      <c r="R7" s="872"/>
      <c r="S7" s="872"/>
    </row>
    <row r="8" spans="1:19" x14ac:dyDescent="0.2">
      <c r="A8" s="76"/>
      <c r="E8" s="860"/>
      <c r="F8" s="860"/>
      <c r="H8" s="860"/>
      <c r="I8" s="860"/>
      <c r="R8" s="860"/>
      <c r="S8" s="860"/>
    </row>
    <row r="9" spans="1:19" x14ac:dyDescent="0.2">
      <c r="C9" s="593"/>
      <c r="D9" s="593"/>
      <c r="E9" s="876" t="s">
        <v>336</v>
      </c>
      <c r="F9" s="876"/>
      <c r="G9" s="593"/>
      <c r="H9" s="876" t="s">
        <v>337</v>
      </c>
      <c r="I9" s="876"/>
      <c r="J9" s="593"/>
      <c r="K9" s="880" t="s">
        <v>338</v>
      </c>
      <c r="L9" s="880"/>
      <c r="M9" s="593"/>
      <c r="N9" s="880">
        <v>2011</v>
      </c>
      <c r="O9" s="880"/>
      <c r="P9" s="236"/>
      <c r="Q9" s="246"/>
      <c r="R9" s="875">
        <v>44562</v>
      </c>
      <c r="S9" s="875"/>
    </row>
    <row r="10" spans="1:19" x14ac:dyDescent="0.2">
      <c r="A10" s="593" t="s">
        <v>44</v>
      </c>
      <c r="B10" s="593"/>
      <c r="C10" s="593"/>
      <c r="D10" s="593"/>
      <c r="E10" s="879" t="s">
        <v>367</v>
      </c>
      <c r="F10" s="879"/>
      <c r="G10" s="593"/>
      <c r="H10" s="879" t="s">
        <v>339</v>
      </c>
      <c r="I10" s="879"/>
      <c r="J10" s="593"/>
      <c r="K10" s="881" t="s">
        <v>340</v>
      </c>
      <c r="L10" s="881"/>
      <c r="M10" s="593"/>
      <c r="N10" s="880" t="s">
        <v>341</v>
      </c>
      <c r="O10" s="880"/>
      <c r="P10" s="236"/>
      <c r="Q10" s="246"/>
      <c r="R10" s="876" t="s">
        <v>1307</v>
      </c>
      <c r="S10" s="876"/>
    </row>
    <row r="11" spans="1:19" ht="13.5" thickBot="1" x14ac:dyDescent="0.25">
      <c r="A11" s="591" t="s">
        <v>52</v>
      </c>
      <c r="B11" s="541" t="s">
        <v>53</v>
      </c>
      <c r="C11" s="233"/>
      <c r="D11" s="593"/>
      <c r="E11" s="878">
        <v>42736</v>
      </c>
      <c r="F11" s="878"/>
      <c r="G11" s="593"/>
      <c r="H11" s="878">
        <v>40242</v>
      </c>
      <c r="I11" s="878"/>
      <c r="J11" s="593"/>
      <c r="K11" s="882">
        <v>42735</v>
      </c>
      <c r="L11" s="882"/>
      <c r="M11" s="593"/>
      <c r="N11" s="874" t="s">
        <v>343</v>
      </c>
      <c r="O11" s="874"/>
      <c r="P11" s="236"/>
      <c r="Q11" s="246"/>
      <c r="R11" s="877" t="s">
        <v>970</v>
      </c>
      <c r="S11" s="877"/>
    </row>
    <row r="12" spans="1:19" ht="13.5" thickTop="1" x14ac:dyDescent="0.2">
      <c r="B12" s="228"/>
      <c r="E12" s="861"/>
      <c r="F12" s="861"/>
      <c r="H12" s="861"/>
      <c r="I12" s="861"/>
      <c r="K12" s="862"/>
      <c r="L12" s="862"/>
      <c r="N12" s="862"/>
      <c r="O12" s="862"/>
      <c r="P12" s="236"/>
      <c r="Q12" s="246"/>
      <c r="R12" s="862"/>
      <c r="S12" s="862"/>
    </row>
    <row r="13" spans="1:19" x14ac:dyDescent="0.2">
      <c r="B13" s="537" t="s">
        <v>58</v>
      </c>
      <c r="C13" s="538"/>
      <c r="E13" s="860"/>
      <c r="F13" s="860"/>
      <c r="H13" s="860"/>
      <c r="I13" s="860"/>
      <c r="Q13" s="863"/>
    </row>
    <row r="14" spans="1:19" x14ac:dyDescent="0.2">
      <c r="B14" s="228"/>
      <c r="Q14" s="863"/>
    </row>
    <row r="15" spans="1:19" x14ac:dyDescent="0.2">
      <c r="A15" s="244" t="s">
        <v>376</v>
      </c>
      <c r="B15" s="539" t="s">
        <v>375</v>
      </c>
      <c r="E15" s="234" t="s">
        <v>369</v>
      </c>
      <c r="F15" s="234" t="s">
        <v>370</v>
      </c>
      <c r="H15" s="234" t="s">
        <v>369</v>
      </c>
      <c r="I15" s="234" t="s">
        <v>370</v>
      </c>
      <c r="K15" s="234" t="s">
        <v>369</v>
      </c>
      <c r="L15" s="234" t="s">
        <v>370</v>
      </c>
      <c r="N15" s="234" t="s">
        <v>369</v>
      </c>
      <c r="O15" s="234" t="s">
        <v>370</v>
      </c>
      <c r="Q15" s="863"/>
      <c r="R15" s="234" t="s">
        <v>369</v>
      </c>
      <c r="S15" s="234" t="s">
        <v>370</v>
      </c>
    </row>
    <row r="16" spans="1:19" x14ac:dyDescent="0.2">
      <c r="A16" s="245"/>
      <c r="B16" s="228"/>
      <c r="C16" s="76" t="s">
        <v>344</v>
      </c>
      <c r="E16" s="864">
        <v>2.2999999999999998</v>
      </c>
      <c r="F16" s="864">
        <v>3.52</v>
      </c>
      <c r="H16" s="864">
        <v>1.47</v>
      </c>
      <c r="I16" s="864">
        <v>3.17</v>
      </c>
      <c r="K16" s="247">
        <v>0.4</v>
      </c>
      <c r="L16" s="247">
        <v>4.0999999999999996</v>
      </c>
      <c r="N16" s="247">
        <v>1.8</v>
      </c>
      <c r="O16" s="247">
        <v>4.0999999999999996</v>
      </c>
      <c r="P16" s="247"/>
      <c r="Q16" s="865"/>
      <c r="R16" s="247">
        <v>1.7</v>
      </c>
      <c r="S16" s="247">
        <v>4</v>
      </c>
    </row>
    <row r="17" spans="1:22" x14ac:dyDescent="0.2">
      <c r="A17" s="245"/>
      <c r="B17" s="228"/>
      <c r="C17" s="76" t="s">
        <v>345</v>
      </c>
      <c r="E17" s="870">
        <v>80</v>
      </c>
      <c r="F17" s="870"/>
      <c r="H17" s="870">
        <v>80</v>
      </c>
      <c r="I17" s="870"/>
      <c r="K17" s="248">
        <v>22.8</v>
      </c>
      <c r="L17" s="248">
        <v>63.1</v>
      </c>
      <c r="N17" s="235">
        <v>25</v>
      </c>
      <c r="O17" s="235">
        <v>57</v>
      </c>
      <c r="Q17" s="863"/>
      <c r="R17" s="866">
        <v>25</v>
      </c>
      <c r="S17" s="866">
        <v>60</v>
      </c>
    </row>
    <row r="18" spans="1:22" x14ac:dyDescent="0.2">
      <c r="A18" s="245"/>
      <c r="B18" s="228"/>
      <c r="C18" s="76" t="s">
        <v>346</v>
      </c>
      <c r="E18" s="235">
        <v>10.19</v>
      </c>
      <c r="F18" s="235">
        <v>20.93</v>
      </c>
      <c r="H18" s="235">
        <v>3.5</v>
      </c>
      <c r="I18" s="235">
        <v>75.5</v>
      </c>
      <c r="K18" s="248">
        <v>1.5</v>
      </c>
      <c r="L18" s="248">
        <v>36.6</v>
      </c>
      <c r="N18" s="235">
        <v>21</v>
      </c>
      <c r="O18" s="235">
        <v>37</v>
      </c>
      <c r="Q18" s="863"/>
      <c r="R18" s="247">
        <v>15.1</v>
      </c>
      <c r="S18" s="247">
        <v>25</v>
      </c>
    </row>
    <row r="19" spans="1:22" x14ac:dyDescent="0.2">
      <c r="A19" s="245"/>
      <c r="B19" s="228"/>
      <c r="C19" s="76" t="s">
        <v>347</v>
      </c>
      <c r="E19" s="870">
        <v>-1</v>
      </c>
      <c r="F19" s="870"/>
      <c r="H19" s="870">
        <v>-7.5</v>
      </c>
      <c r="I19" s="870"/>
      <c r="K19" s="590">
        <v>0.3</v>
      </c>
      <c r="L19" s="590">
        <v>6.4</v>
      </c>
      <c r="N19" s="235">
        <v>0</v>
      </c>
      <c r="O19" s="235">
        <v>-5</v>
      </c>
      <c r="Q19" s="863"/>
      <c r="R19" s="590">
        <v>-1</v>
      </c>
      <c r="S19" s="590">
        <v>-2</v>
      </c>
    </row>
    <row r="20" spans="1:22" x14ac:dyDescent="0.2">
      <c r="A20" s="245"/>
      <c r="B20" s="228"/>
      <c r="C20" s="76" t="s">
        <v>348</v>
      </c>
      <c r="N20" s="590">
        <v>6.07</v>
      </c>
      <c r="O20" s="590">
        <v>58.12</v>
      </c>
      <c r="Q20" s="863"/>
      <c r="R20" s="590">
        <v>25.75</v>
      </c>
      <c r="S20" s="590">
        <v>65.55</v>
      </c>
    </row>
    <row r="21" spans="1:22" x14ac:dyDescent="0.2">
      <c r="B21" s="228"/>
      <c r="C21" s="76" t="s">
        <v>349</v>
      </c>
      <c r="E21" s="870" t="s">
        <v>350</v>
      </c>
      <c r="F21" s="870"/>
      <c r="H21" s="870" t="s">
        <v>360</v>
      </c>
      <c r="I21" s="870"/>
      <c r="K21" s="867"/>
      <c r="N21" s="870" t="s">
        <v>364</v>
      </c>
      <c r="O21" s="870"/>
      <c r="Q21" s="863"/>
      <c r="R21" s="870" t="s">
        <v>364</v>
      </c>
      <c r="S21" s="870"/>
    </row>
    <row r="22" spans="1:22" x14ac:dyDescent="0.2">
      <c r="B22" s="228"/>
      <c r="Q22" s="863"/>
      <c r="V22" s="228"/>
    </row>
    <row r="23" spans="1:22" x14ac:dyDescent="0.2">
      <c r="A23" s="244" t="s">
        <v>378</v>
      </c>
      <c r="B23" s="540" t="s">
        <v>377</v>
      </c>
      <c r="Q23" s="863"/>
    </row>
    <row r="24" spans="1:22" x14ac:dyDescent="0.2">
      <c r="A24" s="245"/>
      <c r="B24" s="228"/>
      <c r="C24" s="76" t="s">
        <v>344</v>
      </c>
      <c r="E24" s="864">
        <v>1.89</v>
      </c>
      <c r="F24" s="864">
        <v>8.25</v>
      </c>
      <c r="H24" s="864">
        <v>0.87</v>
      </c>
      <c r="I24" s="864">
        <v>4.79</v>
      </c>
      <c r="K24" s="247">
        <v>0.4</v>
      </c>
      <c r="L24" s="247">
        <v>4.0999999999999996</v>
      </c>
      <c r="N24" s="247">
        <v>2.5</v>
      </c>
      <c r="O24" s="247">
        <v>4.3</v>
      </c>
      <c r="P24" s="247"/>
      <c r="Q24" s="865"/>
      <c r="R24" s="247">
        <v>3.1</v>
      </c>
      <c r="S24" s="247">
        <v>5.2</v>
      </c>
    </row>
    <row r="25" spans="1:22" x14ac:dyDescent="0.2">
      <c r="A25" s="245"/>
      <c r="B25" s="228"/>
      <c r="C25" s="76" t="s">
        <v>345</v>
      </c>
      <c r="E25" s="870">
        <v>50</v>
      </c>
      <c r="F25" s="870"/>
      <c r="H25" s="870">
        <v>48</v>
      </c>
      <c r="I25" s="870"/>
      <c r="K25" s="248">
        <v>21.4</v>
      </c>
      <c r="L25" s="248">
        <v>51.7</v>
      </c>
      <c r="N25" s="235">
        <v>23</v>
      </c>
      <c r="O25" s="235">
        <v>41</v>
      </c>
      <c r="Q25" s="863"/>
      <c r="R25" s="590">
        <v>24</v>
      </c>
      <c r="S25" s="590">
        <v>42</v>
      </c>
    </row>
    <row r="26" spans="1:22" x14ac:dyDescent="0.2">
      <c r="A26" s="245"/>
      <c r="B26" s="228"/>
      <c r="C26" s="76" t="s">
        <v>346</v>
      </c>
      <c r="E26" s="870">
        <v>19.309999999999999</v>
      </c>
      <c r="F26" s="870"/>
      <c r="H26" s="235">
        <v>3.4</v>
      </c>
      <c r="I26" s="235">
        <v>23.6</v>
      </c>
      <c r="K26" s="248">
        <v>1.5</v>
      </c>
      <c r="L26" s="248">
        <v>31.1</v>
      </c>
      <c r="N26" s="235">
        <v>19.2</v>
      </c>
      <c r="O26" s="235">
        <v>25</v>
      </c>
      <c r="Q26" s="863"/>
      <c r="R26" s="590">
        <v>14.1</v>
      </c>
      <c r="S26" s="590">
        <v>22</v>
      </c>
    </row>
    <row r="27" spans="1:22" x14ac:dyDescent="0.2">
      <c r="A27" s="245"/>
      <c r="B27" s="228"/>
      <c r="C27" s="76" t="s">
        <v>347</v>
      </c>
      <c r="E27" s="235">
        <v>-2</v>
      </c>
      <c r="F27" s="235">
        <v>-4</v>
      </c>
      <c r="H27" s="870">
        <v>-21</v>
      </c>
      <c r="I27" s="870"/>
      <c r="K27" s="590">
        <v>0.3</v>
      </c>
      <c r="L27" s="590">
        <v>6.4</v>
      </c>
      <c r="N27" s="235">
        <v>-2</v>
      </c>
      <c r="O27" s="235">
        <v>-12</v>
      </c>
      <c r="Q27" s="863"/>
      <c r="R27" s="590">
        <v>-3</v>
      </c>
      <c r="S27" s="590">
        <v>-5</v>
      </c>
    </row>
    <row r="28" spans="1:22" x14ac:dyDescent="0.2">
      <c r="A28" s="245"/>
      <c r="B28" s="228"/>
      <c r="C28" s="76" t="s">
        <v>348</v>
      </c>
      <c r="N28" s="590">
        <v>6.57</v>
      </c>
      <c r="O28" s="590">
        <v>46.3</v>
      </c>
      <c r="Q28" s="863"/>
      <c r="R28" s="590">
        <v>4.28</v>
      </c>
      <c r="S28" s="590">
        <v>42.98</v>
      </c>
    </row>
    <row r="29" spans="1:22" x14ac:dyDescent="0.2">
      <c r="A29" s="245"/>
      <c r="B29" s="228"/>
      <c r="C29" s="76" t="s">
        <v>349</v>
      </c>
      <c r="E29" s="873" t="s">
        <v>351</v>
      </c>
      <c r="F29" s="873"/>
      <c r="H29" s="870" t="s">
        <v>351</v>
      </c>
      <c r="I29" s="870"/>
      <c r="K29" s="867"/>
      <c r="N29" s="870" t="s">
        <v>364</v>
      </c>
      <c r="O29" s="870"/>
      <c r="Q29" s="863"/>
      <c r="R29" s="870" t="s">
        <v>364</v>
      </c>
      <c r="S29" s="870"/>
    </row>
    <row r="30" spans="1:22" x14ac:dyDescent="0.2">
      <c r="A30" s="245"/>
      <c r="B30" s="228"/>
      <c r="E30" s="235"/>
      <c r="F30" s="235"/>
      <c r="Q30" s="863"/>
    </row>
    <row r="31" spans="1:22" x14ac:dyDescent="0.2">
      <c r="A31" s="244" t="s">
        <v>379</v>
      </c>
      <c r="B31" s="540" t="s">
        <v>380</v>
      </c>
      <c r="Q31" s="863"/>
    </row>
    <row r="32" spans="1:22" x14ac:dyDescent="0.2">
      <c r="A32" s="245"/>
      <c r="B32" s="228"/>
      <c r="C32" s="76" t="s">
        <v>344</v>
      </c>
      <c r="E32" s="247">
        <v>1.77</v>
      </c>
      <c r="F32" s="247">
        <v>4.97</v>
      </c>
      <c r="H32" s="864">
        <v>1.64</v>
      </c>
      <c r="I32" s="864">
        <v>8.19</v>
      </c>
      <c r="K32" s="247">
        <v>0.4</v>
      </c>
      <c r="L32" s="247">
        <v>4.0999999999999996</v>
      </c>
      <c r="N32" s="247">
        <v>2.2999999999999998</v>
      </c>
      <c r="O32" s="247">
        <v>3.8</v>
      </c>
      <c r="P32" s="247"/>
      <c r="Q32" s="865"/>
      <c r="R32" s="247">
        <v>3.1</v>
      </c>
      <c r="S32" s="247">
        <v>5.8</v>
      </c>
    </row>
    <row r="33" spans="1:19" x14ac:dyDescent="0.2">
      <c r="A33" s="245"/>
      <c r="B33" s="228"/>
      <c r="C33" s="76" t="s">
        <v>345</v>
      </c>
      <c r="E33" s="870">
        <v>55</v>
      </c>
      <c r="F33" s="870"/>
      <c r="H33" s="870">
        <v>55</v>
      </c>
      <c r="I33" s="870"/>
      <c r="K33" s="248">
        <v>13.1</v>
      </c>
      <c r="L33" s="248">
        <v>62.6</v>
      </c>
      <c r="N33" s="235">
        <v>30</v>
      </c>
      <c r="O33" s="235">
        <v>45</v>
      </c>
      <c r="Q33" s="863"/>
      <c r="R33" s="235">
        <v>27</v>
      </c>
      <c r="S33" s="235">
        <v>43</v>
      </c>
    </row>
    <row r="34" spans="1:19" x14ac:dyDescent="0.2">
      <c r="A34" s="245"/>
      <c r="B34" s="228"/>
      <c r="C34" s="76" t="s">
        <v>346</v>
      </c>
      <c r="E34" s="235">
        <v>9.8699999999999992</v>
      </c>
      <c r="F34" s="235">
        <v>19.7</v>
      </c>
      <c r="H34" s="235">
        <v>3.5</v>
      </c>
      <c r="I34" s="235">
        <v>21.1</v>
      </c>
      <c r="K34" s="248">
        <v>1.5</v>
      </c>
      <c r="L34" s="248">
        <v>32.200000000000003</v>
      </c>
      <c r="N34" s="235">
        <v>18.3</v>
      </c>
      <c r="O34" s="235">
        <v>33</v>
      </c>
      <c r="Q34" s="863"/>
      <c r="R34" s="590">
        <v>13.2</v>
      </c>
      <c r="S34" s="590">
        <v>24</v>
      </c>
    </row>
    <row r="35" spans="1:19" x14ac:dyDescent="0.2">
      <c r="A35" s="245"/>
      <c r="B35" s="228"/>
      <c r="C35" s="76" t="s">
        <v>347</v>
      </c>
      <c r="E35" s="870">
        <v>-1</v>
      </c>
      <c r="F35" s="870"/>
      <c r="H35" s="870">
        <v>-5.6</v>
      </c>
      <c r="I35" s="870"/>
      <c r="K35" s="590">
        <v>0.3</v>
      </c>
      <c r="L35" s="590">
        <v>6.4</v>
      </c>
      <c r="N35" s="590">
        <v>-4</v>
      </c>
      <c r="O35" s="590">
        <v>-7</v>
      </c>
      <c r="Q35" s="863"/>
      <c r="R35" s="590">
        <v>-6</v>
      </c>
      <c r="S35" s="590">
        <v>-6</v>
      </c>
    </row>
    <row r="36" spans="1:19" x14ac:dyDescent="0.2">
      <c r="A36" s="245"/>
      <c r="B36" s="228"/>
      <c r="C36" s="76" t="s">
        <v>348</v>
      </c>
      <c r="N36" s="590">
        <v>20.27</v>
      </c>
      <c r="O36" s="590">
        <v>41.07</v>
      </c>
      <c r="Q36" s="863"/>
      <c r="R36" s="590">
        <v>29.68</v>
      </c>
      <c r="S36" s="590">
        <v>47.88</v>
      </c>
    </row>
    <row r="37" spans="1:19" x14ac:dyDescent="0.2">
      <c r="A37" s="245"/>
      <c r="B37" s="228"/>
      <c r="C37" s="76" t="s">
        <v>349</v>
      </c>
      <c r="E37" s="870" t="s">
        <v>352</v>
      </c>
      <c r="F37" s="870"/>
      <c r="H37" s="870" t="s">
        <v>361</v>
      </c>
      <c r="I37" s="870"/>
      <c r="K37" s="867"/>
      <c r="N37" s="870" t="s">
        <v>364</v>
      </c>
      <c r="O37" s="870"/>
      <c r="Q37" s="863"/>
      <c r="R37" s="870" t="s">
        <v>364</v>
      </c>
      <c r="S37" s="870"/>
    </row>
    <row r="38" spans="1:19" x14ac:dyDescent="0.2">
      <c r="A38" s="245"/>
      <c r="B38" s="228"/>
      <c r="Q38" s="863"/>
    </row>
    <row r="39" spans="1:19" x14ac:dyDescent="0.2">
      <c r="A39" s="244" t="s">
        <v>382</v>
      </c>
      <c r="B39" s="540" t="s">
        <v>381</v>
      </c>
      <c r="Q39" s="863"/>
    </row>
    <row r="40" spans="1:19" x14ac:dyDescent="0.2">
      <c r="A40" s="245"/>
      <c r="B40" s="228"/>
      <c r="C40" s="76" t="s">
        <v>344</v>
      </c>
      <c r="E40" s="235">
        <v>1.8</v>
      </c>
      <c r="F40" s="864">
        <v>4.92</v>
      </c>
      <c r="H40" s="864">
        <v>1.45</v>
      </c>
      <c r="I40" s="864">
        <v>6.95</v>
      </c>
      <c r="K40" s="247">
        <v>0.4</v>
      </c>
      <c r="L40" s="247">
        <v>4.0999999999999996</v>
      </c>
      <c r="N40" s="590">
        <v>3.1</v>
      </c>
      <c r="O40" s="590">
        <v>4.8</v>
      </c>
      <c r="Q40" s="863"/>
      <c r="R40" s="590">
        <v>2.4</v>
      </c>
      <c r="S40" s="247">
        <v>5</v>
      </c>
    </row>
    <row r="41" spans="1:19" x14ac:dyDescent="0.2">
      <c r="A41" s="245"/>
      <c r="B41" s="228"/>
      <c r="C41" s="76" t="s">
        <v>345</v>
      </c>
      <c r="E41" s="870">
        <v>65</v>
      </c>
      <c r="F41" s="870"/>
      <c r="H41" s="870">
        <v>65</v>
      </c>
      <c r="I41" s="870"/>
      <c r="K41" s="248">
        <v>10.1</v>
      </c>
      <c r="L41" s="248">
        <v>60.8</v>
      </c>
      <c r="N41" s="235">
        <v>22</v>
      </c>
      <c r="O41" s="235">
        <v>34</v>
      </c>
      <c r="Q41" s="863"/>
      <c r="R41" s="590">
        <v>24</v>
      </c>
      <c r="S41" s="590">
        <v>41</v>
      </c>
    </row>
    <row r="42" spans="1:19" x14ac:dyDescent="0.2">
      <c r="A42" s="245"/>
      <c r="B42" s="228"/>
      <c r="C42" s="76" t="s">
        <v>346</v>
      </c>
      <c r="E42" s="873" t="s">
        <v>353</v>
      </c>
      <c r="F42" s="873"/>
      <c r="H42" s="235">
        <v>3.5</v>
      </c>
      <c r="I42" s="235">
        <v>21.8</v>
      </c>
      <c r="K42" s="248">
        <v>1.5</v>
      </c>
      <c r="L42" s="248">
        <v>34.799999999999997</v>
      </c>
      <c r="N42" s="235">
        <v>14.5</v>
      </c>
      <c r="O42" s="235">
        <v>24</v>
      </c>
      <c r="Q42" s="863"/>
      <c r="R42" s="590">
        <v>13.2</v>
      </c>
      <c r="S42" s="590">
        <v>22</v>
      </c>
    </row>
    <row r="43" spans="1:19" x14ac:dyDescent="0.2">
      <c r="A43" s="245"/>
      <c r="B43" s="228"/>
      <c r="C43" s="76" t="s">
        <v>347</v>
      </c>
      <c r="E43" s="235">
        <v>-2</v>
      </c>
      <c r="F43" s="235">
        <v>-3</v>
      </c>
      <c r="H43" s="870">
        <v>-3.2</v>
      </c>
      <c r="I43" s="870"/>
      <c r="K43" s="590">
        <v>0.3</v>
      </c>
      <c r="L43" s="590">
        <v>6.4</v>
      </c>
      <c r="N43" s="235">
        <v>-3</v>
      </c>
      <c r="O43" s="235">
        <v>-12</v>
      </c>
      <c r="Q43" s="863"/>
      <c r="R43" s="590">
        <v>-3</v>
      </c>
      <c r="S43" s="590">
        <v>-5</v>
      </c>
    </row>
    <row r="44" spans="1:19" x14ac:dyDescent="0.2">
      <c r="A44" s="245"/>
      <c r="B44" s="228"/>
      <c r="C44" s="76" t="s">
        <v>348</v>
      </c>
      <c r="N44" s="590">
        <v>7.22</v>
      </c>
      <c r="O44" s="590">
        <v>53.64</v>
      </c>
      <c r="Q44" s="863"/>
      <c r="R44" s="590">
        <v>28.28</v>
      </c>
      <c r="S44" s="590">
        <v>62.54</v>
      </c>
    </row>
    <row r="45" spans="1:19" x14ac:dyDescent="0.2">
      <c r="A45" s="245"/>
      <c r="B45" s="228"/>
      <c r="C45" s="76" t="s">
        <v>349</v>
      </c>
      <c r="E45" s="870" t="s">
        <v>351</v>
      </c>
      <c r="F45" s="870"/>
      <c r="H45" s="870" t="s">
        <v>361</v>
      </c>
      <c r="I45" s="870"/>
      <c r="K45" s="867"/>
      <c r="N45" s="870" t="s">
        <v>364</v>
      </c>
      <c r="O45" s="870"/>
      <c r="Q45" s="863"/>
      <c r="R45" s="870" t="s">
        <v>364</v>
      </c>
      <c r="S45" s="870"/>
    </row>
    <row r="46" spans="1:19" x14ac:dyDescent="0.2">
      <c r="A46" s="245"/>
      <c r="B46" s="228"/>
      <c r="Q46" s="863"/>
    </row>
    <row r="47" spans="1:19" x14ac:dyDescent="0.2">
      <c r="A47" s="244" t="s">
        <v>383</v>
      </c>
      <c r="B47" s="540" t="s">
        <v>332</v>
      </c>
      <c r="Q47" s="863"/>
    </row>
    <row r="48" spans="1:19" x14ac:dyDescent="0.2">
      <c r="B48" s="228"/>
      <c r="C48" s="76" t="s">
        <v>344</v>
      </c>
      <c r="E48" s="864">
        <v>1.68</v>
      </c>
      <c r="F48" s="864">
        <v>5.08</v>
      </c>
      <c r="H48" s="864">
        <v>2.6</v>
      </c>
      <c r="I48" s="864">
        <v>5.14</v>
      </c>
      <c r="K48" s="247">
        <v>0.4</v>
      </c>
      <c r="L48" s="247">
        <v>4.0999999999999996</v>
      </c>
      <c r="N48" s="590">
        <v>2.5</v>
      </c>
      <c r="O48" s="590">
        <v>4.2</v>
      </c>
      <c r="Q48" s="863"/>
      <c r="R48" s="590">
        <v>0.6</v>
      </c>
      <c r="S48" s="247">
        <v>4</v>
      </c>
    </row>
    <row r="49" spans="1:19" x14ac:dyDescent="0.2">
      <c r="B49" s="228"/>
      <c r="C49" s="76" t="s">
        <v>345</v>
      </c>
      <c r="E49" s="870">
        <v>65</v>
      </c>
      <c r="F49" s="870"/>
      <c r="H49" s="870">
        <v>36</v>
      </c>
      <c r="I49" s="870"/>
      <c r="K49" s="248">
        <v>8.8000000000000007</v>
      </c>
      <c r="L49" s="248">
        <v>47.5</v>
      </c>
      <c r="N49" s="235">
        <v>25</v>
      </c>
      <c r="O49" s="235">
        <v>41</v>
      </c>
      <c r="Q49" s="863"/>
      <c r="R49" s="590">
        <v>25</v>
      </c>
      <c r="S49" s="590">
        <v>56</v>
      </c>
    </row>
    <row r="50" spans="1:19" x14ac:dyDescent="0.2">
      <c r="B50" s="228"/>
      <c r="C50" s="76" t="s">
        <v>346</v>
      </c>
      <c r="E50" s="235">
        <v>10.02</v>
      </c>
      <c r="F50" s="235">
        <v>19.78</v>
      </c>
      <c r="H50" s="235">
        <v>3.4</v>
      </c>
      <c r="I50" s="235">
        <v>33.9</v>
      </c>
      <c r="K50" s="248">
        <v>1.5</v>
      </c>
      <c r="L50" s="248">
        <v>29.2</v>
      </c>
      <c r="N50" s="235">
        <v>10.4</v>
      </c>
      <c r="O50" s="235">
        <v>30</v>
      </c>
      <c r="Q50" s="863"/>
      <c r="R50" s="590">
        <v>11.6</v>
      </c>
      <c r="S50" s="590">
        <v>25</v>
      </c>
    </row>
    <row r="51" spans="1:19" x14ac:dyDescent="0.2">
      <c r="B51" s="228"/>
      <c r="C51" s="76" t="s">
        <v>347</v>
      </c>
      <c r="E51" s="870">
        <v>-1</v>
      </c>
      <c r="F51" s="870"/>
      <c r="H51" s="870">
        <v>-4.4000000000000004</v>
      </c>
      <c r="I51" s="870"/>
      <c r="K51" s="590">
        <v>0.3</v>
      </c>
      <c r="L51" s="590">
        <v>6.4</v>
      </c>
      <c r="N51" s="590">
        <v>-1</v>
      </c>
      <c r="O51" s="590">
        <v>-13</v>
      </c>
      <c r="Q51" s="863"/>
      <c r="R51" s="590">
        <v>-1</v>
      </c>
      <c r="S51" s="590">
        <v>-2</v>
      </c>
    </row>
    <row r="52" spans="1:19" x14ac:dyDescent="0.2">
      <c r="B52" s="228"/>
      <c r="C52" s="76" t="s">
        <v>348</v>
      </c>
      <c r="N52" s="590">
        <v>6.07</v>
      </c>
      <c r="O52" s="590">
        <v>78.3</v>
      </c>
      <c r="Q52" s="863"/>
      <c r="R52" s="590">
        <v>30.34</v>
      </c>
      <c r="S52" s="590">
        <v>88.65</v>
      </c>
    </row>
    <row r="53" spans="1:19" x14ac:dyDescent="0.2">
      <c r="B53" s="228"/>
      <c r="C53" s="76" t="s">
        <v>349</v>
      </c>
      <c r="E53" s="870" t="s">
        <v>352</v>
      </c>
      <c r="F53" s="870"/>
      <c r="H53" s="870" t="s">
        <v>362</v>
      </c>
      <c r="I53" s="870"/>
      <c r="N53" s="870" t="s">
        <v>365</v>
      </c>
      <c r="O53" s="870"/>
      <c r="Q53" s="863"/>
      <c r="R53" s="870" t="s">
        <v>365</v>
      </c>
      <c r="S53" s="870"/>
    </row>
    <row r="54" spans="1:19" x14ac:dyDescent="0.2">
      <c r="B54" s="228"/>
      <c r="Q54" s="863"/>
    </row>
    <row r="55" spans="1:19" x14ac:dyDescent="0.2">
      <c r="B55" s="537" t="s">
        <v>63</v>
      </c>
      <c r="C55" s="538"/>
      <c r="Q55" s="863"/>
    </row>
    <row r="56" spans="1:19" x14ac:dyDescent="0.2">
      <c r="B56" s="228"/>
      <c r="Q56" s="863"/>
    </row>
    <row r="57" spans="1:19" x14ac:dyDescent="0.2">
      <c r="A57" s="244" t="s">
        <v>384</v>
      </c>
      <c r="B57" s="539" t="s">
        <v>375</v>
      </c>
      <c r="Q57" s="863"/>
    </row>
    <row r="58" spans="1:19" x14ac:dyDescent="0.2">
      <c r="A58" s="245"/>
      <c r="B58" s="228"/>
      <c r="C58" s="76" t="s">
        <v>344</v>
      </c>
      <c r="E58" s="864">
        <v>2.0299999999999998</v>
      </c>
      <c r="F58" s="864">
        <v>2.99</v>
      </c>
      <c r="H58" s="864">
        <v>0.36</v>
      </c>
      <c r="I58" s="864">
        <v>6.38</v>
      </c>
      <c r="K58" s="247">
        <v>4</v>
      </c>
      <c r="L58" s="247">
        <v>5.7</v>
      </c>
      <c r="N58" s="590">
        <v>2.2000000000000002</v>
      </c>
      <c r="O58" s="590">
        <v>3.3</v>
      </c>
      <c r="Q58" s="863"/>
      <c r="R58" s="590">
        <v>2.6</v>
      </c>
      <c r="S58" s="590">
        <v>5.0999999999999996</v>
      </c>
    </row>
    <row r="59" spans="1:19" x14ac:dyDescent="0.2">
      <c r="A59" s="245"/>
      <c r="B59" s="228"/>
      <c r="C59" s="76" t="s">
        <v>345</v>
      </c>
      <c r="E59" s="870">
        <v>80</v>
      </c>
      <c r="F59" s="870"/>
      <c r="H59" s="870">
        <v>55</v>
      </c>
      <c r="I59" s="870"/>
      <c r="K59" s="248">
        <v>17.7</v>
      </c>
      <c r="L59" s="248">
        <v>33.6</v>
      </c>
      <c r="N59" s="235">
        <v>35</v>
      </c>
      <c r="O59" s="235">
        <v>45</v>
      </c>
      <c r="Q59" s="863"/>
      <c r="R59" s="590">
        <v>33</v>
      </c>
      <c r="S59" s="590">
        <v>40</v>
      </c>
    </row>
    <row r="60" spans="1:19" x14ac:dyDescent="0.2">
      <c r="A60" s="245"/>
      <c r="B60" s="228"/>
      <c r="C60" s="76" t="s">
        <v>346</v>
      </c>
      <c r="E60" s="235">
        <v>15.13</v>
      </c>
      <c r="F60" s="235">
        <v>36.880000000000003</v>
      </c>
      <c r="H60" s="235">
        <v>6.1</v>
      </c>
      <c r="I60" s="235">
        <v>26.5</v>
      </c>
      <c r="K60" s="248">
        <v>13.4</v>
      </c>
      <c r="L60" s="248">
        <v>26.5</v>
      </c>
      <c r="N60" s="235">
        <v>26</v>
      </c>
      <c r="O60" s="235">
        <v>37</v>
      </c>
      <c r="Q60" s="863"/>
      <c r="R60" s="590">
        <v>15.5</v>
      </c>
      <c r="S60" s="590">
        <v>35</v>
      </c>
    </row>
    <row r="61" spans="1:19" x14ac:dyDescent="0.2">
      <c r="A61" s="245"/>
      <c r="B61" s="228"/>
      <c r="C61" s="76" t="s">
        <v>347</v>
      </c>
      <c r="E61" s="870">
        <v>-2</v>
      </c>
      <c r="F61" s="870"/>
      <c r="H61" s="870">
        <v>0</v>
      </c>
      <c r="I61" s="870"/>
      <c r="K61" s="590">
        <v>0.1</v>
      </c>
      <c r="L61" s="590">
        <v>1.8</v>
      </c>
      <c r="N61" s="590">
        <v>0</v>
      </c>
      <c r="O61" s="590">
        <v>-2</v>
      </c>
      <c r="Q61" s="863"/>
      <c r="R61" s="590">
        <v>0</v>
      </c>
      <c r="S61" s="590">
        <v>-2</v>
      </c>
    </row>
    <row r="62" spans="1:19" x14ac:dyDescent="0.2">
      <c r="A62" s="245"/>
      <c r="B62" s="228"/>
      <c r="C62" s="76" t="s">
        <v>348</v>
      </c>
      <c r="N62" s="590">
        <v>0</v>
      </c>
      <c r="O62" s="590">
        <v>35.1</v>
      </c>
      <c r="Q62" s="863"/>
      <c r="R62" s="590">
        <v>0</v>
      </c>
      <c r="S62" s="590">
        <v>50.57</v>
      </c>
    </row>
    <row r="63" spans="1:19" x14ac:dyDescent="0.2">
      <c r="A63" s="245"/>
      <c r="B63" s="228"/>
      <c r="C63" s="76" t="s">
        <v>349</v>
      </c>
      <c r="E63" s="870" t="s">
        <v>350</v>
      </c>
      <c r="F63" s="870"/>
      <c r="H63" s="870" t="s">
        <v>360</v>
      </c>
      <c r="I63" s="870"/>
      <c r="N63" s="870" t="s">
        <v>365</v>
      </c>
      <c r="O63" s="870"/>
      <c r="Q63" s="863"/>
      <c r="R63" s="870" t="s">
        <v>364</v>
      </c>
      <c r="S63" s="870"/>
    </row>
    <row r="64" spans="1:19" x14ac:dyDescent="0.2">
      <c r="A64" s="245"/>
      <c r="B64" s="228"/>
      <c r="Q64" s="863"/>
    </row>
    <row r="65" spans="1:19" x14ac:dyDescent="0.2">
      <c r="A65" s="244" t="s">
        <v>386</v>
      </c>
      <c r="B65" s="540" t="s">
        <v>385</v>
      </c>
      <c r="Q65" s="863"/>
    </row>
    <row r="66" spans="1:19" x14ac:dyDescent="0.2">
      <c r="A66" s="245"/>
      <c r="B66" s="228"/>
      <c r="C66" s="76" t="s">
        <v>344</v>
      </c>
      <c r="E66" s="864">
        <v>1.84</v>
      </c>
      <c r="F66" s="864">
        <v>4.21</v>
      </c>
      <c r="H66" s="864">
        <v>2.76</v>
      </c>
      <c r="I66" s="864">
        <v>10.01</v>
      </c>
      <c r="K66" s="247">
        <v>4</v>
      </c>
      <c r="L66" s="247">
        <v>5.7</v>
      </c>
      <c r="N66" s="247">
        <v>2.5</v>
      </c>
      <c r="O66" s="247">
        <v>3.7</v>
      </c>
      <c r="P66" s="247"/>
      <c r="Q66" s="865"/>
      <c r="R66" s="247">
        <v>2.6</v>
      </c>
      <c r="S66" s="247">
        <v>4.3</v>
      </c>
    </row>
    <row r="67" spans="1:19" x14ac:dyDescent="0.2">
      <c r="A67" s="245"/>
      <c r="B67" s="228"/>
      <c r="C67" s="76" t="s">
        <v>345</v>
      </c>
      <c r="E67" s="870">
        <v>50</v>
      </c>
      <c r="F67" s="870"/>
      <c r="H67" s="870">
        <v>30</v>
      </c>
      <c r="I67" s="870"/>
      <c r="K67" s="248">
        <v>18.399999999999999</v>
      </c>
      <c r="L67" s="248">
        <v>34.4</v>
      </c>
      <c r="N67" s="235">
        <v>28</v>
      </c>
      <c r="O67" s="235">
        <v>41</v>
      </c>
      <c r="Q67" s="863"/>
      <c r="R67" s="590">
        <v>28</v>
      </c>
      <c r="S67" s="590">
        <v>42</v>
      </c>
    </row>
    <row r="68" spans="1:19" x14ac:dyDescent="0.2">
      <c r="A68" s="245"/>
      <c r="B68" s="228"/>
      <c r="C68" s="76" t="s">
        <v>346</v>
      </c>
      <c r="E68" s="235">
        <v>14.37</v>
      </c>
      <c r="F68" s="235">
        <v>33.89</v>
      </c>
      <c r="H68" s="235">
        <v>5.9</v>
      </c>
      <c r="I68" s="235">
        <v>23</v>
      </c>
      <c r="K68" s="248">
        <v>13.2</v>
      </c>
      <c r="L68" s="248">
        <v>27.1</v>
      </c>
      <c r="N68" s="235">
        <v>19.3</v>
      </c>
      <c r="O68" s="235">
        <v>35</v>
      </c>
      <c r="Q68" s="863"/>
      <c r="R68" s="590">
        <v>14.8</v>
      </c>
      <c r="S68" s="590">
        <v>35</v>
      </c>
    </row>
    <row r="69" spans="1:19" x14ac:dyDescent="0.2">
      <c r="A69" s="245"/>
      <c r="B69" s="228"/>
      <c r="C69" s="76" t="s">
        <v>347</v>
      </c>
      <c r="E69" s="870">
        <v>-3</v>
      </c>
      <c r="F69" s="870"/>
      <c r="H69" s="870">
        <v>-2.6</v>
      </c>
      <c r="I69" s="870"/>
      <c r="K69" s="590">
        <v>0.1</v>
      </c>
      <c r="L69" s="590">
        <v>1.8</v>
      </c>
      <c r="N69" s="590">
        <v>0</v>
      </c>
      <c r="O69" s="590">
        <v>-7</v>
      </c>
      <c r="Q69" s="863"/>
      <c r="R69" s="590">
        <v>0</v>
      </c>
      <c r="S69" s="590">
        <v>-5</v>
      </c>
    </row>
    <row r="70" spans="1:19" x14ac:dyDescent="0.2">
      <c r="A70" s="245"/>
      <c r="B70" s="228"/>
      <c r="C70" s="76" t="s">
        <v>348</v>
      </c>
      <c r="N70" s="590">
        <v>0</v>
      </c>
      <c r="O70" s="590">
        <v>42.29</v>
      </c>
      <c r="Q70" s="863"/>
      <c r="R70" s="590">
        <v>0</v>
      </c>
      <c r="S70" s="590">
        <v>44.69</v>
      </c>
    </row>
    <row r="71" spans="1:19" x14ac:dyDescent="0.2">
      <c r="A71" s="245"/>
      <c r="B71" s="228"/>
      <c r="C71" s="76" t="s">
        <v>349</v>
      </c>
      <c r="E71" s="870" t="s">
        <v>354</v>
      </c>
      <c r="F71" s="870"/>
      <c r="H71" s="870" t="s">
        <v>352</v>
      </c>
      <c r="I71" s="870"/>
      <c r="N71" s="870" t="s">
        <v>366</v>
      </c>
      <c r="O71" s="870"/>
      <c r="Q71" s="863"/>
      <c r="R71" s="870" t="s">
        <v>366</v>
      </c>
      <c r="S71" s="870"/>
    </row>
    <row r="72" spans="1:19" x14ac:dyDescent="0.2">
      <c r="A72" s="245"/>
      <c r="B72" s="228"/>
      <c r="Q72" s="863"/>
    </row>
    <row r="73" spans="1:19" x14ac:dyDescent="0.2">
      <c r="A73" s="244" t="s">
        <v>388</v>
      </c>
      <c r="B73" s="540" t="s">
        <v>387</v>
      </c>
      <c r="Q73" s="863"/>
    </row>
    <row r="74" spans="1:19" x14ac:dyDescent="0.2">
      <c r="A74" s="245"/>
      <c r="B74" s="228"/>
      <c r="C74" s="76" t="s">
        <v>344</v>
      </c>
      <c r="E74" s="864">
        <v>2.56</v>
      </c>
      <c r="F74" s="864">
        <v>7.96</v>
      </c>
      <c r="H74" s="864">
        <v>0.75</v>
      </c>
      <c r="I74" s="864">
        <v>9.24</v>
      </c>
      <c r="K74" s="247">
        <v>4</v>
      </c>
      <c r="L74" s="247">
        <v>5.7</v>
      </c>
      <c r="N74" s="247">
        <v>2.2000000000000002</v>
      </c>
      <c r="O74" s="247">
        <v>4.5999999999999996</v>
      </c>
      <c r="P74" s="247"/>
      <c r="Q74" s="865"/>
      <c r="R74" s="247">
        <v>2.7</v>
      </c>
      <c r="S74" s="247">
        <v>6.2</v>
      </c>
    </row>
    <row r="75" spans="1:19" x14ac:dyDescent="0.2">
      <c r="A75" s="245"/>
      <c r="B75" s="228"/>
      <c r="C75" s="76" t="s">
        <v>345</v>
      </c>
      <c r="E75" s="870">
        <v>50</v>
      </c>
      <c r="F75" s="870"/>
      <c r="H75" s="870">
        <v>25</v>
      </c>
      <c r="I75" s="870"/>
      <c r="K75" s="248">
        <v>16.100000000000001</v>
      </c>
      <c r="L75" s="248">
        <v>27.1</v>
      </c>
      <c r="N75" s="235">
        <v>24</v>
      </c>
      <c r="O75" s="235">
        <v>47</v>
      </c>
      <c r="Q75" s="863"/>
      <c r="R75" s="590">
        <v>25</v>
      </c>
      <c r="S75" s="590">
        <v>35</v>
      </c>
    </row>
    <row r="76" spans="1:19" x14ac:dyDescent="0.2">
      <c r="A76" s="245"/>
      <c r="B76" s="228"/>
      <c r="C76" s="76" t="s">
        <v>346</v>
      </c>
      <c r="E76" s="235">
        <v>15.28</v>
      </c>
      <c r="F76" s="235">
        <v>33.03</v>
      </c>
      <c r="H76" s="235">
        <v>5.3</v>
      </c>
      <c r="I76" s="235">
        <v>20.7</v>
      </c>
      <c r="K76" s="248">
        <v>4.5</v>
      </c>
      <c r="L76" s="248">
        <v>20.399999999999999</v>
      </c>
      <c r="N76" s="235">
        <v>12.9</v>
      </c>
      <c r="O76" s="235">
        <v>35</v>
      </c>
      <c r="Q76" s="863"/>
      <c r="R76" s="590">
        <v>13.1</v>
      </c>
      <c r="S76" s="590">
        <v>35</v>
      </c>
    </row>
    <row r="77" spans="1:19" x14ac:dyDescent="0.2">
      <c r="A77" s="245"/>
      <c r="B77" s="228"/>
      <c r="C77" s="76" t="s">
        <v>347</v>
      </c>
      <c r="E77" s="870">
        <v>-3</v>
      </c>
      <c r="F77" s="870"/>
      <c r="H77" s="870">
        <v>-3.1</v>
      </c>
      <c r="I77" s="870"/>
      <c r="K77" s="590">
        <v>0.1</v>
      </c>
      <c r="L77" s="590">
        <v>1.8</v>
      </c>
      <c r="N77" s="590">
        <v>0</v>
      </c>
      <c r="O77" s="590">
        <v>-11</v>
      </c>
      <c r="Q77" s="863"/>
      <c r="R77" s="590">
        <v>0</v>
      </c>
      <c r="S77" s="590">
        <v>-7</v>
      </c>
    </row>
    <row r="78" spans="1:19" x14ac:dyDescent="0.2">
      <c r="A78" s="245"/>
      <c r="B78" s="228"/>
      <c r="C78" s="76" t="s">
        <v>348</v>
      </c>
      <c r="N78" s="590">
        <v>0</v>
      </c>
      <c r="O78" s="590">
        <v>49.44</v>
      </c>
      <c r="Q78" s="863"/>
      <c r="R78" s="590">
        <v>0</v>
      </c>
      <c r="S78" s="590">
        <v>51.1</v>
      </c>
    </row>
    <row r="79" spans="1:19" x14ac:dyDescent="0.2">
      <c r="A79" s="245"/>
      <c r="B79" s="228"/>
      <c r="C79" s="76" t="s">
        <v>349</v>
      </c>
      <c r="E79" s="870" t="s">
        <v>355</v>
      </c>
      <c r="F79" s="870"/>
      <c r="H79" s="870" t="s">
        <v>363</v>
      </c>
      <c r="I79" s="870"/>
      <c r="N79" s="870" t="s">
        <v>364</v>
      </c>
      <c r="O79" s="870"/>
      <c r="Q79" s="863"/>
      <c r="R79" s="870" t="s">
        <v>364</v>
      </c>
      <c r="S79" s="870"/>
    </row>
    <row r="80" spans="1:19" x14ac:dyDescent="0.2">
      <c r="A80" s="245"/>
      <c r="B80" s="228"/>
      <c r="Q80" s="863"/>
    </row>
    <row r="81" spans="1:19" x14ac:dyDescent="0.2">
      <c r="A81" s="244" t="s">
        <v>390</v>
      </c>
      <c r="B81" s="540" t="s">
        <v>389</v>
      </c>
      <c r="Q81" s="863"/>
    </row>
    <row r="82" spans="1:19" x14ac:dyDescent="0.2">
      <c r="A82" s="245"/>
      <c r="B82" s="228"/>
      <c r="C82" s="76" t="s">
        <v>344</v>
      </c>
      <c r="E82" s="235">
        <v>2.2400000000000002</v>
      </c>
      <c r="F82" s="235">
        <v>11.81</v>
      </c>
      <c r="H82" s="868"/>
      <c r="I82" s="868"/>
      <c r="K82" s="868"/>
      <c r="L82" s="868"/>
      <c r="N82" s="868"/>
      <c r="O82" s="868"/>
      <c r="Q82" s="863"/>
      <c r="R82" s="868"/>
      <c r="S82" s="868"/>
    </row>
    <row r="83" spans="1:19" x14ac:dyDescent="0.2">
      <c r="A83" s="245"/>
      <c r="B83" s="228"/>
      <c r="C83" s="76" t="s">
        <v>345</v>
      </c>
      <c r="E83" s="870">
        <v>9</v>
      </c>
      <c r="F83" s="870"/>
      <c r="H83" s="868"/>
      <c r="I83" s="868"/>
      <c r="K83" s="868"/>
      <c r="L83" s="868"/>
      <c r="N83" s="868"/>
      <c r="O83" s="868"/>
      <c r="Q83" s="863"/>
      <c r="R83" s="868"/>
      <c r="S83" s="868"/>
    </row>
    <row r="84" spans="1:19" x14ac:dyDescent="0.2">
      <c r="A84" s="245"/>
      <c r="B84" s="228"/>
      <c r="C84" s="76" t="s">
        <v>346</v>
      </c>
      <c r="E84" s="235">
        <v>5.5</v>
      </c>
      <c r="F84" s="235">
        <v>19.16</v>
      </c>
      <c r="H84" s="868"/>
      <c r="I84" s="868"/>
      <c r="K84" s="868"/>
      <c r="L84" s="868"/>
      <c r="N84" s="868"/>
      <c r="O84" s="868"/>
      <c r="Q84" s="863"/>
      <c r="R84" s="868"/>
      <c r="S84" s="868"/>
    </row>
    <row r="85" spans="1:19" x14ac:dyDescent="0.2">
      <c r="A85" s="245"/>
      <c r="B85" s="228"/>
      <c r="C85" s="76" t="s">
        <v>347</v>
      </c>
      <c r="E85" s="235">
        <v>29</v>
      </c>
      <c r="F85" s="235">
        <v>35</v>
      </c>
      <c r="H85" s="868"/>
      <c r="I85" s="868"/>
      <c r="K85" s="868"/>
      <c r="L85" s="868"/>
      <c r="N85" s="868"/>
      <c r="O85" s="868"/>
      <c r="Q85" s="863"/>
      <c r="R85" s="868"/>
      <c r="S85" s="868"/>
    </row>
    <row r="86" spans="1:19" x14ac:dyDescent="0.2">
      <c r="A86" s="245"/>
      <c r="B86" s="228"/>
      <c r="C86" s="76" t="s">
        <v>348</v>
      </c>
      <c r="H86" s="868"/>
      <c r="I86" s="868"/>
      <c r="K86" s="868"/>
      <c r="L86" s="868"/>
      <c r="N86" s="868"/>
      <c r="O86" s="868"/>
      <c r="Q86" s="863"/>
      <c r="R86" s="868"/>
      <c r="S86" s="868"/>
    </row>
    <row r="87" spans="1:19" x14ac:dyDescent="0.2">
      <c r="A87" s="245"/>
      <c r="B87" s="228"/>
      <c r="C87" s="76" t="s">
        <v>349</v>
      </c>
      <c r="E87" s="870" t="s">
        <v>358</v>
      </c>
      <c r="F87" s="870"/>
      <c r="H87" s="868"/>
      <c r="I87" s="868"/>
      <c r="K87" s="868"/>
      <c r="L87" s="868"/>
      <c r="N87" s="868"/>
      <c r="O87" s="868"/>
      <c r="Q87" s="863"/>
      <c r="R87" s="868"/>
      <c r="S87" s="868"/>
    </row>
    <row r="88" spans="1:19" x14ac:dyDescent="0.2">
      <c r="A88" s="245"/>
      <c r="B88" s="228"/>
      <c r="Q88" s="863"/>
    </row>
    <row r="89" spans="1:19" x14ac:dyDescent="0.2">
      <c r="A89" s="244" t="s">
        <v>392</v>
      </c>
      <c r="B89" s="540" t="s">
        <v>391</v>
      </c>
      <c r="Q89" s="863"/>
    </row>
    <row r="90" spans="1:19" x14ac:dyDescent="0.2">
      <c r="A90" s="245"/>
      <c r="B90" s="228"/>
      <c r="C90" s="76" t="s">
        <v>344</v>
      </c>
      <c r="E90" s="235">
        <v>2.13</v>
      </c>
      <c r="F90" s="235">
        <v>3.93</v>
      </c>
      <c r="H90" s="235">
        <v>0.77</v>
      </c>
      <c r="I90" s="235">
        <v>6.47</v>
      </c>
      <c r="K90" s="247">
        <v>4</v>
      </c>
      <c r="L90" s="247">
        <v>5.7</v>
      </c>
      <c r="N90" s="868"/>
      <c r="O90" s="868"/>
      <c r="Q90" s="863"/>
      <c r="R90" s="868"/>
      <c r="S90" s="868"/>
    </row>
    <row r="91" spans="1:19" x14ac:dyDescent="0.2">
      <c r="A91" s="245"/>
      <c r="B91" s="228"/>
      <c r="C91" s="76" t="s">
        <v>345</v>
      </c>
      <c r="E91" s="870">
        <v>60</v>
      </c>
      <c r="F91" s="870"/>
      <c r="H91" s="870">
        <v>55</v>
      </c>
      <c r="I91" s="870"/>
      <c r="K91" s="248">
        <v>20</v>
      </c>
      <c r="L91" s="248">
        <v>43.1</v>
      </c>
      <c r="N91" s="868"/>
      <c r="O91" s="868"/>
      <c r="Q91" s="863"/>
      <c r="R91" s="868"/>
      <c r="S91" s="868"/>
    </row>
    <row r="92" spans="1:19" x14ac:dyDescent="0.2">
      <c r="A92" s="245"/>
      <c r="B92" s="228"/>
      <c r="C92" s="76" t="s">
        <v>346</v>
      </c>
      <c r="E92" s="235">
        <v>14.8</v>
      </c>
      <c r="F92" s="235">
        <v>35.9</v>
      </c>
      <c r="H92" s="235">
        <v>6.3</v>
      </c>
      <c r="I92" s="235">
        <v>25.8</v>
      </c>
      <c r="K92" s="248">
        <v>4.5</v>
      </c>
      <c r="L92" s="248">
        <v>27.1</v>
      </c>
      <c r="N92" s="868"/>
      <c r="O92" s="868"/>
      <c r="Q92" s="863"/>
      <c r="R92" s="868"/>
      <c r="S92" s="868"/>
    </row>
    <row r="93" spans="1:19" x14ac:dyDescent="0.2">
      <c r="A93" s="245"/>
      <c r="B93" s="228"/>
      <c r="C93" s="76" t="s">
        <v>347</v>
      </c>
      <c r="E93" s="870">
        <v>-3</v>
      </c>
      <c r="F93" s="870"/>
      <c r="H93" s="870">
        <v>-1</v>
      </c>
      <c r="I93" s="870"/>
      <c r="K93" s="590">
        <v>0.1</v>
      </c>
      <c r="L93" s="590">
        <v>1.8</v>
      </c>
      <c r="N93" s="868"/>
      <c r="O93" s="868"/>
      <c r="Q93" s="863"/>
      <c r="R93" s="868"/>
      <c r="S93" s="868"/>
    </row>
    <row r="94" spans="1:19" x14ac:dyDescent="0.2">
      <c r="A94" s="245"/>
      <c r="B94" s="228"/>
      <c r="C94" s="76" t="s">
        <v>348</v>
      </c>
      <c r="N94" s="868"/>
      <c r="O94" s="868"/>
      <c r="Q94" s="863"/>
      <c r="R94" s="868"/>
      <c r="S94" s="868"/>
    </row>
    <row r="95" spans="1:19" x14ac:dyDescent="0.2">
      <c r="A95" s="245"/>
      <c r="B95" s="228"/>
      <c r="C95" s="76" t="s">
        <v>349</v>
      </c>
      <c r="E95" s="870" t="s">
        <v>350</v>
      </c>
      <c r="F95" s="870"/>
      <c r="H95" s="870" t="s">
        <v>354</v>
      </c>
      <c r="I95" s="870"/>
      <c r="N95" s="868"/>
      <c r="O95" s="868"/>
      <c r="Q95" s="863"/>
      <c r="R95" s="868"/>
      <c r="S95" s="868"/>
    </row>
    <row r="96" spans="1:19" x14ac:dyDescent="0.2">
      <c r="A96" s="245"/>
      <c r="B96" s="228"/>
      <c r="Q96" s="863"/>
    </row>
    <row r="97" spans="1:19" x14ac:dyDescent="0.2">
      <c r="A97" s="244" t="s">
        <v>393</v>
      </c>
      <c r="B97" s="540" t="s">
        <v>381</v>
      </c>
      <c r="Q97" s="863"/>
    </row>
    <row r="98" spans="1:19" x14ac:dyDescent="0.2">
      <c r="A98" s="245"/>
      <c r="B98" s="228"/>
      <c r="C98" s="76" t="s">
        <v>344</v>
      </c>
      <c r="E98" s="864">
        <v>1.69</v>
      </c>
      <c r="F98" s="864">
        <v>3.71</v>
      </c>
      <c r="H98" s="864">
        <v>2.15</v>
      </c>
      <c r="I98" s="864">
        <v>7.9</v>
      </c>
      <c r="K98" s="247">
        <v>4</v>
      </c>
      <c r="L98" s="247">
        <v>5.7</v>
      </c>
      <c r="N98" s="247">
        <v>2.8</v>
      </c>
      <c r="O98" s="247">
        <v>4.2</v>
      </c>
      <c r="P98" s="247"/>
      <c r="Q98" s="865"/>
      <c r="R98" s="247">
        <v>2.5</v>
      </c>
      <c r="S98" s="247">
        <v>4.0999999999999996</v>
      </c>
    </row>
    <row r="99" spans="1:19" x14ac:dyDescent="0.2">
      <c r="A99" s="245"/>
      <c r="B99" s="228"/>
      <c r="C99" s="76" t="s">
        <v>345</v>
      </c>
      <c r="E99" s="870">
        <v>50</v>
      </c>
      <c r="F99" s="870"/>
      <c r="H99" s="870">
        <v>50</v>
      </c>
      <c r="I99" s="870"/>
      <c r="K99" s="248">
        <v>18.600000000000001</v>
      </c>
      <c r="L99" s="248">
        <v>36</v>
      </c>
      <c r="N99" s="235">
        <v>26</v>
      </c>
      <c r="O99" s="235">
        <v>36</v>
      </c>
      <c r="Q99" s="863"/>
      <c r="R99" s="590">
        <v>29</v>
      </c>
      <c r="S99" s="590">
        <v>37</v>
      </c>
    </row>
    <row r="100" spans="1:19" x14ac:dyDescent="0.2">
      <c r="A100" s="245"/>
      <c r="B100" s="228"/>
      <c r="C100" s="76" t="s">
        <v>346</v>
      </c>
      <c r="E100" s="235">
        <v>14.42</v>
      </c>
      <c r="F100" s="235">
        <v>35.46</v>
      </c>
      <c r="H100" s="235">
        <v>6.2</v>
      </c>
      <c r="I100" s="235">
        <v>25.5</v>
      </c>
      <c r="K100" s="248">
        <v>4.5</v>
      </c>
      <c r="L100" s="248">
        <v>26.9</v>
      </c>
      <c r="N100" s="235">
        <v>16.3</v>
      </c>
      <c r="O100" s="235">
        <v>35</v>
      </c>
      <c r="Q100" s="863"/>
      <c r="R100" s="590">
        <v>13.1</v>
      </c>
      <c r="S100" s="590">
        <v>35</v>
      </c>
    </row>
    <row r="101" spans="1:19" x14ac:dyDescent="0.2">
      <c r="A101" s="245"/>
      <c r="B101" s="228"/>
      <c r="C101" s="76" t="s">
        <v>347</v>
      </c>
      <c r="E101" s="870">
        <v>-2</v>
      </c>
      <c r="F101" s="870"/>
      <c r="H101" s="870">
        <v>-3.6</v>
      </c>
      <c r="I101" s="870"/>
      <c r="K101" s="590">
        <v>0.1</v>
      </c>
      <c r="L101" s="590">
        <v>1.8</v>
      </c>
      <c r="N101" s="590">
        <v>0</v>
      </c>
      <c r="O101" s="590">
        <v>-11</v>
      </c>
      <c r="Q101" s="863"/>
      <c r="R101" s="590">
        <v>0</v>
      </c>
      <c r="S101" s="590">
        <v>-5</v>
      </c>
    </row>
    <row r="102" spans="1:19" x14ac:dyDescent="0.2">
      <c r="A102" s="245"/>
      <c r="B102" s="228"/>
      <c r="C102" s="76" t="s">
        <v>348</v>
      </c>
      <c r="N102" s="590">
        <v>0</v>
      </c>
      <c r="O102" s="590">
        <v>46.51</v>
      </c>
      <c r="Q102" s="863"/>
      <c r="R102" s="590">
        <v>0</v>
      </c>
      <c r="S102" s="590">
        <v>62.13</v>
      </c>
    </row>
    <row r="103" spans="1:19" x14ac:dyDescent="0.2">
      <c r="A103" s="245"/>
      <c r="B103" s="228"/>
      <c r="C103" s="76" t="s">
        <v>349</v>
      </c>
      <c r="E103" s="870" t="s">
        <v>356</v>
      </c>
      <c r="F103" s="870"/>
      <c r="H103" s="870" t="s">
        <v>357</v>
      </c>
      <c r="I103" s="870"/>
      <c r="N103" s="870" t="s">
        <v>364</v>
      </c>
      <c r="O103" s="870"/>
      <c r="Q103" s="863"/>
      <c r="R103" s="870" t="s">
        <v>364</v>
      </c>
      <c r="S103" s="870"/>
    </row>
    <row r="104" spans="1:19" x14ac:dyDescent="0.2">
      <c r="A104" s="245"/>
      <c r="B104" s="228"/>
      <c r="Q104" s="863"/>
    </row>
    <row r="105" spans="1:19" x14ac:dyDescent="0.2">
      <c r="A105" s="244" t="s">
        <v>394</v>
      </c>
      <c r="B105" s="540" t="s">
        <v>332</v>
      </c>
      <c r="Q105" s="863"/>
    </row>
    <row r="106" spans="1:19" x14ac:dyDescent="0.2">
      <c r="B106" s="228"/>
      <c r="C106" s="76" t="s">
        <v>344</v>
      </c>
      <c r="E106" s="864" t="s">
        <v>371</v>
      </c>
      <c r="F106" s="864">
        <v>3.68</v>
      </c>
      <c r="H106" s="864">
        <v>1.04</v>
      </c>
      <c r="I106" s="864">
        <v>12.87</v>
      </c>
      <c r="K106" s="247">
        <v>4</v>
      </c>
      <c r="L106" s="247">
        <v>5.7</v>
      </c>
      <c r="N106" s="247">
        <v>2.4</v>
      </c>
      <c r="O106" s="247">
        <v>4.3</v>
      </c>
      <c r="P106" s="247"/>
      <c r="Q106" s="865"/>
      <c r="R106" s="247">
        <v>1.7</v>
      </c>
      <c r="S106" s="247">
        <v>5.6</v>
      </c>
    </row>
    <row r="107" spans="1:19" x14ac:dyDescent="0.2">
      <c r="B107" s="228"/>
      <c r="C107" s="76" t="s">
        <v>345</v>
      </c>
      <c r="E107" s="870">
        <v>50</v>
      </c>
      <c r="F107" s="870"/>
      <c r="H107" s="870">
        <v>45</v>
      </c>
      <c r="I107" s="870"/>
      <c r="K107" s="248">
        <v>16.600000000000001</v>
      </c>
      <c r="L107" s="248">
        <v>30.1</v>
      </c>
      <c r="N107" s="235">
        <v>30</v>
      </c>
      <c r="O107" s="235">
        <v>43</v>
      </c>
      <c r="Q107" s="863"/>
      <c r="R107" s="590">
        <v>29</v>
      </c>
      <c r="S107" s="590">
        <v>40</v>
      </c>
    </row>
    <row r="108" spans="1:19" x14ac:dyDescent="0.2">
      <c r="B108" s="228"/>
      <c r="C108" s="76" t="s">
        <v>346</v>
      </c>
      <c r="E108" s="235" t="s">
        <v>372</v>
      </c>
      <c r="F108" s="235">
        <v>33.74</v>
      </c>
      <c r="H108" s="235">
        <v>6.2</v>
      </c>
      <c r="I108" s="235">
        <v>39</v>
      </c>
      <c r="K108" s="248">
        <v>13.2</v>
      </c>
      <c r="L108" s="248">
        <v>25.5</v>
      </c>
      <c r="N108" s="235">
        <v>19.3</v>
      </c>
      <c r="O108" s="235">
        <v>35</v>
      </c>
      <c r="Q108" s="863"/>
      <c r="R108" s="590">
        <v>15.5</v>
      </c>
      <c r="S108" s="590">
        <v>35</v>
      </c>
    </row>
    <row r="109" spans="1:19" x14ac:dyDescent="0.2">
      <c r="B109" s="228"/>
      <c r="C109" s="76" t="s">
        <v>347</v>
      </c>
      <c r="E109" s="870">
        <v>-2</v>
      </c>
      <c r="F109" s="870"/>
      <c r="H109" s="870">
        <v>-3.5</v>
      </c>
      <c r="I109" s="870"/>
      <c r="K109" s="590">
        <v>0.1</v>
      </c>
      <c r="L109" s="590">
        <v>1.8</v>
      </c>
      <c r="N109" s="590">
        <v>0</v>
      </c>
      <c r="O109" s="590">
        <v>-8</v>
      </c>
      <c r="Q109" s="863"/>
      <c r="R109" s="590">
        <v>0</v>
      </c>
      <c r="S109" s="590">
        <v>-2</v>
      </c>
    </row>
    <row r="110" spans="1:19" x14ac:dyDescent="0.2">
      <c r="B110" s="228"/>
      <c r="C110" s="76" t="s">
        <v>348</v>
      </c>
      <c r="N110" s="590">
        <v>0</v>
      </c>
      <c r="O110" s="590">
        <v>39.979999999999997</v>
      </c>
      <c r="Q110" s="863"/>
      <c r="R110" s="590">
        <v>0</v>
      </c>
      <c r="S110" s="590">
        <v>67.98</v>
      </c>
    </row>
    <row r="111" spans="1:19" x14ac:dyDescent="0.2">
      <c r="B111" s="228"/>
      <c r="C111" s="76" t="s">
        <v>349</v>
      </c>
      <c r="E111" s="870" t="s">
        <v>357</v>
      </c>
      <c r="F111" s="870"/>
      <c r="H111" s="870" t="s">
        <v>354</v>
      </c>
      <c r="I111" s="870"/>
      <c r="N111" s="870" t="s">
        <v>364</v>
      </c>
      <c r="O111" s="870"/>
      <c r="Q111" s="863"/>
      <c r="R111" s="870" t="s">
        <v>364</v>
      </c>
      <c r="S111" s="870"/>
    </row>
    <row r="112" spans="1:19" x14ac:dyDescent="0.2">
      <c r="B112" s="228"/>
      <c r="Q112" s="863"/>
    </row>
    <row r="113" spans="1:19" x14ac:dyDescent="0.2">
      <c r="B113" s="537" t="s">
        <v>333</v>
      </c>
      <c r="C113" s="538"/>
      <c r="Q113" s="863"/>
    </row>
    <row r="114" spans="1:19" x14ac:dyDescent="0.2">
      <c r="A114" s="150"/>
      <c r="B114" s="228"/>
      <c r="Q114" s="863"/>
    </row>
    <row r="115" spans="1:19" x14ac:dyDescent="0.2">
      <c r="A115" s="244" t="s">
        <v>384</v>
      </c>
      <c r="B115" s="539" t="s">
        <v>375</v>
      </c>
      <c r="Q115" s="863"/>
    </row>
    <row r="116" spans="1:19" x14ac:dyDescent="0.2">
      <c r="A116" s="245"/>
      <c r="B116" s="228"/>
      <c r="C116" s="76" t="s">
        <v>344</v>
      </c>
      <c r="E116" s="235">
        <v>2.99</v>
      </c>
      <c r="F116" s="235">
        <v>3.51</v>
      </c>
      <c r="H116" s="868"/>
      <c r="I116" s="868"/>
      <c r="K116" s="868"/>
      <c r="L116" s="868"/>
      <c r="N116" s="870">
        <v>3.3</v>
      </c>
      <c r="O116" s="870"/>
      <c r="Q116" s="863"/>
      <c r="R116" s="870">
        <v>3.3</v>
      </c>
      <c r="S116" s="870"/>
    </row>
    <row r="117" spans="1:19" x14ac:dyDescent="0.2">
      <c r="A117" s="245"/>
      <c r="B117" s="228"/>
      <c r="C117" s="76" t="s">
        <v>345</v>
      </c>
      <c r="E117" s="870">
        <v>30</v>
      </c>
      <c r="F117" s="870"/>
      <c r="H117" s="868"/>
      <c r="I117" s="868"/>
      <c r="K117" s="868"/>
      <c r="L117" s="868"/>
      <c r="N117" s="870">
        <v>30</v>
      </c>
      <c r="O117" s="870"/>
      <c r="Q117" s="863"/>
      <c r="R117" s="870">
        <v>30</v>
      </c>
      <c r="S117" s="870"/>
    </row>
    <row r="118" spans="1:19" x14ac:dyDescent="0.2">
      <c r="A118" s="245"/>
      <c r="B118" s="228"/>
      <c r="C118" s="76" t="s">
        <v>346</v>
      </c>
      <c r="E118" s="235">
        <v>21.52</v>
      </c>
      <c r="F118" s="235">
        <v>28.53</v>
      </c>
      <c r="H118" s="868"/>
      <c r="I118" s="868"/>
      <c r="K118" s="868"/>
      <c r="L118" s="868"/>
      <c r="N118" s="870">
        <v>30</v>
      </c>
      <c r="O118" s="870"/>
      <c r="Q118" s="863"/>
      <c r="R118" s="870">
        <v>29</v>
      </c>
      <c r="S118" s="870"/>
    </row>
    <row r="119" spans="1:19" x14ac:dyDescent="0.2">
      <c r="A119" s="245"/>
      <c r="B119" s="228"/>
      <c r="C119" s="76" t="s">
        <v>347</v>
      </c>
      <c r="E119" s="870">
        <v>-2</v>
      </c>
      <c r="F119" s="870"/>
      <c r="H119" s="868"/>
      <c r="I119" s="868"/>
      <c r="K119" s="868"/>
      <c r="L119" s="868"/>
      <c r="N119" s="870">
        <v>0</v>
      </c>
      <c r="O119" s="870"/>
      <c r="Q119" s="863"/>
      <c r="R119" s="870">
        <v>0</v>
      </c>
      <c r="S119" s="870"/>
    </row>
    <row r="120" spans="1:19" x14ac:dyDescent="0.2">
      <c r="A120" s="245"/>
      <c r="B120" s="228"/>
      <c r="C120" s="76" t="s">
        <v>348</v>
      </c>
      <c r="H120" s="868"/>
      <c r="I120" s="868"/>
      <c r="K120" s="868"/>
      <c r="L120" s="868"/>
      <c r="N120" s="870">
        <v>0</v>
      </c>
      <c r="O120" s="870"/>
      <c r="Q120" s="863"/>
      <c r="R120" s="870">
        <v>3.38</v>
      </c>
      <c r="S120" s="870"/>
    </row>
    <row r="121" spans="1:19" x14ac:dyDescent="0.2">
      <c r="A121" s="245"/>
      <c r="B121" s="228"/>
      <c r="C121" s="76" t="s">
        <v>349</v>
      </c>
      <c r="E121" s="870" t="s">
        <v>359</v>
      </c>
      <c r="F121" s="870"/>
      <c r="H121" s="868"/>
      <c r="I121" s="868"/>
      <c r="K121" s="868"/>
      <c r="L121" s="868"/>
      <c r="N121" s="870" t="s">
        <v>359</v>
      </c>
      <c r="O121" s="870"/>
      <c r="Q121" s="863"/>
      <c r="R121" s="870" t="s">
        <v>359</v>
      </c>
      <c r="S121" s="870"/>
    </row>
    <row r="122" spans="1:19" x14ac:dyDescent="0.2">
      <c r="A122" s="245"/>
      <c r="B122" s="228"/>
      <c r="H122" s="868"/>
      <c r="I122" s="868"/>
      <c r="K122" s="868"/>
      <c r="L122" s="868"/>
      <c r="Q122" s="863"/>
    </row>
    <row r="123" spans="1:19" x14ac:dyDescent="0.2">
      <c r="A123" s="244" t="s">
        <v>388</v>
      </c>
      <c r="B123" s="540" t="s">
        <v>387</v>
      </c>
      <c r="H123" s="868"/>
      <c r="I123" s="868"/>
      <c r="K123" s="868"/>
      <c r="L123" s="868"/>
      <c r="Q123" s="863"/>
    </row>
    <row r="124" spans="1:19" x14ac:dyDescent="0.2">
      <c r="A124" s="245"/>
      <c r="B124" s="228"/>
      <c r="C124" s="76" t="s">
        <v>344</v>
      </c>
      <c r="E124" s="235" t="s">
        <v>373</v>
      </c>
      <c r="F124" s="235">
        <v>3.38</v>
      </c>
      <c r="H124" s="868"/>
      <c r="I124" s="868"/>
      <c r="K124" s="868"/>
      <c r="L124" s="868"/>
      <c r="N124" s="870">
        <v>3.3</v>
      </c>
      <c r="O124" s="870"/>
      <c r="Q124" s="863"/>
      <c r="R124" s="870">
        <v>3.3</v>
      </c>
      <c r="S124" s="870"/>
    </row>
    <row r="125" spans="1:19" x14ac:dyDescent="0.2">
      <c r="A125" s="245"/>
      <c r="B125" s="228"/>
      <c r="C125" s="76" t="s">
        <v>345</v>
      </c>
      <c r="E125" s="870">
        <v>30</v>
      </c>
      <c r="F125" s="870"/>
      <c r="H125" s="868"/>
      <c r="I125" s="868"/>
      <c r="K125" s="868"/>
      <c r="L125" s="868"/>
      <c r="N125" s="870">
        <v>30</v>
      </c>
      <c r="O125" s="870"/>
      <c r="Q125" s="863"/>
      <c r="R125" s="870">
        <v>30</v>
      </c>
      <c r="S125" s="870"/>
    </row>
    <row r="126" spans="1:19" x14ac:dyDescent="0.2">
      <c r="A126" s="245"/>
      <c r="B126" s="228"/>
      <c r="C126" s="76" t="s">
        <v>346</v>
      </c>
      <c r="E126" s="235" t="s">
        <v>374</v>
      </c>
      <c r="F126" s="235">
        <v>28.53</v>
      </c>
      <c r="H126" s="868"/>
      <c r="I126" s="868"/>
      <c r="K126" s="868"/>
      <c r="L126" s="868"/>
      <c r="N126" s="870">
        <v>30</v>
      </c>
      <c r="O126" s="870"/>
      <c r="Q126" s="863"/>
      <c r="R126" s="870">
        <v>29</v>
      </c>
      <c r="S126" s="870"/>
    </row>
    <row r="127" spans="1:19" x14ac:dyDescent="0.2">
      <c r="A127" s="245"/>
      <c r="B127" s="228"/>
      <c r="C127" s="76" t="s">
        <v>347</v>
      </c>
      <c r="E127" s="870">
        <v>-3</v>
      </c>
      <c r="F127" s="870"/>
      <c r="H127" s="868"/>
      <c r="I127" s="868"/>
      <c r="K127" s="868"/>
      <c r="L127" s="868"/>
      <c r="N127" s="870">
        <v>0</v>
      </c>
      <c r="O127" s="870"/>
      <c r="Q127" s="863"/>
      <c r="R127" s="870">
        <v>0</v>
      </c>
      <c r="S127" s="870"/>
    </row>
    <row r="128" spans="1:19" x14ac:dyDescent="0.2">
      <c r="A128" s="245"/>
      <c r="B128" s="228"/>
      <c r="C128" s="76" t="s">
        <v>348</v>
      </c>
      <c r="H128" s="868"/>
      <c r="I128" s="868"/>
      <c r="K128" s="868"/>
      <c r="L128" s="868"/>
      <c r="N128" s="870">
        <v>0</v>
      </c>
      <c r="O128" s="870"/>
      <c r="Q128" s="863"/>
      <c r="R128" s="870">
        <v>4.1100000000000003</v>
      </c>
      <c r="S128" s="870"/>
    </row>
    <row r="129" spans="1:19" x14ac:dyDescent="0.2">
      <c r="A129" s="245"/>
      <c r="B129" s="228"/>
      <c r="C129" s="76" t="s">
        <v>349</v>
      </c>
      <c r="E129" s="870" t="s">
        <v>359</v>
      </c>
      <c r="F129" s="870"/>
      <c r="H129" s="868"/>
      <c r="I129" s="868"/>
      <c r="K129" s="868"/>
      <c r="L129" s="868"/>
      <c r="N129" s="870" t="s">
        <v>359</v>
      </c>
      <c r="O129" s="870"/>
      <c r="Q129" s="863"/>
      <c r="R129" s="870" t="s">
        <v>359</v>
      </c>
      <c r="S129" s="870"/>
    </row>
    <row r="130" spans="1:19" x14ac:dyDescent="0.2">
      <c r="A130" s="245"/>
      <c r="B130" s="228"/>
      <c r="H130" s="868"/>
      <c r="I130" s="868"/>
      <c r="K130" s="868"/>
      <c r="L130" s="868"/>
      <c r="Q130" s="863"/>
    </row>
    <row r="131" spans="1:19" x14ac:dyDescent="0.2">
      <c r="A131" s="244" t="s">
        <v>393</v>
      </c>
      <c r="B131" s="540" t="s">
        <v>381</v>
      </c>
      <c r="H131" s="868"/>
      <c r="I131" s="868"/>
      <c r="K131" s="868"/>
      <c r="L131" s="868"/>
      <c r="Q131" s="863"/>
    </row>
    <row r="132" spans="1:19" x14ac:dyDescent="0.2">
      <c r="A132" s="245"/>
      <c r="B132" s="228"/>
      <c r="C132" s="76" t="s">
        <v>344</v>
      </c>
      <c r="E132" s="235">
        <v>2.98</v>
      </c>
      <c r="F132" s="235">
        <v>3.68</v>
      </c>
      <c r="H132" s="868"/>
      <c r="I132" s="868"/>
      <c r="K132" s="868"/>
      <c r="L132" s="868"/>
      <c r="N132" s="870">
        <v>3.3</v>
      </c>
      <c r="O132" s="870"/>
      <c r="Q132" s="863"/>
      <c r="R132" s="870">
        <v>3.3</v>
      </c>
      <c r="S132" s="870"/>
    </row>
    <row r="133" spans="1:19" x14ac:dyDescent="0.2">
      <c r="A133" s="245"/>
      <c r="B133" s="228"/>
      <c r="C133" s="76" t="s">
        <v>345</v>
      </c>
      <c r="E133" s="870">
        <v>30</v>
      </c>
      <c r="F133" s="870"/>
      <c r="H133" s="868"/>
      <c r="I133" s="868"/>
      <c r="K133" s="868"/>
      <c r="L133" s="868"/>
      <c r="N133" s="870">
        <v>30</v>
      </c>
      <c r="O133" s="870"/>
      <c r="Q133" s="863"/>
      <c r="R133" s="870">
        <v>30</v>
      </c>
      <c r="S133" s="870"/>
    </row>
    <row r="134" spans="1:19" x14ac:dyDescent="0.2">
      <c r="A134" s="245"/>
      <c r="B134" s="228"/>
      <c r="C134" s="76" t="s">
        <v>346</v>
      </c>
      <c r="E134" s="235">
        <v>21.52</v>
      </c>
      <c r="F134" s="235">
        <v>28.53</v>
      </c>
      <c r="H134" s="868"/>
      <c r="I134" s="868"/>
      <c r="K134" s="868"/>
      <c r="L134" s="868"/>
      <c r="N134" s="870">
        <v>30</v>
      </c>
      <c r="O134" s="870"/>
      <c r="Q134" s="863"/>
      <c r="R134" s="870">
        <v>29</v>
      </c>
      <c r="S134" s="870"/>
    </row>
    <row r="135" spans="1:19" x14ac:dyDescent="0.2">
      <c r="A135" s="245"/>
      <c r="B135" s="228"/>
      <c r="C135" s="76" t="s">
        <v>347</v>
      </c>
      <c r="E135" s="870">
        <v>-2</v>
      </c>
      <c r="F135" s="870"/>
      <c r="H135" s="868"/>
      <c r="I135" s="868"/>
      <c r="K135" s="868"/>
      <c r="L135" s="868"/>
      <c r="N135" s="870">
        <v>0</v>
      </c>
      <c r="O135" s="870"/>
      <c r="Q135" s="863"/>
      <c r="R135" s="870">
        <v>0</v>
      </c>
      <c r="S135" s="870"/>
    </row>
    <row r="136" spans="1:19" x14ac:dyDescent="0.2">
      <c r="A136" s="245"/>
      <c r="B136" s="228"/>
      <c r="C136" s="76" t="s">
        <v>348</v>
      </c>
      <c r="H136" s="868"/>
      <c r="I136" s="868"/>
      <c r="K136" s="868"/>
      <c r="L136" s="868"/>
      <c r="N136" s="870">
        <v>0</v>
      </c>
      <c r="O136" s="870"/>
      <c r="Q136" s="863"/>
      <c r="R136" s="870">
        <v>3.91</v>
      </c>
      <c r="S136" s="870"/>
    </row>
    <row r="137" spans="1:19" x14ac:dyDescent="0.2">
      <c r="A137" s="245"/>
      <c r="B137" s="228"/>
      <c r="C137" s="76" t="s">
        <v>349</v>
      </c>
      <c r="E137" s="870" t="s">
        <v>359</v>
      </c>
      <c r="F137" s="870"/>
      <c r="H137" s="868"/>
      <c r="I137" s="868"/>
      <c r="K137" s="868"/>
      <c r="L137" s="868"/>
      <c r="N137" s="870" t="s">
        <v>359</v>
      </c>
      <c r="O137" s="870"/>
      <c r="Q137" s="863"/>
      <c r="R137" s="870" t="s">
        <v>359</v>
      </c>
      <c r="S137" s="870"/>
    </row>
    <row r="138" spans="1:19" x14ac:dyDescent="0.2">
      <c r="A138" s="245"/>
      <c r="B138" s="228"/>
      <c r="H138" s="868"/>
      <c r="I138" s="868"/>
      <c r="K138" s="868"/>
      <c r="L138" s="868"/>
      <c r="Q138" s="863"/>
    </row>
    <row r="139" spans="1:19" x14ac:dyDescent="0.2">
      <c r="A139" s="244" t="s">
        <v>394</v>
      </c>
      <c r="B139" s="540" t="s">
        <v>332</v>
      </c>
      <c r="H139" s="868"/>
      <c r="I139" s="868"/>
      <c r="K139" s="868"/>
      <c r="L139" s="868"/>
      <c r="Q139" s="863"/>
    </row>
    <row r="140" spans="1:19" x14ac:dyDescent="0.2">
      <c r="B140" s="228"/>
      <c r="C140" s="76" t="s">
        <v>344</v>
      </c>
      <c r="E140" s="870">
        <v>2.84</v>
      </c>
      <c r="F140" s="870"/>
      <c r="H140" s="868"/>
      <c r="I140" s="868"/>
      <c r="K140" s="868"/>
      <c r="L140" s="868"/>
      <c r="N140" s="870">
        <v>3.3</v>
      </c>
      <c r="O140" s="870"/>
      <c r="Q140" s="863"/>
      <c r="R140" s="870">
        <v>3.3</v>
      </c>
      <c r="S140" s="870"/>
    </row>
    <row r="141" spans="1:19" x14ac:dyDescent="0.2">
      <c r="B141" s="228"/>
      <c r="C141" s="76" t="s">
        <v>345</v>
      </c>
      <c r="E141" s="870">
        <v>30</v>
      </c>
      <c r="F141" s="870"/>
      <c r="H141" s="868"/>
      <c r="I141" s="868"/>
      <c r="K141" s="868"/>
      <c r="L141" s="868"/>
      <c r="N141" s="870">
        <v>30</v>
      </c>
      <c r="O141" s="870"/>
      <c r="Q141" s="863"/>
      <c r="R141" s="870">
        <v>30</v>
      </c>
      <c r="S141" s="870"/>
    </row>
    <row r="142" spans="1:19" x14ac:dyDescent="0.2">
      <c r="B142" s="228"/>
      <c r="C142" s="76" t="s">
        <v>346</v>
      </c>
      <c r="E142" s="870">
        <v>27.48</v>
      </c>
      <c r="F142" s="870"/>
      <c r="H142" s="868"/>
      <c r="I142" s="868"/>
      <c r="K142" s="868"/>
      <c r="L142" s="868"/>
      <c r="N142" s="870">
        <v>30</v>
      </c>
      <c r="O142" s="870"/>
      <c r="Q142" s="863"/>
      <c r="R142" s="870">
        <v>30</v>
      </c>
      <c r="S142" s="870"/>
    </row>
    <row r="143" spans="1:19" x14ac:dyDescent="0.2">
      <c r="B143" s="228"/>
      <c r="C143" s="76" t="s">
        <v>347</v>
      </c>
      <c r="E143" s="870">
        <v>-2</v>
      </c>
      <c r="F143" s="870"/>
      <c r="H143" s="868"/>
      <c r="I143" s="868"/>
      <c r="K143" s="868"/>
      <c r="L143" s="868"/>
      <c r="N143" s="870">
        <v>0</v>
      </c>
      <c r="O143" s="870"/>
      <c r="Q143" s="863"/>
      <c r="R143" s="870">
        <v>0</v>
      </c>
      <c r="S143" s="870"/>
    </row>
    <row r="144" spans="1:19" x14ac:dyDescent="0.2">
      <c r="B144" s="228"/>
      <c r="C144" s="76" t="s">
        <v>348</v>
      </c>
      <c r="H144" s="868"/>
      <c r="I144" s="868"/>
      <c r="K144" s="868"/>
      <c r="L144" s="868"/>
      <c r="N144" s="870">
        <v>0</v>
      </c>
      <c r="O144" s="870"/>
      <c r="Q144" s="863"/>
      <c r="R144" s="870">
        <v>0</v>
      </c>
      <c r="S144" s="870"/>
    </row>
    <row r="145" spans="1:19" x14ac:dyDescent="0.2">
      <c r="B145" s="228"/>
      <c r="C145" s="76" t="s">
        <v>349</v>
      </c>
      <c r="E145" s="870" t="s">
        <v>359</v>
      </c>
      <c r="F145" s="870"/>
      <c r="H145" s="868"/>
      <c r="I145" s="868"/>
      <c r="K145" s="868"/>
      <c r="L145" s="868"/>
      <c r="N145" s="870" t="s">
        <v>359</v>
      </c>
      <c r="O145" s="870"/>
      <c r="Q145" s="863"/>
      <c r="R145" s="870" t="s">
        <v>359</v>
      </c>
      <c r="S145" s="870"/>
    </row>
    <row r="146" spans="1:19" x14ac:dyDescent="0.2">
      <c r="A146" s="245"/>
      <c r="B146" s="228"/>
      <c r="H146" s="868"/>
      <c r="I146" s="868"/>
      <c r="K146" s="868"/>
      <c r="L146" s="868"/>
      <c r="Q146" s="863"/>
    </row>
    <row r="147" spans="1:19" x14ac:dyDescent="0.2">
      <c r="A147" s="244">
        <v>348</v>
      </c>
      <c r="B147" s="540" t="s">
        <v>1349</v>
      </c>
      <c r="E147" s="868"/>
      <c r="F147" s="868"/>
      <c r="H147" s="868"/>
      <c r="I147" s="868"/>
      <c r="K147" s="868"/>
      <c r="L147" s="868"/>
      <c r="Q147" s="863"/>
    </row>
    <row r="148" spans="1:19" x14ac:dyDescent="0.2">
      <c r="B148" s="228"/>
      <c r="C148" s="76" t="s">
        <v>344</v>
      </c>
      <c r="E148" s="868"/>
      <c r="F148" s="868"/>
      <c r="H148" s="868"/>
      <c r="I148" s="868"/>
      <c r="K148" s="868"/>
      <c r="L148" s="868"/>
      <c r="N148" s="870">
        <v>10</v>
      </c>
      <c r="O148" s="870"/>
      <c r="Q148" s="863"/>
      <c r="R148" s="870">
        <v>10</v>
      </c>
      <c r="S148" s="870"/>
    </row>
    <row r="149" spans="1:19" x14ac:dyDescent="0.2">
      <c r="B149" s="228"/>
      <c r="C149" s="76" t="s">
        <v>345</v>
      </c>
      <c r="E149" s="868"/>
      <c r="F149" s="868"/>
      <c r="H149" s="868"/>
      <c r="I149" s="868"/>
      <c r="K149" s="868"/>
      <c r="L149" s="868"/>
      <c r="N149" s="870">
        <v>10</v>
      </c>
      <c r="O149" s="870"/>
      <c r="Q149" s="863"/>
      <c r="R149" s="870">
        <v>10</v>
      </c>
      <c r="S149" s="870"/>
    </row>
    <row r="150" spans="1:19" x14ac:dyDescent="0.2">
      <c r="B150" s="228"/>
      <c r="C150" s="76" t="s">
        <v>346</v>
      </c>
      <c r="E150" s="868"/>
      <c r="F150" s="868"/>
      <c r="H150" s="868"/>
      <c r="I150" s="868"/>
      <c r="K150" s="868"/>
      <c r="L150" s="868"/>
      <c r="N150" s="870">
        <v>10</v>
      </c>
      <c r="O150" s="870"/>
      <c r="Q150" s="863"/>
      <c r="R150" s="870">
        <v>10</v>
      </c>
      <c r="S150" s="870"/>
    </row>
    <row r="151" spans="1:19" x14ac:dyDescent="0.2">
      <c r="B151" s="228"/>
      <c r="C151" s="76" t="s">
        <v>347</v>
      </c>
      <c r="E151" s="868"/>
      <c r="F151" s="868"/>
      <c r="H151" s="868"/>
      <c r="I151" s="868"/>
      <c r="K151" s="868"/>
      <c r="L151" s="868"/>
      <c r="N151" s="870">
        <v>0</v>
      </c>
      <c r="O151" s="870"/>
      <c r="Q151" s="863"/>
      <c r="R151" s="870">
        <v>0</v>
      </c>
      <c r="S151" s="870"/>
    </row>
    <row r="152" spans="1:19" x14ac:dyDescent="0.2">
      <c r="B152" s="228"/>
      <c r="C152" s="76" t="s">
        <v>348</v>
      </c>
      <c r="E152" s="868"/>
      <c r="F152" s="868"/>
      <c r="H152" s="868"/>
      <c r="I152" s="868"/>
      <c r="K152" s="868"/>
      <c r="L152" s="868"/>
      <c r="N152" s="870">
        <v>0</v>
      </c>
      <c r="O152" s="870"/>
      <c r="Q152" s="863"/>
      <c r="R152" s="870">
        <v>0</v>
      </c>
      <c r="S152" s="870"/>
    </row>
    <row r="153" spans="1:19" x14ac:dyDescent="0.2">
      <c r="B153" s="228"/>
      <c r="C153" s="76" t="s">
        <v>349</v>
      </c>
      <c r="E153" s="868"/>
      <c r="F153" s="868"/>
      <c r="H153" s="868"/>
      <c r="I153" s="868"/>
      <c r="K153" s="868"/>
      <c r="L153" s="868"/>
      <c r="N153" s="870" t="s">
        <v>359</v>
      </c>
      <c r="O153" s="870"/>
      <c r="Q153" s="863"/>
      <c r="R153" s="870" t="s">
        <v>359</v>
      </c>
      <c r="S153" s="870"/>
    </row>
  </sheetData>
  <mergeCells count="182">
    <mergeCell ref="E143:F143"/>
    <mergeCell ref="E145:F145"/>
    <mergeCell ref="E135:F135"/>
    <mergeCell ref="E137:F137"/>
    <mergeCell ref="E140:F140"/>
    <mergeCell ref="E141:F141"/>
    <mergeCell ref="E142:F142"/>
    <mergeCell ref="R145:S145"/>
    <mergeCell ref="R153:S153"/>
    <mergeCell ref="N137:O137"/>
    <mergeCell ref="N140:O140"/>
    <mergeCell ref="N141:O141"/>
    <mergeCell ref="N142:O142"/>
    <mergeCell ref="N143:O143"/>
    <mergeCell ref="N144:O144"/>
    <mergeCell ref="N153:O153"/>
    <mergeCell ref="R150:S150"/>
    <mergeCell ref="R151:S151"/>
    <mergeCell ref="R152:S152"/>
    <mergeCell ref="R140:S140"/>
    <mergeCell ref="R148:S148"/>
    <mergeCell ref="R149:S149"/>
    <mergeCell ref="R141:S141"/>
    <mergeCell ref="R142:S142"/>
    <mergeCell ref="R79:S79"/>
    <mergeCell ref="R103:S103"/>
    <mergeCell ref="R111:S111"/>
    <mergeCell ref="R129:S129"/>
    <mergeCell ref="R137:S137"/>
    <mergeCell ref="R126:S126"/>
    <mergeCell ref="R127:S127"/>
    <mergeCell ref="R128:S128"/>
    <mergeCell ref="R134:S134"/>
    <mergeCell ref="R135:S135"/>
    <mergeCell ref="R136:S136"/>
    <mergeCell ref="R133:S133"/>
    <mergeCell ref="R132:S132"/>
    <mergeCell ref="N79:O79"/>
    <mergeCell ref="N103:O103"/>
    <mergeCell ref="R117:S117"/>
    <mergeCell ref="R125:S125"/>
    <mergeCell ref="N111:O111"/>
    <mergeCell ref="N37:O37"/>
    <mergeCell ref="N45:O45"/>
    <mergeCell ref="N53:O53"/>
    <mergeCell ref="R121:S121"/>
    <mergeCell ref="R118:S118"/>
    <mergeCell ref="R119:S119"/>
    <mergeCell ref="R120:S120"/>
    <mergeCell ref="N116:O116"/>
    <mergeCell ref="N117:O117"/>
    <mergeCell ref="N118:O118"/>
    <mergeCell ref="N119:O119"/>
    <mergeCell ref="N120:O120"/>
    <mergeCell ref="N121:O121"/>
    <mergeCell ref="N124:O124"/>
    <mergeCell ref="N125:O125"/>
    <mergeCell ref="R116:S116"/>
    <mergeCell ref="R124:S124"/>
    <mergeCell ref="R63:S63"/>
    <mergeCell ref="R71:S71"/>
    <mergeCell ref="R37:S37"/>
    <mergeCell ref="R45:S45"/>
    <mergeCell ref="R53:S53"/>
    <mergeCell ref="N63:O63"/>
    <mergeCell ref="H41:I41"/>
    <mergeCell ref="H43:I43"/>
    <mergeCell ref="H45:I45"/>
    <mergeCell ref="H49:I49"/>
    <mergeCell ref="N71:O71"/>
    <mergeCell ref="H33:I33"/>
    <mergeCell ref="H35:I35"/>
    <mergeCell ref="H37:I37"/>
    <mergeCell ref="H111:I111"/>
    <mergeCell ref="H79:I79"/>
    <mergeCell ref="H91:I91"/>
    <mergeCell ref="H93:I93"/>
    <mergeCell ref="H95:I95"/>
    <mergeCell ref="H99:I99"/>
    <mergeCell ref="H67:I67"/>
    <mergeCell ref="H69:I69"/>
    <mergeCell ref="H71:I71"/>
    <mergeCell ref="H75:I75"/>
    <mergeCell ref="H77:I77"/>
    <mergeCell ref="H101:I101"/>
    <mergeCell ref="H103:I103"/>
    <mergeCell ref="H107:I107"/>
    <mergeCell ref="H109:I109"/>
    <mergeCell ref="H51:I51"/>
    <mergeCell ref="H53:I53"/>
    <mergeCell ref="H59:I59"/>
    <mergeCell ref="H61:I61"/>
    <mergeCell ref="H63:I63"/>
    <mergeCell ref="E121:F121"/>
    <mergeCell ref="E125:F125"/>
    <mergeCell ref="E127:F127"/>
    <mergeCell ref="E129:F129"/>
    <mergeCell ref="E133:F133"/>
    <mergeCell ref="E107:F107"/>
    <mergeCell ref="E109:F109"/>
    <mergeCell ref="E111:F111"/>
    <mergeCell ref="E117:F117"/>
    <mergeCell ref="E119:F119"/>
    <mergeCell ref="E93:F93"/>
    <mergeCell ref="E95:F95"/>
    <mergeCell ref="E99:F99"/>
    <mergeCell ref="E101:F101"/>
    <mergeCell ref="E103:F103"/>
    <mergeCell ref="E77:F77"/>
    <mergeCell ref="E79:F79"/>
    <mergeCell ref="E83:F83"/>
    <mergeCell ref="E87:F87"/>
    <mergeCell ref="E91:F91"/>
    <mergeCell ref="E63:F63"/>
    <mergeCell ref="E67:F67"/>
    <mergeCell ref="E69:F69"/>
    <mergeCell ref="E71:F71"/>
    <mergeCell ref="E75:F75"/>
    <mergeCell ref="E49:F49"/>
    <mergeCell ref="E51:F51"/>
    <mergeCell ref="E53:F53"/>
    <mergeCell ref="E59:F59"/>
    <mergeCell ref="E61:F61"/>
    <mergeCell ref="E35:F35"/>
    <mergeCell ref="E37:F37"/>
    <mergeCell ref="E41:F41"/>
    <mergeCell ref="E42:F42"/>
    <mergeCell ref="E45:F45"/>
    <mergeCell ref="E26:F26"/>
    <mergeCell ref="E33:F33"/>
    <mergeCell ref="N11:O11"/>
    <mergeCell ref="R9:S9"/>
    <mergeCell ref="R10:S10"/>
    <mergeCell ref="R11:S11"/>
    <mergeCell ref="E11:F11"/>
    <mergeCell ref="H9:I9"/>
    <mergeCell ref="H10:I10"/>
    <mergeCell ref="H11:I11"/>
    <mergeCell ref="K9:L9"/>
    <mergeCell ref="K10:L10"/>
    <mergeCell ref="K11:L11"/>
    <mergeCell ref="E29:F29"/>
    <mergeCell ref="E9:F9"/>
    <mergeCell ref="E10:F10"/>
    <mergeCell ref="N9:O9"/>
    <mergeCell ref="N10:O10"/>
    <mergeCell ref="R21:S21"/>
    <mergeCell ref="R29:S29"/>
    <mergeCell ref="E17:F17"/>
    <mergeCell ref="N21:O21"/>
    <mergeCell ref="N29:O29"/>
    <mergeCell ref="A1:S1"/>
    <mergeCell ref="A2:S2"/>
    <mergeCell ref="A3:S3"/>
    <mergeCell ref="E19:F19"/>
    <mergeCell ref="E21:F21"/>
    <mergeCell ref="E25:F25"/>
    <mergeCell ref="N7:S7"/>
    <mergeCell ref="E7:L7"/>
    <mergeCell ref="H17:I17"/>
    <mergeCell ref="H19:I19"/>
    <mergeCell ref="H21:I21"/>
    <mergeCell ref="H25:I25"/>
    <mergeCell ref="H27:I27"/>
    <mergeCell ref="H29:I29"/>
    <mergeCell ref="R143:S143"/>
    <mergeCell ref="R144:S144"/>
    <mergeCell ref="N145:O145"/>
    <mergeCell ref="N148:O148"/>
    <mergeCell ref="N149:O149"/>
    <mergeCell ref="N150:O150"/>
    <mergeCell ref="N151:O151"/>
    <mergeCell ref="N152:O152"/>
    <mergeCell ref="N126:O126"/>
    <mergeCell ref="N127:O127"/>
    <mergeCell ref="N128:O128"/>
    <mergeCell ref="N129:O129"/>
    <mergeCell ref="N132:O132"/>
    <mergeCell ref="N133:O133"/>
    <mergeCell ref="N134:O134"/>
    <mergeCell ref="N135:O135"/>
    <mergeCell ref="N136:O136"/>
  </mergeCells>
  <printOptions horizontalCentered="1"/>
  <pageMargins left="0.75" right="0.5" top="0.75" bottom="0.25" header="0" footer="0"/>
  <pageSetup scale="69" fitToHeight="2" orientation="portrait" blackAndWhite="1" r:id="rId1"/>
  <rowBreaks count="1" manualBreakCount="1">
    <brk id="79" max="18" man="1"/>
  </rowBreaks>
  <customProperties>
    <customPr name="_pios_id" r:id="rId2"/>
    <customPr name="EpmWorksheetKeyString_GUID" r:id="rId3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4FE75-3C5E-4645-8500-43E777B0CFF8}">
  <sheetPr syncVertical="1" syncRef="C13" transitionEvaluation="1" transitionEntry="1">
    <tabColor indexed="12"/>
    <pageSetUpPr fitToPage="1"/>
  </sheetPr>
  <dimension ref="A1:S96"/>
  <sheetViews>
    <sheetView view="pageBreakPreview" zoomScaleNormal="100" zoomScaleSheetLayoutView="100" workbookViewId="0">
      <pane xSplit="2" ySplit="8" topLeftCell="C13" activePane="bottomRight" state="frozen"/>
      <selection activeCell="U131" sqref="U131"/>
      <selection pane="topRight" activeCell="U131" sqref="U131"/>
      <selection pane="bottomLeft" activeCell="U131" sqref="U131"/>
      <selection pane="bottomRight" activeCell="C27" sqref="C27"/>
    </sheetView>
  </sheetViews>
  <sheetFormatPr defaultColWidth="12.5703125" defaultRowHeight="12.75" x14ac:dyDescent="0.2"/>
  <cols>
    <col min="1" max="1" width="29.7109375" style="76" bestFit="1" customWidth="1"/>
    <col min="2" max="2" width="25" style="76" bestFit="1" customWidth="1"/>
    <col min="3" max="3" width="13.7109375" style="76" bestFit="1" customWidth="1"/>
    <col min="4" max="5" width="10" style="76" customWidth="1"/>
    <col min="6" max="6" width="5.42578125" style="76" bestFit="1" customWidth="1"/>
    <col min="7" max="7" width="10.140625" style="76" bestFit="1" customWidth="1"/>
    <col min="8" max="8" width="6.5703125" style="76" bestFit="1" customWidth="1"/>
    <col min="9" max="9" width="7.140625" style="76" customWidth="1"/>
    <col min="10" max="10" width="9.42578125" style="76" hidden="1" customWidth="1"/>
    <col min="11" max="11" width="10" style="76" hidden="1" customWidth="1"/>
    <col min="12" max="12" width="9.42578125" style="76" hidden="1" customWidth="1"/>
    <col min="13" max="13" width="10" style="76" hidden="1" customWidth="1"/>
    <col min="14" max="14" width="9.42578125" style="76" hidden="1" customWidth="1"/>
    <col min="15" max="15" width="10" style="76" hidden="1" customWidth="1"/>
    <col min="16" max="16" width="9.42578125" style="76" bestFit="1" customWidth="1"/>
    <col min="17" max="17" width="10" style="76" bestFit="1" customWidth="1"/>
    <col min="18" max="18" width="9.140625" style="76" bestFit="1" customWidth="1"/>
    <col min="19" max="19" width="10.85546875" style="76" bestFit="1" customWidth="1"/>
    <col min="20" max="213" width="12.5703125" style="512" customWidth="1"/>
    <col min="214" max="16384" width="12.5703125" style="512"/>
  </cols>
  <sheetData>
    <row r="1" spans="1:19" ht="15.75" x14ac:dyDescent="0.2">
      <c r="A1" s="463" t="s">
        <v>0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</row>
    <row r="2" spans="1:19" ht="15.75" x14ac:dyDescent="0.2">
      <c r="A2" s="463" t="s">
        <v>965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</row>
    <row r="3" spans="1:19" ht="15.75" x14ac:dyDescent="0.2">
      <c r="A3" s="463" t="s">
        <v>966</v>
      </c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</row>
    <row r="4" spans="1:19" x14ac:dyDescent="0.2">
      <c r="A4" s="372"/>
      <c r="B4" s="372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x14ac:dyDescent="0.2">
      <c r="A5" s="372"/>
      <c r="B5" s="372"/>
      <c r="C5" s="77"/>
      <c r="D5" s="77"/>
      <c r="E5" s="77"/>
      <c r="F5" s="77"/>
      <c r="G5" s="77"/>
      <c r="H5" s="77"/>
      <c r="I5" s="77"/>
      <c r="J5" s="413"/>
      <c r="K5" s="413"/>
      <c r="L5" s="413"/>
      <c r="M5" s="413"/>
      <c r="N5" s="413"/>
      <c r="O5" s="413"/>
      <c r="P5" s="413"/>
      <c r="Q5" s="414"/>
      <c r="R5" s="509" t="s">
        <v>967</v>
      </c>
      <c r="S5" s="542">
        <v>2019</v>
      </c>
    </row>
    <row r="6" spans="1:19" x14ac:dyDescent="0.2">
      <c r="A6" s="372"/>
      <c r="B6" s="372"/>
      <c r="C6" s="371" t="s">
        <v>1308</v>
      </c>
      <c r="D6" s="77" t="s">
        <v>1309</v>
      </c>
      <c r="E6" s="77" t="s">
        <v>1309</v>
      </c>
      <c r="F6" s="77"/>
      <c r="G6" s="77"/>
      <c r="H6" s="77" t="s">
        <v>969</v>
      </c>
      <c r="I6" s="415" t="s">
        <v>969</v>
      </c>
      <c r="J6" s="543">
        <v>2003</v>
      </c>
      <c r="K6" s="415" t="s">
        <v>968</v>
      </c>
      <c r="L6" s="543">
        <v>2007</v>
      </c>
      <c r="M6" s="415" t="s">
        <v>968</v>
      </c>
      <c r="N6" s="543">
        <v>2011</v>
      </c>
      <c r="O6" s="415" t="s">
        <v>968</v>
      </c>
      <c r="P6" s="543">
        <v>2019</v>
      </c>
      <c r="Q6" s="415" t="s">
        <v>968</v>
      </c>
      <c r="R6" s="77" t="s">
        <v>341</v>
      </c>
      <c r="S6" s="415" t="s">
        <v>45</v>
      </c>
    </row>
    <row r="7" spans="1:19" x14ac:dyDescent="0.2">
      <c r="A7" s="77" t="s">
        <v>48</v>
      </c>
      <c r="B7" s="77" t="s">
        <v>957</v>
      </c>
      <c r="C7" s="77" t="s">
        <v>1310</v>
      </c>
      <c r="D7" s="77" t="s">
        <v>1311</v>
      </c>
      <c r="E7" s="77" t="s">
        <v>1312</v>
      </c>
      <c r="F7" s="77" t="s">
        <v>958</v>
      </c>
      <c r="G7" s="77" t="s">
        <v>1313</v>
      </c>
      <c r="H7" s="411" t="s">
        <v>970</v>
      </c>
      <c r="I7" s="417" t="s">
        <v>970</v>
      </c>
      <c r="J7" s="77" t="s">
        <v>971</v>
      </c>
      <c r="K7" s="417" t="s">
        <v>972</v>
      </c>
      <c r="L7" s="77" t="s">
        <v>971</v>
      </c>
      <c r="M7" s="417" t="s">
        <v>972</v>
      </c>
      <c r="N7" s="77" t="s">
        <v>971</v>
      </c>
      <c r="O7" s="417" t="s">
        <v>972</v>
      </c>
      <c r="P7" s="77" t="s">
        <v>971</v>
      </c>
      <c r="Q7" s="417" t="s">
        <v>972</v>
      </c>
      <c r="R7" s="77" t="s">
        <v>11</v>
      </c>
      <c r="S7" s="415" t="s">
        <v>10</v>
      </c>
    </row>
    <row r="8" spans="1:19" x14ac:dyDescent="0.2">
      <c r="A8" s="418" t="s">
        <v>973</v>
      </c>
      <c r="B8" s="419" t="s">
        <v>974</v>
      </c>
      <c r="C8" s="418" t="s">
        <v>1314</v>
      </c>
      <c r="D8" s="418" t="s">
        <v>1315</v>
      </c>
      <c r="E8" s="418" t="s">
        <v>1315</v>
      </c>
      <c r="F8" s="418" t="s">
        <v>850</v>
      </c>
      <c r="G8" s="418" t="s">
        <v>850</v>
      </c>
      <c r="H8" s="418" t="s">
        <v>975</v>
      </c>
      <c r="I8" s="420" t="s">
        <v>865</v>
      </c>
      <c r="J8" s="418" t="s">
        <v>865</v>
      </c>
      <c r="K8" s="420" t="s">
        <v>976</v>
      </c>
      <c r="L8" s="418" t="s">
        <v>865</v>
      </c>
      <c r="M8" s="420" t="s">
        <v>976</v>
      </c>
      <c r="N8" s="418" t="s">
        <v>865</v>
      </c>
      <c r="O8" s="420" t="s">
        <v>976</v>
      </c>
      <c r="P8" s="418" t="s">
        <v>865</v>
      </c>
      <c r="Q8" s="420" t="s">
        <v>976</v>
      </c>
      <c r="R8" s="419" t="s">
        <v>976</v>
      </c>
      <c r="S8" s="421" t="s">
        <v>976</v>
      </c>
    </row>
    <row r="9" spans="1:19" x14ac:dyDescent="0.2">
      <c r="A9" s="416"/>
      <c r="B9" s="416"/>
      <c r="C9" s="412"/>
      <c r="D9" s="412"/>
      <c r="E9" s="412"/>
      <c r="F9" s="412"/>
      <c r="G9" s="412"/>
      <c r="H9" s="412"/>
      <c r="I9" s="422"/>
      <c r="J9" s="423"/>
      <c r="K9" s="422"/>
      <c r="L9" s="423"/>
      <c r="M9" s="422"/>
      <c r="N9" s="423"/>
      <c r="O9" s="422"/>
      <c r="P9" s="423"/>
      <c r="Q9" s="422"/>
      <c r="R9" s="423"/>
      <c r="S9" s="422"/>
    </row>
    <row r="10" spans="1:19" x14ac:dyDescent="0.2">
      <c r="A10" s="424"/>
      <c r="B10" s="425" t="s">
        <v>959</v>
      </c>
      <c r="C10" s="426"/>
      <c r="D10" s="544"/>
      <c r="E10" s="426"/>
      <c r="F10" s="426"/>
      <c r="G10" s="426"/>
      <c r="H10" s="426"/>
      <c r="I10" s="427"/>
      <c r="J10" s="426"/>
      <c r="K10" s="427"/>
      <c r="L10" s="426"/>
      <c r="M10" s="427"/>
      <c r="N10" s="426"/>
      <c r="O10" s="427"/>
      <c r="P10" s="426"/>
      <c r="Q10" s="427"/>
      <c r="R10" s="426"/>
      <c r="S10" s="427"/>
    </row>
    <row r="11" spans="1:19" x14ac:dyDescent="0.2">
      <c r="A11" s="374" t="s">
        <v>977</v>
      </c>
      <c r="B11" s="77" t="s">
        <v>978</v>
      </c>
      <c r="C11" s="545" t="s">
        <v>1156</v>
      </c>
      <c r="D11" s="546" t="s">
        <v>1156</v>
      </c>
      <c r="E11" s="546" t="s">
        <v>1156</v>
      </c>
      <c r="F11" s="545" t="s">
        <v>1156</v>
      </c>
      <c r="G11" s="545" t="s">
        <v>1156</v>
      </c>
      <c r="H11" s="428">
        <f>H$12</f>
        <v>10</v>
      </c>
      <c r="I11" s="429">
        <f>I$12</f>
        <v>1970</v>
      </c>
      <c r="J11" s="428">
        <v>2035</v>
      </c>
      <c r="K11" s="429">
        <f>J11-$I11</f>
        <v>65</v>
      </c>
      <c r="L11" s="505">
        <v>2050</v>
      </c>
      <c r="M11" s="506">
        <f>L11-$I11</f>
        <v>80</v>
      </c>
      <c r="N11" s="428">
        <v>2050</v>
      </c>
      <c r="O11" s="429">
        <f>N11-$I11</f>
        <v>80</v>
      </c>
      <c r="P11" s="510">
        <f>P15</f>
        <v>2045</v>
      </c>
      <c r="Q11" s="506">
        <f>P11-$I11</f>
        <v>75</v>
      </c>
      <c r="R11" s="507">
        <f t="shared" ref="R11:R25" si="0">$S$5-$I11+0.5</f>
        <v>49.5</v>
      </c>
      <c r="S11" s="430">
        <f>Q11-R11</f>
        <v>25.5</v>
      </c>
    </row>
    <row r="12" spans="1:19" x14ac:dyDescent="0.2">
      <c r="A12" s="374" t="s">
        <v>977</v>
      </c>
      <c r="B12" s="77" t="s">
        <v>1350</v>
      </c>
      <c r="C12" s="547">
        <v>445500</v>
      </c>
      <c r="D12" s="548">
        <v>385</v>
      </c>
      <c r="E12" s="548">
        <v>395</v>
      </c>
      <c r="F12" s="549" t="s">
        <v>1316</v>
      </c>
      <c r="G12" s="374" t="s">
        <v>1317</v>
      </c>
      <c r="H12" s="428">
        <v>10</v>
      </c>
      <c r="I12" s="550">
        <v>1970</v>
      </c>
      <c r="J12" s="511">
        <v>2020</v>
      </c>
      <c r="K12" s="429">
        <f>J12-$I12</f>
        <v>50</v>
      </c>
      <c r="L12" s="510">
        <v>2035</v>
      </c>
      <c r="M12" s="506">
        <f t="shared" ref="M12:O22" si="1">L12-$I12</f>
        <v>65</v>
      </c>
      <c r="N12" s="511">
        <v>2035</v>
      </c>
      <c r="O12" s="429">
        <f t="shared" si="1"/>
        <v>65</v>
      </c>
      <c r="P12" s="551">
        <v>2035</v>
      </c>
      <c r="Q12" s="429">
        <f t="shared" ref="Q12:Q25" si="2">P12-$I12</f>
        <v>65</v>
      </c>
      <c r="R12" s="507">
        <f t="shared" si="0"/>
        <v>49.5</v>
      </c>
      <c r="S12" s="430">
        <f t="shared" ref="S12:S25" si="3">Q12-R12</f>
        <v>15.5</v>
      </c>
    </row>
    <row r="13" spans="1:19" x14ac:dyDescent="0.2">
      <c r="A13" s="374" t="s">
        <v>977</v>
      </c>
      <c r="B13" s="77" t="s">
        <v>1351</v>
      </c>
      <c r="C13" s="547">
        <v>445500</v>
      </c>
      <c r="D13" s="548">
        <v>385</v>
      </c>
      <c r="E13" s="548">
        <v>395</v>
      </c>
      <c r="F13" s="549" t="s">
        <v>1316</v>
      </c>
      <c r="G13" s="374" t="s">
        <v>1317</v>
      </c>
      <c r="H13" s="428">
        <v>4</v>
      </c>
      <c r="I13" s="550">
        <v>1973</v>
      </c>
      <c r="J13" s="511">
        <v>2023</v>
      </c>
      <c r="K13" s="429">
        <f t="shared" ref="K13:K17" si="4">J13-$I13</f>
        <v>50</v>
      </c>
      <c r="L13" s="510">
        <v>2038</v>
      </c>
      <c r="M13" s="506">
        <f t="shared" si="1"/>
        <v>65</v>
      </c>
      <c r="N13" s="511">
        <v>2038</v>
      </c>
      <c r="O13" s="429">
        <f t="shared" si="1"/>
        <v>65</v>
      </c>
      <c r="P13" s="551">
        <v>2038</v>
      </c>
      <c r="Q13" s="429">
        <f t="shared" si="2"/>
        <v>65</v>
      </c>
      <c r="R13" s="507">
        <f t="shared" si="0"/>
        <v>46.5</v>
      </c>
      <c r="S13" s="430">
        <f t="shared" si="3"/>
        <v>18.5</v>
      </c>
    </row>
    <row r="14" spans="1:19" x14ac:dyDescent="0.2">
      <c r="A14" s="374" t="s">
        <v>977</v>
      </c>
      <c r="B14" s="77" t="s">
        <v>1352</v>
      </c>
      <c r="C14" s="547">
        <v>445500</v>
      </c>
      <c r="D14" s="548">
        <v>395</v>
      </c>
      <c r="E14" s="548">
        <v>400</v>
      </c>
      <c r="F14" s="549" t="s">
        <v>1316</v>
      </c>
      <c r="G14" s="374" t="s">
        <v>1318</v>
      </c>
      <c r="H14" s="428">
        <v>5</v>
      </c>
      <c r="I14" s="550">
        <v>1976</v>
      </c>
      <c r="J14" s="511">
        <v>2026</v>
      </c>
      <c r="K14" s="429">
        <f t="shared" si="4"/>
        <v>50</v>
      </c>
      <c r="L14" s="510">
        <v>2041</v>
      </c>
      <c r="M14" s="506">
        <f t="shared" si="1"/>
        <v>65</v>
      </c>
      <c r="N14" s="511">
        <v>2041</v>
      </c>
      <c r="O14" s="429">
        <f t="shared" si="1"/>
        <v>65</v>
      </c>
      <c r="P14" s="551">
        <v>2041</v>
      </c>
      <c r="Q14" s="429">
        <f t="shared" si="2"/>
        <v>65</v>
      </c>
      <c r="R14" s="507">
        <f t="shared" si="0"/>
        <v>43.5</v>
      </c>
      <c r="S14" s="430">
        <f t="shared" si="3"/>
        <v>21.5</v>
      </c>
    </row>
    <row r="15" spans="1:19" x14ac:dyDescent="0.2">
      <c r="A15" s="374" t="s">
        <v>977</v>
      </c>
      <c r="B15" s="77" t="s">
        <v>1353</v>
      </c>
      <c r="C15" s="547">
        <v>486000</v>
      </c>
      <c r="D15" s="548">
        <v>437</v>
      </c>
      <c r="E15" s="548">
        <v>442</v>
      </c>
      <c r="F15" s="549" t="s">
        <v>1316</v>
      </c>
      <c r="G15" s="374" t="s">
        <v>1318</v>
      </c>
      <c r="H15" s="428">
        <v>2</v>
      </c>
      <c r="I15" s="550">
        <v>1985</v>
      </c>
      <c r="J15" s="511">
        <v>2035</v>
      </c>
      <c r="K15" s="429">
        <f t="shared" si="4"/>
        <v>50</v>
      </c>
      <c r="L15" s="510">
        <v>2050</v>
      </c>
      <c r="M15" s="506">
        <f t="shared" si="1"/>
        <v>65</v>
      </c>
      <c r="N15" s="511">
        <v>2050</v>
      </c>
      <c r="O15" s="429">
        <f t="shared" si="1"/>
        <v>65</v>
      </c>
      <c r="P15" s="552">
        <v>2045</v>
      </c>
      <c r="Q15" s="506">
        <f t="shared" si="2"/>
        <v>60</v>
      </c>
      <c r="R15" s="507">
        <f t="shared" si="0"/>
        <v>34.5</v>
      </c>
      <c r="S15" s="430">
        <f t="shared" si="3"/>
        <v>25.5</v>
      </c>
    </row>
    <row r="16" spans="1:19" x14ac:dyDescent="0.2">
      <c r="A16" s="374" t="s">
        <v>977</v>
      </c>
      <c r="B16" s="371" t="s">
        <v>1354</v>
      </c>
      <c r="C16" s="545" t="s">
        <v>1156</v>
      </c>
      <c r="D16" s="546" t="s">
        <v>1156</v>
      </c>
      <c r="E16" s="546" t="s">
        <v>1156</v>
      </c>
      <c r="F16" s="545" t="s">
        <v>1156</v>
      </c>
      <c r="G16" s="545" t="s">
        <v>1156</v>
      </c>
      <c r="H16" s="428">
        <v>12</v>
      </c>
      <c r="I16" s="550">
        <v>1999</v>
      </c>
      <c r="J16" s="511">
        <v>2023</v>
      </c>
      <c r="K16" s="429">
        <f t="shared" si="4"/>
        <v>24</v>
      </c>
      <c r="L16" s="510">
        <v>2038</v>
      </c>
      <c r="M16" s="506">
        <f t="shared" si="1"/>
        <v>39</v>
      </c>
      <c r="N16" s="511">
        <v>2038</v>
      </c>
      <c r="O16" s="429">
        <f t="shared" si="1"/>
        <v>39</v>
      </c>
      <c r="P16" s="511">
        <f>P$13</f>
        <v>2038</v>
      </c>
      <c r="Q16" s="429">
        <f t="shared" si="2"/>
        <v>39</v>
      </c>
      <c r="R16" s="507">
        <f t="shared" si="0"/>
        <v>20.5</v>
      </c>
      <c r="S16" s="430">
        <f t="shared" si="3"/>
        <v>18.5</v>
      </c>
    </row>
    <row r="17" spans="1:19" x14ac:dyDescent="0.2">
      <c r="A17" s="374" t="s">
        <v>977</v>
      </c>
      <c r="B17" s="371" t="s">
        <v>1355</v>
      </c>
      <c r="C17" s="545" t="s">
        <v>1156</v>
      </c>
      <c r="D17" s="546" t="s">
        <v>1156</v>
      </c>
      <c r="E17" s="546" t="s">
        <v>1156</v>
      </c>
      <c r="F17" s="545" t="s">
        <v>1156</v>
      </c>
      <c r="G17" s="545" t="s">
        <v>1156</v>
      </c>
      <c r="H17" s="431">
        <v>2</v>
      </c>
      <c r="I17" s="550">
        <f>I15</f>
        <v>1985</v>
      </c>
      <c r="J17" s="511">
        <v>2035</v>
      </c>
      <c r="K17" s="429">
        <f t="shared" si="4"/>
        <v>50</v>
      </c>
      <c r="L17" s="510">
        <v>2050</v>
      </c>
      <c r="M17" s="506">
        <f t="shared" si="1"/>
        <v>65</v>
      </c>
      <c r="N17" s="511">
        <v>2050</v>
      </c>
      <c r="O17" s="429">
        <f t="shared" si="1"/>
        <v>65</v>
      </c>
      <c r="P17" s="510">
        <f>$P15</f>
        <v>2045</v>
      </c>
      <c r="Q17" s="506">
        <f t="shared" si="2"/>
        <v>60</v>
      </c>
      <c r="R17" s="507">
        <f t="shared" si="0"/>
        <v>34.5</v>
      </c>
      <c r="S17" s="430">
        <f t="shared" si="3"/>
        <v>25.5</v>
      </c>
    </row>
    <row r="18" spans="1:19" x14ac:dyDescent="0.2">
      <c r="A18" s="374" t="s">
        <v>977</v>
      </c>
      <c r="B18" s="77" t="s">
        <v>979</v>
      </c>
      <c r="C18" s="545" t="s">
        <v>1156</v>
      </c>
      <c r="D18" s="546" t="s">
        <v>1156</v>
      </c>
      <c r="E18" s="546" t="s">
        <v>1156</v>
      </c>
      <c r="F18" s="545" t="s">
        <v>1156</v>
      </c>
      <c r="G18" s="545" t="s">
        <v>1156</v>
      </c>
      <c r="H18" s="428">
        <v>5</v>
      </c>
      <c r="I18" s="550">
        <v>2010</v>
      </c>
      <c r="J18" s="428" t="s">
        <v>1156</v>
      </c>
      <c r="K18" s="429" t="s">
        <v>1156</v>
      </c>
      <c r="L18" s="428" t="s">
        <v>1156</v>
      </c>
      <c r="M18" s="429" t="s">
        <v>1156</v>
      </c>
      <c r="N18" s="511">
        <v>2035</v>
      </c>
      <c r="O18" s="429">
        <f>N18-$I18</f>
        <v>25</v>
      </c>
      <c r="P18" s="511">
        <f>P$12</f>
        <v>2035</v>
      </c>
      <c r="Q18" s="429">
        <f t="shared" si="2"/>
        <v>25</v>
      </c>
      <c r="R18" s="507">
        <f t="shared" si="0"/>
        <v>9.5</v>
      </c>
      <c r="S18" s="430">
        <f t="shared" si="3"/>
        <v>15.5</v>
      </c>
    </row>
    <row r="19" spans="1:19" x14ac:dyDescent="0.2">
      <c r="A19" s="374" t="s">
        <v>977</v>
      </c>
      <c r="B19" s="371" t="s">
        <v>980</v>
      </c>
      <c r="C19" s="545" t="s">
        <v>1156</v>
      </c>
      <c r="D19" s="546" t="s">
        <v>1156</v>
      </c>
      <c r="E19" s="546" t="s">
        <v>1156</v>
      </c>
      <c r="F19" s="545" t="s">
        <v>1156</v>
      </c>
      <c r="G19" s="545" t="s">
        <v>1156</v>
      </c>
      <c r="H19" s="428">
        <v>5</v>
      </c>
      <c r="I19" s="550">
        <v>2009</v>
      </c>
      <c r="J19" s="428" t="s">
        <v>1156</v>
      </c>
      <c r="K19" s="429" t="s">
        <v>1156</v>
      </c>
      <c r="L19" s="428" t="s">
        <v>1156</v>
      </c>
      <c r="M19" s="429" t="s">
        <v>1156</v>
      </c>
      <c r="N19" s="511">
        <v>2038</v>
      </c>
      <c r="O19" s="429">
        <f>N19-$I19</f>
        <v>29</v>
      </c>
      <c r="P19" s="511">
        <f>P$13</f>
        <v>2038</v>
      </c>
      <c r="Q19" s="429">
        <f t="shared" si="2"/>
        <v>29</v>
      </c>
      <c r="R19" s="507">
        <f t="shared" si="0"/>
        <v>10.5</v>
      </c>
      <c r="S19" s="430">
        <f t="shared" si="3"/>
        <v>18.5</v>
      </c>
    </row>
    <row r="20" spans="1:19" x14ac:dyDescent="0.2">
      <c r="A20" s="374" t="s">
        <v>977</v>
      </c>
      <c r="B20" s="371" t="s">
        <v>981</v>
      </c>
      <c r="C20" s="545" t="s">
        <v>1156</v>
      </c>
      <c r="D20" s="546" t="s">
        <v>1156</v>
      </c>
      <c r="E20" s="546" t="s">
        <v>1156</v>
      </c>
      <c r="F20" s="545" t="s">
        <v>1156</v>
      </c>
      <c r="G20" s="545" t="s">
        <v>1156</v>
      </c>
      <c r="H20" s="428">
        <v>5</v>
      </c>
      <c r="I20" s="550">
        <v>2008</v>
      </c>
      <c r="J20" s="428" t="s">
        <v>1156</v>
      </c>
      <c r="K20" s="429" t="s">
        <v>1156</v>
      </c>
      <c r="L20" s="428" t="s">
        <v>1156</v>
      </c>
      <c r="M20" s="429" t="s">
        <v>1156</v>
      </c>
      <c r="N20" s="511">
        <v>2041</v>
      </c>
      <c r="O20" s="429">
        <f>N20-$I20</f>
        <v>33</v>
      </c>
      <c r="P20" s="511">
        <f>P$14</f>
        <v>2041</v>
      </c>
      <c r="Q20" s="429">
        <f t="shared" si="2"/>
        <v>33</v>
      </c>
      <c r="R20" s="507">
        <f t="shared" si="0"/>
        <v>11.5</v>
      </c>
      <c r="S20" s="430">
        <f t="shared" si="3"/>
        <v>21.5</v>
      </c>
    </row>
    <row r="21" spans="1:19" x14ac:dyDescent="0.2">
      <c r="A21" s="374" t="s">
        <v>977</v>
      </c>
      <c r="B21" s="371" t="s">
        <v>982</v>
      </c>
      <c r="C21" s="545" t="s">
        <v>1156</v>
      </c>
      <c r="D21" s="546" t="s">
        <v>1156</v>
      </c>
      <c r="E21" s="546" t="s">
        <v>1156</v>
      </c>
      <c r="F21" s="545" t="s">
        <v>1156</v>
      </c>
      <c r="G21" s="545" t="s">
        <v>1156</v>
      </c>
      <c r="H21" s="428">
        <v>5</v>
      </c>
      <c r="I21" s="550">
        <v>2007</v>
      </c>
      <c r="J21" s="428" t="s">
        <v>1156</v>
      </c>
      <c r="K21" s="429" t="s">
        <v>1156</v>
      </c>
      <c r="L21" s="428" t="s">
        <v>1156</v>
      </c>
      <c r="M21" s="429" t="s">
        <v>1156</v>
      </c>
      <c r="N21" s="511">
        <v>2050</v>
      </c>
      <c r="O21" s="429">
        <f>N21-$I21</f>
        <v>43</v>
      </c>
      <c r="P21" s="510">
        <f>P$15</f>
        <v>2045</v>
      </c>
      <c r="Q21" s="506">
        <f t="shared" si="2"/>
        <v>38</v>
      </c>
      <c r="R21" s="507">
        <f t="shared" si="0"/>
        <v>12.5</v>
      </c>
      <c r="S21" s="430">
        <f t="shared" si="3"/>
        <v>25.5</v>
      </c>
    </row>
    <row r="22" spans="1:19" x14ac:dyDescent="0.2">
      <c r="A22" s="374" t="s">
        <v>983</v>
      </c>
      <c r="B22" s="77" t="s">
        <v>984</v>
      </c>
      <c r="C22" s="553">
        <v>69900</v>
      </c>
      <c r="D22" s="554">
        <v>56</v>
      </c>
      <c r="E22" s="554">
        <v>61</v>
      </c>
      <c r="F22" s="549" t="s">
        <v>1319</v>
      </c>
      <c r="G22" s="374" t="s">
        <v>1320</v>
      </c>
      <c r="H22" s="428">
        <v>8</v>
      </c>
      <c r="I22" s="550">
        <v>2009</v>
      </c>
      <c r="J22" s="428" t="s">
        <v>1156</v>
      </c>
      <c r="K22" s="429" t="s">
        <v>1156</v>
      </c>
      <c r="L22" s="428" t="s">
        <v>1156</v>
      </c>
      <c r="M22" s="429" t="s">
        <v>1156</v>
      </c>
      <c r="N22" s="511">
        <v>2049</v>
      </c>
      <c r="O22" s="429">
        <f t="shared" si="1"/>
        <v>40</v>
      </c>
      <c r="P22" s="551">
        <v>2049</v>
      </c>
      <c r="Q22" s="429">
        <f t="shared" si="2"/>
        <v>40</v>
      </c>
      <c r="R22" s="507">
        <f t="shared" si="0"/>
        <v>10.5</v>
      </c>
      <c r="S22" s="430">
        <f t="shared" si="3"/>
        <v>29.5</v>
      </c>
    </row>
    <row r="23" spans="1:19" x14ac:dyDescent="0.2">
      <c r="A23" s="374" t="s">
        <v>983</v>
      </c>
      <c r="B23" s="77" t="s">
        <v>985</v>
      </c>
      <c r="C23" s="553">
        <v>397800</v>
      </c>
      <c r="D23" s="554">
        <v>360</v>
      </c>
      <c r="E23" s="554">
        <v>392</v>
      </c>
      <c r="F23" s="549" t="s">
        <v>1319</v>
      </c>
      <c r="G23" s="374" t="s">
        <v>1317</v>
      </c>
      <c r="H23" s="428">
        <v>11</v>
      </c>
      <c r="I23" s="550">
        <v>2021</v>
      </c>
      <c r="J23" s="428" t="s">
        <v>1156</v>
      </c>
      <c r="K23" s="429" t="s">
        <v>1156</v>
      </c>
      <c r="L23" s="428" t="s">
        <v>1156</v>
      </c>
      <c r="M23" s="429" t="s">
        <v>1156</v>
      </c>
      <c r="N23" s="428" t="s">
        <v>1156</v>
      </c>
      <c r="O23" s="429" t="s">
        <v>1156</v>
      </c>
      <c r="P23" s="551">
        <f>2021+40</f>
        <v>2061</v>
      </c>
      <c r="Q23" s="429">
        <f t="shared" si="2"/>
        <v>40</v>
      </c>
      <c r="R23" s="507">
        <f t="shared" si="0"/>
        <v>-1.5</v>
      </c>
      <c r="S23" s="430">
        <f t="shared" si="3"/>
        <v>41.5</v>
      </c>
    </row>
    <row r="24" spans="1:19" x14ac:dyDescent="0.2">
      <c r="A24" s="374" t="s">
        <v>983</v>
      </c>
      <c r="B24" s="77" t="s">
        <v>986</v>
      </c>
      <c r="C24" s="553">
        <v>397800</v>
      </c>
      <c r="D24" s="554">
        <v>360</v>
      </c>
      <c r="E24" s="554">
        <v>392</v>
      </c>
      <c r="F24" s="549" t="s">
        <v>1319</v>
      </c>
      <c r="G24" s="374" t="s">
        <v>1317</v>
      </c>
      <c r="H24" s="428">
        <v>11</v>
      </c>
      <c r="I24" s="550">
        <v>2021</v>
      </c>
      <c r="J24" s="428" t="s">
        <v>1156</v>
      </c>
      <c r="K24" s="429" t="s">
        <v>1156</v>
      </c>
      <c r="L24" s="428" t="s">
        <v>1156</v>
      </c>
      <c r="M24" s="429" t="s">
        <v>1156</v>
      </c>
      <c r="N24" s="428" t="s">
        <v>1156</v>
      </c>
      <c r="O24" s="429" t="s">
        <v>1156</v>
      </c>
      <c r="P24" s="551">
        <f>2021+40</f>
        <v>2061</v>
      </c>
      <c r="Q24" s="429">
        <f t="shared" si="2"/>
        <v>40</v>
      </c>
      <c r="R24" s="507">
        <f t="shared" si="0"/>
        <v>-1.5</v>
      </c>
      <c r="S24" s="430">
        <f t="shared" si="3"/>
        <v>41.5</v>
      </c>
    </row>
    <row r="25" spans="1:19" x14ac:dyDescent="0.2">
      <c r="A25" s="374" t="s">
        <v>983</v>
      </c>
      <c r="B25" s="371" t="s">
        <v>1347</v>
      </c>
      <c r="C25" s="545">
        <v>445500</v>
      </c>
      <c r="D25" s="546">
        <v>335</v>
      </c>
      <c r="E25" s="546">
        <v>335</v>
      </c>
      <c r="F25" s="549" t="s">
        <v>1316</v>
      </c>
      <c r="G25" s="374" t="s">
        <v>1321</v>
      </c>
      <c r="H25" s="428">
        <v>1</v>
      </c>
      <c r="I25" s="550">
        <v>2023</v>
      </c>
      <c r="J25" s="428" t="s">
        <v>1156</v>
      </c>
      <c r="K25" s="429" t="s">
        <v>1156</v>
      </c>
      <c r="L25" s="428" t="s">
        <v>1156</v>
      </c>
      <c r="M25" s="429" t="s">
        <v>1156</v>
      </c>
      <c r="N25" s="428" t="s">
        <v>1156</v>
      </c>
      <c r="O25" s="429" t="s">
        <v>1156</v>
      </c>
      <c r="P25" s="551">
        <f>2023+40</f>
        <v>2063</v>
      </c>
      <c r="Q25" s="429">
        <f t="shared" si="2"/>
        <v>40</v>
      </c>
      <c r="R25" s="507">
        <f t="shared" si="0"/>
        <v>-3.5</v>
      </c>
      <c r="S25" s="430">
        <f t="shared" si="3"/>
        <v>43.5</v>
      </c>
    </row>
    <row r="26" spans="1:19" x14ac:dyDescent="0.2">
      <c r="A26" s="374"/>
      <c r="B26" s="77"/>
      <c r="C26" s="553"/>
      <c r="D26" s="554"/>
      <c r="E26" s="554"/>
      <c r="F26" s="549"/>
      <c r="G26" s="374"/>
      <c r="H26" s="428"/>
      <c r="I26" s="550"/>
      <c r="J26" s="428"/>
      <c r="K26" s="429"/>
      <c r="L26" s="428"/>
      <c r="M26" s="429"/>
      <c r="N26" s="428"/>
      <c r="O26" s="429"/>
      <c r="P26" s="551"/>
      <c r="Q26" s="429"/>
      <c r="R26" s="507"/>
      <c r="S26" s="430"/>
    </row>
    <row r="27" spans="1:19" x14ac:dyDescent="0.2">
      <c r="A27" s="416"/>
      <c r="B27" s="416"/>
      <c r="C27" s="555">
        <f t="shared" ref="C27:D27" si="5">SUM(C11:C26)</f>
        <v>3133500</v>
      </c>
      <c r="D27" s="556">
        <f t="shared" si="5"/>
        <v>2713</v>
      </c>
      <c r="E27" s="556">
        <f>SUM(E11:E26)</f>
        <v>2812</v>
      </c>
      <c r="F27" s="557"/>
      <c r="G27" s="423"/>
      <c r="H27" s="423"/>
      <c r="I27" s="422"/>
      <c r="J27" s="423"/>
      <c r="K27" s="422"/>
      <c r="L27" s="423"/>
      <c r="M27" s="422"/>
      <c r="N27" s="423"/>
      <c r="O27" s="422"/>
      <c r="P27" s="423"/>
      <c r="Q27" s="422"/>
      <c r="R27" s="507"/>
      <c r="S27" s="430"/>
    </row>
    <row r="28" spans="1:19" x14ac:dyDescent="0.2">
      <c r="A28" s="416"/>
      <c r="B28" s="416"/>
      <c r="C28" s="558"/>
      <c r="D28" s="559"/>
      <c r="E28" s="559"/>
      <c r="F28" s="412"/>
      <c r="G28" s="374"/>
      <c r="H28" s="374"/>
      <c r="I28" s="422"/>
      <c r="J28" s="423"/>
      <c r="K28" s="422"/>
      <c r="L28" s="423"/>
      <c r="M28" s="422"/>
      <c r="N28" s="423"/>
      <c r="O28" s="422"/>
      <c r="P28" s="423"/>
      <c r="Q28" s="422"/>
      <c r="R28" s="432"/>
      <c r="S28" s="430"/>
    </row>
    <row r="29" spans="1:19" x14ac:dyDescent="0.2">
      <c r="A29" s="424"/>
      <c r="B29" s="425" t="s">
        <v>987</v>
      </c>
      <c r="C29" s="560"/>
      <c r="D29" s="561"/>
      <c r="E29" s="561"/>
      <c r="F29" s="426"/>
      <c r="G29" s="426"/>
      <c r="H29" s="426"/>
      <c r="I29" s="562"/>
      <c r="J29" s="563"/>
      <c r="K29" s="562"/>
      <c r="L29" s="563"/>
      <c r="M29" s="562"/>
      <c r="N29" s="563"/>
      <c r="O29" s="562"/>
      <c r="P29" s="563"/>
      <c r="Q29" s="562"/>
      <c r="R29" s="434"/>
      <c r="S29" s="435"/>
    </row>
    <row r="30" spans="1:19" x14ac:dyDescent="0.2">
      <c r="A30" s="374" t="s">
        <v>983</v>
      </c>
      <c r="B30" s="77" t="s">
        <v>978</v>
      </c>
      <c r="C30" s="547">
        <v>0</v>
      </c>
      <c r="D30" s="548">
        <v>0</v>
      </c>
      <c r="E30" s="548">
        <v>0</v>
      </c>
      <c r="F30" s="547">
        <v>0</v>
      </c>
      <c r="G30" s="547">
        <v>0</v>
      </c>
      <c r="H30" s="428">
        <f>H$31</f>
        <v>4</v>
      </c>
      <c r="I30" s="429">
        <f>I$31</f>
        <v>2003</v>
      </c>
      <c r="J30" s="428">
        <v>2044</v>
      </c>
      <c r="K30" s="429">
        <f>J30-$I30</f>
        <v>41</v>
      </c>
      <c r="L30" s="428">
        <v>2044</v>
      </c>
      <c r="M30" s="429">
        <f t="shared" ref="M30" si="6">L30-$I30</f>
        <v>41</v>
      </c>
      <c r="N30" s="505">
        <v>2049</v>
      </c>
      <c r="O30" s="506">
        <f t="shared" ref="M30:O36" si="7">N30-$I30</f>
        <v>46</v>
      </c>
      <c r="P30" s="511">
        <f>P$36</f>
        <v>2049</v>
      </c>
      <c r="Q30" s="429">
        <f t="shared" ref="Q30:Q36" si="8">P30-$I30</f>
        <v>46</v>
      </c>
      <c r="R30" s="507">
        <f t="shared" ref="R30:R36" si="9">$S$5-$I30+0.5</f>
        <v>16.5</v>
      </c>
      <c r="S30" s="430">
        <f t="shared" ref="S30:S36" si="10">Q30-R30</f>
        <v>29.5</v>
      </c>
    </row>
    <row r="31" spans="1:19" x14ac:dyDescent="0.2">
      <c r="A31" s="374" t="s">
        <v>983</v>
      </c>
      <c r="B31" s="77" t="s">
        <v>1356</v>
      </c>
      <c r="C31" s="547">
        <v>809060</v>
      </c>
      <c r="D31" s="548">
        <v>701</v>
      </c>
      <c r="E31" s="548">
        <v>792</v>
      </c>
      <c r="F31" s="423" t="s">
        <v>1322</v>
      </c>
      <c r="G31" s="436" t="s">
        <v>1317</v>
      </c>
      <c r="H31" s="428">
        <v>4</v>
      </c>
      <c r="I31" s="429">
        <v>2003</v>
      </c>
      <c r="J31" s="428">
        <v>2043</v>
      </c>
      <c r="K31" s="429">
        <f>J31-$I31</f>
        <v>40</v>
      </c>
      <c r="L31" s="428">
        <v>2043</v>
      </c>
      <c r="M31" s="429">
        <f t="shared" si="7"/>
        <v>40</v>
      </c>
      <c r="N31" s="428">
        <v>2043</v>
      </c>
      <c r="O31" s="429">
        <f t="shared" si="7"/>
        <v>40</v>
      </c>
      <c r="P31" s="564">
        <v>2038</v>
      </c>
      <c r="Q31" s="506">
        <f t="shared" si="8"/>
        <v>35</v>
      </c>
      <c r="R31" s="507">
        <f t="shared" si="9"/>
        <v>16.5</v>
      </c>
      <c r="S31" s="430">
        <f t="shared" si="10"/>
        <v>18.5</v>
      </c>
    </row>
    <row r="32" spans="1:19" x14ac:dyDescent="0.2">
      <c r="A32" s="374" t="s">
        <v>983</v>
      </c>
      <c r="B32" s="77" t="s">
        <v>1357</v>
      </c>
      <c r="C32" s="553">
        <v>1205100</v>
      </c>
      <c r="D32" s="554">
        <v>929</v>
      </c>
      <c r="E32" s="554">
        <v>1047</v>
      </c>
      <c r="F32" s="423" t="s">
        <v>1322</v>
      </c>
      <c r="G32" s="436" t="s">
        <v>1317</v>
      </c>
      <c r="H32" s="428">
        <v>1</v>
      </c>
      <c r="I32" s="429">
        <v>2004</v>
      </c>
      <c r="J32" s="428">
        <v>2044</v>
      </c>
      <c r="K32" s="429">
        <f>J32-$I32</f>
        <v>40</v>
      </c>
      <c r="L32" s="428">
        <v>2044</v>
      </c>
      <c r="M32" s="429">
        <f t="shared" si="7"/>
        <v>40</v>
      </c>
      <c r="N32" s="428">
        <v>2044</v>
      </c>
      <c r="O32" s="429">
        <f t="shared" si="7"/>
        <v>40</v>
      </c>
      <c r="P32" s="564">
        <v>2038</v>
      </c>
      <c r="Q32" s="506">
        <f t="shared" si="8"/>
        <v>34</v>
      </c>
      <c r="R32" s="507">
        <f t="shared" si="9"/>
        <v>15.5</v>
      </c>
      <c r="S32" s="430">
        <f t="shared" si="10"/>
        <v>18.5</v>
      </c>
    </row>
    <row r="33" spans="1:19" x14ac:dyDescent="0.2">
      <c r="A33" s="374" t="s">
        <v>983</v>
      </c>
      <c r="B33" s="77" t="s">
        <v>988</v>
      </c>
      <c r="C33" s="553">
        <v>69900</v>
      </c>
      <c r="D33" s="554">
        <v>56</v>
      </c>
      <c r="E33" s="554">
        <v>61</v>
      </c>
      <c r="F33" s="549" t="s">
        <v>1319</v>
      </c>
      <c r="G33" s="436" t="s">
        <v>1317</v>
      </c>
      <c r="H33" s="428">
        <v>7</v>
      </c>
      <c r="I33" s="550">
        <v>2009</v>
      </c>
      <c r="J33" s="428" t="s">
        <v>1156</v>
      </c>
      <c r="K33" s="429" t="s">
        <v>1156</v>
      </c>
      <c r="L33" s="428" t="s">
        <v>1156</v>
      </c>
      <c r="M33" s="429" t="s">
        <v>1156</v>
      </c>
      <c r="N33" s="511">
        <v>2049</v>
      </c>
      <c r="O33" s="429">
        <f t="shared" si="7"/>
        <v>40</v>
      </c>
      <c r="P33" s="551">
        <v>2049</v>
      </c>
      <c r="Q33" s="429">
        <f t="shared" si="8"/>
        <v>40</v>
      </c>
      <c r="R33" s="507">
        <f t="shared" si="9"/>
        <v>10.5</v>
      </c>
      <c r="S33" s="430">
        <f t="shared" si="10"/>
        <v>29.5</v>
      </c>
    </row>
    <row r="34" spans="1:19" x14ac:dyDescent="0.2">
      <c r="A34" s="374" t="s">
        <v>983</v>
      </c>
      <c r="B34" s="371" t="s">
        <v>984</v>
      </c>
      <c r="C34" s="553">
        <v>69900</v>
      </c>
      <c r="D34" s="554">
        <v>56</v>
      </c>
      <c r="E34" s="554">
        <v>61</v>
      </c>
      <c r="F34" s="549" t="s">
        <v>1319</v>
      </c>
      <c r="G34" s="436" t="s">
        <v>1317</v>
      </c>
      <c r="H34" s="428">
        <v>7</v>
      </c>
      <c r="I34" s="550">
        <v>2009</v>
      </c>
      <c r="J34" s="428" t="s">
        <v>1156</v>
      </c>
      <c r="K34" s="429" t="s">
        <v>1156</v>
      </c>
      <c r="L34" s="428" t="s">
        <v>1156</v>
      </c>
      <c r="M34" s="429" t="s">
        <v>1156</v>
      </c>
      <c r="N34" s="511">
        <v>2049</v>
      </c>
      <c r="O34" s="429">
        <f t="shared" si="7"/>
        <v>40</v>
      </c>
      <c r="P34" s="551">
        <v>2049</v>
      </c>
      <c r="Q34" s="429">
        <f t="shared" si="8"/>
        <v>40</v>
      </c>
      <c r="R34" s="507">
        <f t="shared" si="9"/>
        <v>10.5</v>
      </c>
      <c r="S34" s="430">
        <f t="shared" si="10"/>
        <v>29.5</v>
      </c>
    </row>
    <row r="35" spans="1:19" x14ac:dyDescent="0.2">
      <c r="A35" s="374" t="s">
        <v>983</v>
      </c>
      <c r="B35" s="371" t="s">
        <v>985</v>
      </c>
      <c r="C35" s="553">
        <v>69900</v>
      </c>
      <c r="D35" s="554">
        <v>56</v>
      </c>
      <c r="E35" s="554">
        <v>61</v>
      </c>
      <c r="F35" s="549" t="s">
        <v>1319</v>
      </c>
      <c r="G35" s="436" t="s">
        <v>1317</v>
      </c>
      <c r="H35" s="428">
        <v>4</v>
      </c>
      <c r="I35" s="550">
        <v>2009</v>
      </c>
      <c r="J35" s="428" t="s">
        <v>1156</v>
      </c>
      <c r="K35" s="429" t="s">
        <v>1156</v>
      </c>
      <c r="L35" s="428" t="s">
        <v>1156</v>
      </c>
      <c r="M35" s="429" t="s">
        <v>1156</v>
      </c>
      <c r="N35" s="511">
        <v>2049</v>
      </c>
      <c r="O35" s="429">
        <f t="shared" si="7"/>
        <v>40</v>
      </c>
      <c r="P35" s="551">
        <v>2049</v>
      </c>
      <c r="Q35" s="429">
        <f t="shared" si="8"/>
        <v>40</v>
      </c>
      <c r="R35" s="507">
        <f t="shared" si="9"/>
        <v>10.5</v>
      </c>
      <c r="S35" s="430">
        <f t="shared" si="10"/>
        <v>29.5</v>
      </c>
    </row>
    <row r="36" spans="1:19" x14ac:dyDescent="0.2">
      <c r="A36" s="374" t="s">
        <v>983</v>
      </c>
      <c r="B36" s="371" t="s">
        <v>986</v>
      </c>
      <c r="C36" s="553">
        <v>69900</v>
      </c>
      <c r="D36" s="554">
        <v>56</v>
      </c>
      <c r="E36" s="554">
        <v>61</v>
      </c>
      <c r="F36" s="549" t="s">
        <v>1319</v>
      </c>
      <c r="G36" s="436" t="s">
        <v>1317</v>
      </c>
      <c r="H36" s="428">
        <v>4</v>
      </c>
      <c r="I36" s="550">
        <v>2009</v>
      </c>
      <c r="J36" s="428" t="s">
        <v>1156</v>
      </c>
      <c r="K36" s="429" t="s">
        <v>1156</v>
      </c>
      <c r="L36" s="428" t="s">
        <v>1156</v>
      </c>
      <c r="M36" s="429" t="s">
        <v>1156</v>
      </c>
      <c r="N36" s="511">
        <v>2049</v>
      </c>
      <c r="O36" s="429">
        <f t="shared" si="7"/>
        <v>40</v>
      </c>
      <c r="P36" s="551">
        <v>2049</v>
      </c>
      <c r="Q36" s="429">
        <f t="shared" si="8"/>
        <v>40</v>
      </c>
      <c r="R36" s="507">
        <f t="shared" si="9"/>
        <v>10.5</v>
      </c>
      <c r="S36" s="430">
        <f t="shared" si="10"/>
        <v>29.5</v>
      </c>
    </row>
    <row r="37" spans="1:19" x14ac:dyDescent="0.2">
      <c r="A37" s="374"/>
      <c r="B37" s="371"/>
      <c r="C37" s="553"/>
      <c r="D37" s="554"/>
      <c r="E37" s="554"/>
      <c r="F37" s="549"/>
      <c r="G37" s="436"/>
      <c r="H37" s="428"/>
      <c r="I37" s="550"/>
      <c r="J37" s="428"/>
      <c r="K37" s="429"/>
      <c r="L37" s="428"/>
      <c r="M37" s="429"/>
      <c r="N37" s="511"/>
      <c r="O37" s="429"/>
      <c r="P37" s="551"/>
      <c r="Q37" s="429"/>
      <c r="R37" s="507"/>
      <c r="S37" s="430"/>
    </row>
    <row r="38" spans="1:19" x14ac:dyDescent="0.2">
      <c r="A38" s="416"/>
      <c r="B38" s="416"/>
      <c r="C38" s="555">
        <f>SUM(C30:C37)</f>
        <v>2293760</v>
      </c>
      <c r="D38" s="556">
        <f>SUM(D30:D37)</f>
        <v>1854</v>
      </c>
      <c r="E38" s="556">
        <f>SUM(E30:E37)</f>
        <v>2083</v>
      </c>
      <c r="F38" s="557"/>
      <c r="G38" s="423"/>
      <c r="H38" s="423"/>
      <c r="I38" s="422"/>
      <c r="J38" s="423"/>
      <c r="K38" s="422"/>
      <c r="L38" s="423"/>
      <c r="M38" s="422"/>
      <c r="N38" s="423"/>
      <c r="O38" s="422"/>
      <c r="P38" s="511"/>
      <c r="Q38" s="429"/>
      <c r="R38" s="432"/>
      <c r="S38" s="437"/>
    </row>
    <row r="39" spans="1:19" x14ac:dyDescent="0.2">
      <c r="A39" s="416"/>
      <c r="B39" s="77"/>
      <c r="C39" s="558"/>
      <c r="D39" s="559"/>
      <c r="E39" s="559"/>
      <c r="F39" s="412"/>
      <c r="G39" s="374"/>
      <c r="H39" s="374"/>
      <c r="I39" s="433"/>
      <c r="J39" s="374"/>
      <c r="K39" s="433"/>
      <c r="L39" s="374"/>
      <c r="M39" s="433"/>
      <c r="N39" s="374"/>
      <c r="O39" s="433"/>
      <c r="P39" s="511"/>
      <c r="Q39" s="429"/>
      <c r="R39" s="432"/>
      <c r="S39" s="437"/>
    </row>
    <row r="40" spans="1:19" x14ac:dyDescent="0.2">
      <c r="A40" s="424"/>
      <c r="B40" s="425" t="s">
        <v>960</v>
      </c>
      <c r="C40" s="560"/>
      <c r="D40" s="561"/>
      <c r="E40" s="561"/>
      <c r="F40" s="426"/>
      <c r="G40" s="426"/>
      <c r="H40" s="426"/>
      <c r="I40" s="562"/>
      <c r="J40" s="563"/>
      <c r="K40" s="562"/>
      <c r="L40" s="563"/>
      <c r="M40" s="562"/>
      <c r="N40" s="563"/>
      <c r="O40" s="562"/>
      <c r="P40" s="563"/>
      <c r="Q40" s="562"/>
      <c r="R40" s="434"/>
      <c r="S40" s="435"/>
    </row>
    <row r="41" spans="1:19" x14ac:dyDescent="0.2">
      <c r="A41" s="374" t="s">
        <v>983</v>
      </c>
      <c r="B41" s="77" t="s">
        <v>978</v>
      </c>
      <c r="C41" s="547">
        <v>0</v>
      </c>
      <c r="D41" s="548">
        <v>0</v>
      </c>
      <c r="E41" s="548">
        <v>0</v>
      </c>
      <c r="F41" s="547">
        <v>0</v>
      </c>
      <c r="G41" s="547">
        <v>0</v>
      </c>
      <c r="H41" s="428">
        <f>H$42</f>
        <v>9</v>
      </c>
      <c r="I41" s="429">
        <f>I$42</f>
        <v>1996</v>
      </c>
      <c r="J41" s="428">
        <v>2047</v>
      </c>
      <c r="K41" s="429">
        <f t="shared" ref="K41:K44" si="11">J41-$I41</f>
        <v>51</v>
      </c>
      <c r="L41" s="428">
        <v>2047</v>
      </c>
      <c r="M41" s="429">
        <f t="shared" ref="M41:O46" si="12">L41-$I41</f>
        <v>51</v>
      </c>
      <c r="N41" s="428">
        <v>2047</v>
      </c>
      <c r="O41" s="429">
        <f t="shared" si="12"/>
        <v>51</v>
      </c>
      <c r="P41" s="428">
        <f>P46</f>
        <v>2047</v>
      </c>
      <c r="Q41" s="429">
        <f t="shared" ref="Q41:Q47" si="13">P41-$I41</f>
        <v>51</v>
      </c>
      <c r="R41" s="507">
        <f t="shared" ref="R41:R47" si="14">$S$5-$I41+0.5</f>
        <v>23.5</v>
      </c>
      <c r="S41" s="508">
        <f>Q41-R41</f>
        <v>27.5</v>
      </c>
    </row>
    <row r="42" spans="1:19" x14ac:dyDescent="0.2">
      <c r="A42" s="374" t="s">
        <v>983</v>
      </c>
      <c r="B42" s="77" t="s">
        <v>1358</v>
      </c>
      <c r="C42" s="547">
        <v>326299</v>
      </c>
      <c r="D42" s="548">
        <v>220</v>
      </c>
      <c r="E42" s="548">
        <v>220</v>
      </c>
      <c r="F42" s="549" t="s">
        <v>1323</v>
      </c>
      <c r="G42" s="374" t="s">
        <v>1324</v>
      </c>
      <c r="H42" s="428">
        <v>9</v>
      </c>
      <c r="I42" s="429">
        <v>1996</v>
      </c>
      <c r="J42" s="428">
        <v>2036</v>
      </c>
      <c r="K42" s="429">
        <f t="shared" si="11"/>
        <v>40</v>
      </c>
      <c r="L42" s="428">
        <v>2036</v>
      </c>
      <c r="M42" s="429">
        <f t="shared" si="12"/>
        <v>40</v>
      </c>
      <c r="N42" s="428">
        <v>2036</v>
      </c>
      <c r="O42" s="429">
        <f t="shared" si="12"/>
        <v>40</v>
      </c>
      <c r="P42" s="521">
        <v>2036</v>
      </c>
      <c r="Q42" s="429">
        <f t="shared" si="13"/>
        <v>40</v>
      </c>
      <c r="R42" s="507">
        <f t="shared" si="14"/>
        <v>23.5</v>
      </c>
      <c r="S42" s="508">
        <f t="shared" ref="S42:S47" si="15">Q42-R42</f>
        <v>16.5</v>
      </c>
    </row>
    <row r="43" spans="1:19" x14ac:dyDescent="0.2">
      <c r="A43" s="374" t="s">
        <v>983</v>
      </c>
      <c r="B43" s="77" t="s">
        <v>1359</v>
      </c>
      <c r="C43" s="547">
        <v>175770</v>
      </c>
      <c r="D43" s="548">
        <v>151</v>
      </c>
      <c r="E43" s="548">
        <v>183</v>
      </c>
      <c r="F43" s="549" t="s">
        <v>1322</v>
      </c>
      <c r="G43" s="423" t="s">
        <v>1320</v>
      </c>
      <c r="H43" s="428">
        <v>7</v>
      </c>
      <c r="I43" s="429">
        <v>2000</v>
      </c>
      <c r="J43" s="428">
        <v>2040</v>
      </c>
      <c r="K43" s="429">
        <f t="shared" si="11"/>
        <v>40</v>
      </c>
      <c r="L43" s="428">
        <v>2040</v>
      </c>
      <c r="M43" s="429">
        <f t="shared" si="12"/>
        <v>40</v>
      </c>
      <c r="N43" s="428">
        <v>2040</v>
      </c>
      <c r="O43" s="429">
        <f t="shared" si="12"/>
        <v>40</v>
      </c>
      <c r="P43" s="521">
        <v>2040</v>
      </c>
      <c r="Q43" s="429">
        <f t="shared" si="13"/>
        <v>40</v>
      </c>
      <c r="R43" s="507">
        <f t="shared" si="14"/>
        <v>19.5</v>
      </c>
      <c r="S43" s="508">
        <f t="shared" si="15"/>
        <v>20.5</v>
      </c>
    </row>
    <row r="44" spans="1:19" x14ac:dyDescent="0.2">
      <c r="A44" s="374" t="s">
        <v>983</v>
      </c>
      <c r="B44" s="77" t="s">
        <v>988</v>
      </c>
      <c r="C44" s="547">
        <v>175770</v>
      </c>
      <c r="D44" s="548">
        <v>151</v>
      </c>
      <c r="E44" s="548">
        <v>183</v>
      </c>
      <c r="F44" s="549" t="s">
        <v>1322</v>
      </c>
      <c r="G44" s="423" t="s">
        <v>1320</v>
      </c>
      <c r="H44" s="428">
        <v>5</v>
      </c>
      <c r="I44" s="429">
        <v>2002</v>
      </c>
      <c r="J44" s="428">
        <v>2042</v>
      </c>
      <c r="K44" s="429">
        <f t="shared" si="11"/>
        <v>40</v>
      </c>
      <c r="L44" s="428">
        <v>2042</v>
      </c>
      <c r="M44" s="429">
        <f t="shared" si="12"/>
        <v>40</v>
      </c>
      <c r="N44" s="428">
        <v>2042</v>
      </c>
      <c r="O44" s="429">
        <f t="shared" si="12"/>
        <v>40</v>
      </c>
      <c r="P44" s="521">
        <v>2042</v>
      </c>
      <c r="Q44" s="429">
        <f t="shared" si="13"/>
        <v>40</v>
      </c>
      <c r="R44" s="507">
        <f t="shared" si="14"/>
        <v>17.5</v>
      </c>
      <c r="S44" s="508">
        <f t="shared" si="15"/>
        <v>22.5</v>
      </c>
    </row>
    <row r="45" spans="1:19" x14ac:dyDescent="0.2">
      <c r="A45" s="374" t="s">
        <v>983</v>
      </c>
      <c r="B45" s="77" t="s">
        <v>984</v>
      </c>
      <c r="C45" s="547">
        <v>175770</v>
      </c>
      <c r="D45" s="548">
        <v>151</v>
      </c>
      <c r="E45" s="548">
        <v>183</v>
      </c>
      <c r="F45" s="549" t="s">
        <v>1322</v>
      </c>
      <c r="G45" s="423" t="s">
        <v>1317</v>
      </c>
      <c r="H45" s="428">
        <v>3</v>
      </c>
      <c r="I45" s="429">
        <v>2007</v>
      </c>
      <c r="J45" s="428" t="s">
        <v>1156</v>
      </c>
      <c r="K45" s="429" t="s">
        <v>1156</v>
      </c>
      <c r="L45" s="428" t="s">
        <v>1156</v>
      </c>
      <c r="M45" s="429" t="s">
        <v>1156</v>
      </c>
      <c r="N45" s="428">
        <v>2047</v>
      </c>
      <c r="O45" s="429">
        <f t="shared" si="12"/>
        <v>40</v>
      </c>
      <c r="P45" s="521">
        <v>2047</v>
      </c>
      <c r="Q45" s="429">
        <f t="shared" si="13"/>
        <v>40</v>
      </c>
      <c r="R45" s="507">
        <f t="shared" si="14"/>
        <v>12.5</v>
      </c>
      <c r="S45" s="508">
        <f t="shared" si="15"/>
        <v>27.5</v>
      </c>
    </row>
    <row r="46" spans="1:19" x14ac:dyDescent="0.2">
      <c r="A46" s="374" t="s">
        <v>983</v>
      </c>
      <c r="B46" s="77" t="s">
        <v>985</v>
      </c>
      <c r="C46" s="547">
        <v>175770</v>
      </c>
      <c r="D46" s="548">
        <v>151</v>
      </c>
      <c r="E46" s="548">
        <v>183</v>
      </c>
      <c r="F46" s="549" t="s">
        <v>1322</v>
      </c>
      <c r="G46" s="423" t="s">
        <v>1317</v>
      </c>
      <c r="H46" s="428">
        <v>4</v>
      </c>
      <c r="I46" s="429">
        <v>2007</v>
      </c>
      <c r="J46" s="428" t="s">
        <v>1156</v>
      </c>
      <c r="K46" s="429" t="s">
        <v>1156</v>
      </c>
      <c r="L46" s="428" t="s">
        <v>1156</v>
      </c>
      <c r="M46" s="429" t="s">
        <v>1156</v>
      </c>
      <c r="N46" s="428">
        <v>2047</v>
      </c>
      <c r="O46" s="429">
        <f t="shared" si="12"/>
        <v>40</v>
      </c>
      <c r="P46" s="521">
        <v>2047</v>
      </c>
      <c r="Q46" s="429">
        <f t="shared" si="13"/>
        <v>40</v>
      </c>
      <c r="R46" s="507">
        <f t="shared" si="14"/>
        <v>12.5</v>
      </c>
      <c r="S46" s="508">
        <f t="shared" si="15"/>
        <v>27.5</v>
      </c>
    </row>
    <row r="47" spans="1:19" x14ac:dyDescent="0.2">
      <c r="A47" s="374" t="s">
        <v>983</v>
      </c>
      <c r="B47" s="77" t="s">
        <v>989</v>
      </c>
      <c r="C47" s="565">
        <f>1216080-SUM(C43:C46)</f>
        <v>513000</v>
      </c>
      <c r="D47" s="566">
        <f>1061-SUM(D43:D46)</f>
        <v>457</v>
      </c>
      <c r="E47" s="566">
        <f>1200-SUM(E43:E46)</f>
        <v>468</v>
      </c>
      <c r="F47" s="549" t="s">
        <v>1316</v>
      </c>
      <c r="G47" s="423"/>
      <c r="H47" s="423"/>
      <c r="I47" s="429">
        <v>2017</v>
      </c>
      <c r="J47" s="428" t="s">
        <v>1156</v>
      </c>
      <c r="K47" s="429" t="s">
        <v>1156</v>
      </c>
      <c r="L47" s="428" t="s">
        <v>1156</v>
      </c>
      <c r="M47" s="429" t="s">
        <v>1156</v>
      </c>
      <c r="N47" s="428" t="s">
        <v>1156</v>
      </c>
      <c r="O47" s="429" t="s">
        <v>1156</v>
      </c>
      <c r="P47" s="428">
        <v>2057</v>
      </c>
      <c r="Q47" s="429">
        <f t="shared" si="13"/>
        <v>40</v>
      </c>
      <c r="R47" s="507">
        <f t="shared" si="14"/>
        <v>2.5</v>
      </c>
      <c r="S47" s="508">
        <f t="shared" si="15"/>
        <v>37.5</v>
      </c>
    </row>
    <row r="48" spans="1:19" x14ac:dyDescent="0.2">
      <c r="A48" s="374"/>
      <c r="B48" s="416"/>
      <c r="C48" s="565"/>
      <c r="D48" s="566"/>
      <c r="E48" s="566"/>
      <c r="F48" s="549"/>
      <c r="G48" s="423"/>
      <c r="H48" s="423"/>
      <c r="I48" s="429"/>
      <c r="J48" s="428"/>
      <c r="K48" s="429"/>
      <c r="L48" s="428"/>
      <c r="M48" s="429"/>
      <c r="N48" s="428"/>
      <c r="O48" s="429"/>
      <c r="P48" s="521"/>
      <c r="Q48" s="433"/>
      <c r="R48" s="507"/>
      <c r="S48" s="433"/>
    </row>
    <row r="49" spans="1:19" x14ac:dyDescent="0.2">
      <c r="A49" s="416"/>
      <c r="B49" s="416"/>
      <c r="C49" s="555">
        <f t="shared" ref="C49:D49" si="16">SUM(C41:C48)</f>
        <v>1542379</v>
      </c>
      <c r="D49" s="556">
        <f t="shared" si="16"/>
        <v>1281</v>
      </c>
      <c r="E49" s="556">
        <f>SUM(E41:E48)</f>
        <v>1420</v>
      </c>
      <c r="F49" s="557"/>
      <c r="G49" s="374"/>
      <c r="H49" s="374"/>
      <c r="I49" s="433"/>
      <c r="J49" s="567"/>
      <c r="K49" s="433"/>
      <c r="L49" s="374"/>
      <c r="M49" s="433"/>
      <c r="N49" s="374"/>
      <c r="O49" s="433"/>
      <c r="P49" s="374"/>
      <c r="Q49" s="433"/>
      <c r="R49" s="374"/>
      <c r="S49" s="433"/>
    </row>
    <row r="50" spans="1:19" x14ac:dyDescent="0.2">
      <c r="A50" s="416"/>
      <c r="B50" s="416"/>
      <c r="C50" s="568"/>
      <c r="D50" s="569"/>
      <c r="E50" s="569"/>
      <c r="F50" s="557"/>
      <c r="G50" s="374"/>
      <c r="H50" s="374"/>
      <c r="I50" s="433"/>
      <c r="J50" s="374"/>
      <c r="K50" s="433"/>
      <c r="L50" s="374"/>
      <c r="M50" s="433"/>
      <c r="N50" s="374"/>
      <c r="O50" s="433"/>
      <c r="P50" s="374"/>
      <c r="Q50" s="433"/>
      <c r="R50" s="374"/>
      <c r="S50" s="433"/>
    </row>
    <row r="51" spans="1:19" x14ac:dyDescent="0.2">
      <c r="A51" s="424"/>
      <c r="B51" s="587" t="s">
        <v>851</v>
      </c>
      <c r="C51" s="560"/>
      <c r="D51" s="561"/>
      <c r="E51" s="561"/>
      <c r="F51" s="426"/>
      <c r="G51" s="426"/>
      <c r="H51" s="426"/>
      <c r="I51" s="562"/>
      <c r="J51" s="563"/>
      <c r="K51" s="562"/>
      <c r="L51" s="563"/>
      <c r="M51" s="562"/>
      <c r="N51" s="563"/>
      <c r="O51" s="562"/>
      <c r="P51" s="563"/>
      <c r="Q51" s="562"/>
      <c r="R51" s="434"/>
      <c r="S51" s="435"/>
    </row>
    <row r="52" spans="1:19" x14ac:dyDescent="0.2">
      <c r="A52" s="374" t="s">
        <v>983</v>
      </c>
      <c r="B52" s="416" t="s">
        <v>990</v>
      </c>
      <c r="C52" s="547">
        <v>1600</v>
      </c>
      <c r="D52" s="548">
        <v>1.6</v>
      </c>
      <c r="E52" s="548">
        <v>1.6</v>
      </c>
      <c r="F52" s="549" t="s">
        <v>1043</v>
      </c>
      <c r="G52" s="374" t="s">
        <v>401</v>
      </c>
      <c r="H52" s="374">
        <v>12</v>
      </c>
      <c r="I52" s="433">
        <v>2015</v>
      </c>
      <c r="J52" s="428" t="s">
        <v>1156</v>
      </c>
      <c r="K52" s="429" t="s">
        <v>1156</v>
      </c>
      <c r="L52" s="428" t="s">
        <v>1156</v>
      </c>
      <c r="M52" s="429" t="s">
        <v>1156</v>
      </c>
      <c r="N52" s="428" t="s">
        <v>1156</v>
      </c>
      <c r="O52" s="429" t="s">
        <v>1156</v>
      </c>
      <c r="P52" s="551">
        <v>2045</v>
      </c>
      <c r="Q52" s="429">
        <f t="shared" ref="Q52:Q70" si="17">P52-$I52</f>
        <v>30</v>
      </c>
      <c r="R52" s="507">
        <f t="shared" ref="R52:R70" si="18">$S$5-$I52+0.5</f>
        <v>4.5</v>
      </c>
      <c r="S52" s="430">
        <f>Q52-R52</f>
        <v>25.5</v>
      </c>
    </row>
    <row r="53" spans="1:19" x14ac:dyDescent="0.2">
      <c r="A53" s="374" t="s">
        <v>983</v>
      </c>
      <c r="B53" s="438" t="s">
        <v>991</v>
      </c>
      <c r="C53" s="547">
        <v>1400</v>
      </c>
      <c r="D53" s="548">
        <v>1.4</v>
      </c>
      <c r="E53" s="548">
        <v>1.4</v>
      </c>
      <c r="F53" s="549" t="s">
        <v>1043</v>
      </c>
      <c r="G53" s="374" t="s">
        <v>401</v>
      </c>
      <c r="H53" s="374">
        <v>12</v>
      </c>
      <c r="I53" s="433">
        <v>2016</v>
      </c>
      <c r="J53" s="428" t="s">
        <v>1156</v>
      </c>
      <c r="K53" s="429" t="s">
        <v>1156</v>
      </c>
      <c r="L53" s="428" t="s">
        <v>1156</v>
      </c>
      <c r="M53" s="429" t="s">
        <v>1156</v>
      </c>
      <c r="N53" s="428" t="s">
        <v>1156</v>
      </c>
      <c r="O53" s="429" t="s">
        <v>1156</v>
      </c>
      <c r="P53" s="551">
        <v>2046</v>
      </c>
      <c r="Q53" s="429">
        <f t="shared" si="17"/>
        <v>30</v>
      </c>
      <c r="R53" s="507">
        <f t="shared" si="18"/>
        <v>3.5</v>
      </c>
      <c r="S53" s="430">
        <f t="shared" ref="S53:S60" si="19">Q53-R53</f>
        <v>26.5</v>
      </c>
    </row>
    <row r="54" spans="1:19" x14ac:dyDescent="0.2">
      <c r="A54" s="374" t="s">
        <v>983</v>
      </c>
      <c r="B54" s="438" t="s">
        <v>992</v>
      </c>
      <c r="C54" s="547">
        <v>19800</v>
      </c>
      <c r="D54" s="548">
        <v>19.8</v>
      </c>
      <c r="E54" s="548">
        <v>19.8</v>
      </c>
      <c r="F54" s="549" t="s">
        <v>1043</v>
      </c>
      <c r="G54" s="374" t="s">
        <v>401</v>
      </c>
      <c r="H54" s="374">
        <v>2</v>
      </c>
      <c r="I54" s="433">
        <v>2017</v>
      </c>
      <c r="J54" s="428" t="s">
        <v>1156</v>
      </c>
      <c r="K54" s="429" t="s">
        <v>1156</v>
      </c>
      <c r="L54" s="428" t="s">
        <v>1156</v>
      </c>
      <c r="M54" s="429" t="s">
        <v>1156</v>
      </c>
      <c r="N54" s="428" t="s">
        <v>1156</v>
      </c>
      <c r="O54" s="429" t="s">
        <v>1156</v>
      </c>
      <c r="P54" s="551">
        <v>2047</v>
      </c>
      <c r="Q54" s="429">
        <f t="shared" si="17"/>
        <v>30</v>
      </c>
      <c r="R54" s="507">
        <f t="shared" si="18"/>
        <v>2.5</v>
      </c>
      <c r="S54" s="430">
        <f t="shared" si="19"/>
        <v>27.5</v>
      </c>
    </row>
    <row r="55" spans="1:19" x14ac:dyDescent="0.2">
      <c r="A55" s="374" t="s">
        <v>983</v>
      </c>
      <c r="B55" s="416" t="s">
        <v>993</v>
      </c>
      <c r="C55" s="547">
        <v>70300</v>
      </c>
      <c r="D55" s="548">
        <v>70.3</v>
      </c>
      <c r="E55" s="548">
        <v>70.3</v>
      </c>
      <c r="F55" s="549" t="s">
        <v>1043</v>
      </c>
      <c r="G55" s="374" t="s">
        <v>401</v>
      </c>
      <c r="H55" s="374">
        <v>9</v>
      </c>
      <c r="I55" s="433">
        <v>2018</v>
      </c>
      <c r="J55" s="428" t="s">
        <v>1156</v>
      </c>
      <c r="K55" s="429" t="s">
        <v>1156</v>
      </c>
      <c r="L55" s="428" t="s">
        <v>1156</v>
      </c>
      <c r="M55" s="429" t="s">
        <v>1156</v>
      </c>
      <c r="N55" s="428" t="s">
        <v>1156</v>
      </c>
      <c r="O55" s="429" t="s">
        <v>1156</v>
      </c>
      <c r="P55" s="551">
        <v>2048</v>
      </c>
      <c r="Q55" s="429">
        <f t="shared" si="17"/>
        <v>30</v>
      </c>
      <c r="R55" s="507">
        <f t="shared" si="18"/>
        <v>1.5</v>
      </c>
      <c r="S55" s="430">
        <f t="shared" si="19"/>
        <v>28.5</v>
      </c>
    </row>
    <row r="56" spans="1:19" x14ac:dyDescent="0.2">
      <c r="A56" s="374" t="s">
        <v>983</v>
      </c>
      <c r="B56" s="416" t="s">
        <v>994</v>
      </c>
      <c r="C56" s="547">
        <v>74400</v>
      </c>
      <c r="D56" s="548">
        <v>74.400000000000006</v>
      </c>
      <c r="E56" s="548">
        <v>74.400000000000006</v>
      </c>
      <c r="F56" s="549" t="s">
        <v>1043</v>
      </c>
      <c r="G56" s="374" t="s">
        <v>401</v>
      </c>
      <c r="H56" s="374">
        <v>9</v>
      </c>
      <c r="I56" s="433">
        <v>2018</v>
      </c>
      <c r="J56" s="428" t="s">
        <v>1156</v>
      </c>
      <c r="K56" s="429" t="s">
        <v>1156</v>
      </c>
      <c r="L56" s="428" t="s">
        <v>1156</v>
      </c>
      <c r="M56" s="429" t="s">
        <v>1156</v>
      </c>
      <c r="N56" s="428" t="s">
        <v>1156</v>
      </c>
      <c r="O56" s="429" t="s">
        <v>1156</v>
      </c>
      <c r="P56" s="551">
        <v>2048</v>
      </c>
      <c r="Q56" s="429">
        <f t="shared" si="17"/>
        <v>30</v>
      </c>
      <c r="R56" s="507">
        <f t="shared" si="18"/>
        <v>1.5</v>
      </c>
      <c r="S56" s="430">
        <f t="shared" si="19"/>
        <v>28.5</v>
      </c>
    </row>
    <row r="57" spans="1:19" x14ac:dyDescent="0.2">
      <c r="A57" s="374" t="s">
        <v>983</v>
      </c>
      <c r="B57" s="416" t="s">
        <v>995</v>
      </c>
      <c r="C57" s="547">
        <v>74400</v>
      </c>
      <c r="D57" s="548">
        <v>74.400000000000006</v>
      </c>
      <c r="E57" s="548">
        <v>74.400000000000006</v>
      </c>
      <c r="F57" s="549" t="s">
        <v>1043</v>
      </c>
      <c r="G57" s="374" t="s">
        <v>401</v>
      </c>
      <c r="H57" s="374">
        <v>1</v>
      </c>
      <c r="I57" s="433">
        <v>2019</v>
      </c>
      <c r="J57" s="428" t="s">
        <v>1156</v>
      </c>
      <c r="K57" s="429" t="s">
        <v>1156</v>
      </c>
      <c r="L57" s="428" t="s">
        <v>1156</v>
      </c>
      <c r="M57" s="429" t="s">
        <v>1156</v>
      </c>
      <c r="N57" s="428" t="s">
        <v>1156</v>
      </c>
      <c r="O57" s="429" t="s">
        <v>1156</v>
      </c>
      <c r="P57" s="551">
        <v>2049</v>
      </c>
      <c r="Q57" s="429">
        <f t="shared" si="17"/>
        <v>30</v>
      </c>
      <c r="R57" s="507">
        <f t="shared" si="18"/>
        <v>0.5</v>
      </c>
      <c r="S57" s="430">
        <f t="shared" si="19"/>
        <v>29.5</v>
      </c>
    </row>
    <row r="58" spans="1:19" x14ac:dyDescent="0.2">
      <c r="A58" s="374" t="s">
        <v>983</v>
      </c>
      <c r="B58" s="416" t="s">
        <v>996</v>
      </c>
      <c r="C58" s="547">
        <v>61100</v>
      </c>
      <c r="D58" s="548">
        <v>61.1</v>
      </c>
      <c r="E58" s="548">
        <v>61.1</v>
      </c>
      <c r="F58" s="549" t="s">
        <v>1043</v>
      </c>
      <c r="G58" s="374" t="s">
        <v>401</v>
      </c>
      <c r="H58" s="374">
        <v>1</v>
      </c>
      <c r="I58" s="433">
        <v>2019</v>
      </c>
      <c r="J58" s="428" t="s">
        <v>1156</v>
      </c>
      <c r="K58" s="429" t="s">
        <v>1156</v>
      </c>
      <c r="L58" s="428" t="s">
        <v>1156</v>
      </c>
      <c r="M58" s="429" t="s">
        <v>1156</v>
      </c>
      <c r="N58" s="428" t="s">
        <v>1156</v>
      </c>
      <c r="O58" s="429" t="s">
        <v>1156</v>
      </c>
      <c r="P58" s="551">
        <v>2049</v>
      </c>
      <c r="Q58" s="429">
        <f t="shared" si="17"/>
        <v>30</v>
      </c>
      <c r="R58" s="507">
        <f t="shared" si="18"/>
        <v>0.5</v>
      </c>
      <c r="S58" s="430">
        <f t="shared" si="19"/>
        <v>29.5</v>
      </c>
    </row>
    <row r="59" spans="1:19" x14ac:dyDescent="0.2">
      <c r="A59" s="374" t="s">
        <v>983</v>
      </c>
      <c r="B59" s="416" t="s">
        <v>997</v>
      </c>
      <c r="C59" s="547">
        <v>37500</v>
      </c>
      <c r="D59" s="548">
        <v>37.5</v>
      </c>
      <c r="E59" s="548">
        <v>37.5</v>
      </c>
      <c r="F59" s="549" t="s">
        <v>1043</v>
      </c>
      <c r="G59" s="374" t="s">
        <v>401</v>
      </c>
      <c r="H59" s="374">
        <v>1</v>
      </c>
      <c r="I59" s="433">
        <v>2019</v>
      </c>
      <c r="J59" s="428" t="s">
        <v>1156</v>
      </c>
      <c r="K59" s="429" t="s">
        <v>1156</v>
      </c>
      <c r="L59" s="428" t="s">
        <v>1156</v>
      </c>
      <c r="M59" s="429" t="s">
        <v>1156</v>
      </c>
      <c r="N59" s="428" t="s">
        <v>1156</v>
      </c>
      <c r="O59" s="429" t="s">
        <v>1156</v>
      </c>
      <c r="P59" s="551">
        <v>2049</v>
      </c>
      <c r="Q59" s="429">
        <f t="shared" si="17"/>
        <v>30</v>
      </c>
      <c r="R59" s="507">
        <f t="shared" si="18"/>
        <v>0.5</v>
      </c>
      <c r="S59" s="430">
        <f t="shared" si="19"/>
        <v>29.5</v>
      </c>
    </row>
    <row r="60" spans="1:19" x14ac:dyDescent="0.2">
      <c r="A60" s="374" t="s">
        <v>983</v>
      </c>
      <c r="B60" s="416" t="s">
        <v>998</v>
      </c>
      <c r="C60" s="547">
        <v>55400</v>
      </c>
      <c r="D60" s="548">
        <v>55.4</v>
      </c>
      <c r="E60" s="548">
        <v>55.4</v>
      </c>
      <c r="F60" s="549" t="s">
        <v>1043</v>
      </c>
      <c r="G60" s="374" t="s">
        <v>401</v>
      </c>
      <c r="H60" s="374">
        <v>3</v>
      </c>
      <c r="I60" s="433">
        <v>2019</v>
      </c>
      <c r="J60" s="428" t="s">
        <v>1156</v>
      </c>
      <c r="K60" s="429" t="s">
        <v>1156</v>
      </c>
      <c r="L60" s="428" t="s">
        <v>1156</v>
      </c>
      <c r="M60" s="429" t="s">
        <v>1156</v>
      </c>
      <c r="N60" s="428" t="s">
        <v>1156</v>
      </c>
      <c r="O60" s="429" t="s">
        <v>1156</v>
      </c>
      <c r="P60" s="551">
        <v>2049</v>
      </c>
      <c r="Q60" s="429">
        <f t="shared" si="17"/>
        <v>30</v>
      </c>
      <c r="R60" s="507">
        <f t="shared" si="18"/>
        <v>0.5</v>
      </c>
      <c r="S60" s="430">
        <f t="shared" si="19"/>
        <v>29.5</v>
      </c>
    </row>
    <row r="61" spans="1:19" x14ac:dyDescent="0.2">
      <c r="A61" s="374" t="s">
        <v>983</v>
      </c>
      <c r="B61" s="416" t="s">
        <v>999</v>
      </c>
      <c r="C61" s="547">
        <v>49500</v>
      </c>
      <c r="D61" s="548">
        <v>49.5</v>
      </c>
      <c r="E61" s="548">
        <v>49.5</v>
      </c>
      <c r="F61" s="549" t="s">
        <v>1043</v>
      </c>
      <c r="G61" s="374" t="s">
        <v>401</v>
      </c>
      <c r="H61" s="374">
        <v>4</v>
      </c>
      <c r="I61" s="433">
        <v>2019</v>
      </c>
      <c r="J61" s="428" t="s">
        <v>1156</v>
      </c>
      <c r="K61" s="429" t="s">
        <v>1156</v>
      </c>
      <c r="L61" s="428" t="s">
        <v>1156</v>
      </c>
      <c r="M61" s="429" t="s">
        <v>1156</v>
      </c>
      <c r="N61" s="428" t="s">
        <v>1156</v>
      </c>
      <c r="O61" s="429" t="s">
        <v>1156</v>
      </c>
      <c r="P61" s="551">
        <v>2049</v>
      </c>
      <c r="Q61" s="429">
        <f t="shared" si="17"/>
        <v>30</v>
      </c>
      <c r="R61" s="507">
        <f t="shared" si="18"/>
        <v>0.5</v>
      </c>
      <c r="S61" s="430">
        <f>Q61-R61</f>
        <v>29.5</v>
      </c>
    </row>
    <row r="62" spans="1:19" x14ac:dyDescent="0.2">
      <c r="A62" s="374" t="s">
        <v>983</v>
      </c>
      <c r="B62" s="438" t="s">
        <v>1000</v>
      </c>
      <c r="C62" s="547">
        <v>74500</v>
      </c>
      <c r="D62" s="548">
        <v>74.5</v>
      </c>
      <c r="E62" s="548">
        <v>74.5</v>
      </c>
      <c r="F62" s="549" t="s">
        <v>1043</v>
      </c>
      <c r="G62" s="374" t="s">
        <v>401</v>
      </c>
      <c r="H62" s="374">
        <v>2</v>
      </c>
      <c r="I62" s="433">
        <v>2020</v>
      </c>
      <c r="J62" s="428" t="s">
        <v>1156</v>
      </c>
      <c r="K62" s="429" t="s">
        <v>1156</v>
      </c>
      <c r="L62" s="428" t="s">
        <v>1156</v>
      </c>
      <c r="M62" s="429" t="s">
        <v>1156</v>
      </c>
      <c r="N62" s="428" t="s">
        <v>1156</v>
      </c>
      <c r="O62" s="429" t="s">
        <v>1156</v>
      </c>
      <c r="P62" s="551">
        <v>2050</v>
      </c>
      <c r="Q62" s="429">
        <f t="shared" si="17"/>
        <v>30</v>
      </c>
      <c r="R62" s="507">
        <f t="shared" si="18"/>
        <v>-0.5</v>
      </c>
      <c r="S62" s="430">
        <f t="shared" ref="S62:S70" si="20">Q62-R62</f>
        <v>30.5</v>
      </c>
    </row>
    <row r="63" spans="1:19" x14ac:dyDescent="0.2">
      <c r="A63" s="374" t="s">
        <v>983</v>
      </c>
      <c r="B63" s="416" t="s">
        <v>1001</v>
      </c>
      <c r="C63" s="547">
        <v>74500</v>
      </c>
      <c r="D63" s="548">
        <v>74.8</v>
      </c>
      <c r="E63" s="548">
        <v>74.8</v>
      </c>
      <c r="F63" s="549" t="s">
        <v>1043</v>
      </c>
      <c r="G63" s="374" t="s">
        <v>401</v>
      </c>
      <c r="H63" s="374">
        <v>2</v>
      </c>
      <c r="I63" s="433">
        <v>2020</v>
      </c>
      <c r="J63" s="428" t="s">
        <v>1156</v>
      </c>
      <c r="K63" s="429" t="s">
        <v>1156</v>
      </c>
      <c r="L63" s="428" t="s">
        <v>1156</v>
      </c>
      <c r="M63" s="429" t="s">
        <v>1156</v>
      </c>
      <c r="N63" s="428" t="s">
        <v>1156</v>
      </c>
      <c r="O63" s="429" t="s">
        <v>1156</v>
      </c>
      <c r="P63" s="551">
        <v>2050</v>
      </c>
      <c r="Q63" s="429">
        <f t="shared" si="17"/>
        <v>30</v>
      </c>
      <c r="R63" s="507">
        <f t="shared" si="18"/>
        <v>-0.5</v>
      </c>
      <c r="S63" s="430">
        <f t="shared" si="20"/>
        <v>30.5</v>
      </c>
    </row>
    <row r="64" spans="1:19" x14ac:dyDescent="0.2">
      <c r="A64" s="374" t="s">
        <v>983</v>
      </c>
      <c r="B64" s="416" t="s">
        <v>1002</v>
      </c>
      <c r="C64" s="547">
        <v>60000</v>
      </c>
      <c r="D64" s="548">
        <v>60</v>
      </c>
      <c r="E64" s="548">
        <v>60</v>
      </c>
      <c r="F64" s="549" t="s">
        <v>1043</v>
      </c>
      <c r="G64" s="374" t="s">
        <v>401</v>
      </c>
      <c r="H64" s="374">
        <v>1</v>
      </c>
      <c r="I64" s="433">
        <v>2021</v>
      </c>
      <c r="J64" s="428" t="s">
        <v>1156</v>
      </c>
      <c r="K64" s="429" t="s">
        <v>1156</v>
      </c>
      <c r="L64" s="428" t="s">
        <v>1156</v>
      </c>
      <c r="M64" s="429" t="s">
        <v>1156</v>
      </c>
      <c r="N64" s="428" t="s">
        <v>1156</v>
      </c>
      <c r="O64" s="429" t="s">
        <v>1156</v>
      </c>
      <c r="P64" s="551">
        <f t="shared" ref="P64:P70" si="21">I64+30</f>
        <v>2051</v>
      </c>
      <c r="Q64" s="429">
        <f t="shared" si="17"/>
        <v>30</v>
      </c>
      <c r="R64" s="507">
        <f t="shared" si="18"/>
        <v>-1.5</v>
      </c>
      <c r="S64" s="430">
        <f t="shared" si="20"/>
        <v>31.5</v>
      </c>
    </row>
    <row r="65" spans="1:19" x14ac:dyDescent="0.2">
      <c r="A65" s="374" t="s">
        <v>983</v>
      </c>
      <c r="B65" s="416" t="s">
        <v>1003</v>
      </c>
      <c r="C65" s="547">
        <v>52500</v>
      </c>
      <c r="D65" s="548">
        <v>52.5</v>
      </c>
      <c r="E65" s="548">
        <v>52.5</v>
      </c>
      <c r="F65" s="549" t="s">
        <v>1043</v>
      </c>
      <c r="G65" s="374" t="s">
        <v>401</v>
      </c>
      <c r="H65" s="374">
        <v>1</v>
      </c>
      <c r="I65" s="433">
        <v>2021</v>
      </c>
      <c r="J65" s="428" t="s">
        <v>1156</v>
      </c>
      <c r="K65" s="429" t="s">
        <v>1156</v>
      </c>
      <c r="L65" s="428" t="s">
        <v>1156</v>
      </c>
      <c r="M65" s="429" t="s">
        <v>1156</v>
      </c>
      <c r="N65" s="428" t="s">
        <v>1156</v>
      </c>
      <c r="O65" s="429" t="s">
        <v>1156</v>
      </c>
      <c r="P65" s="551">
        <f t="shared" si="21"/>
        <v>2051</v>
      </c>
      <c r="Q65" s="429">
        <f t="shared" si="17"/>
        <v>30</v>
      </c>
      <c r="R65" s="507">
        <f t="shared" si="18"/>
        <v>-1.5</v>
      </c>
      <c r="S65" s="430">
        <f t="shared" si="20"/>
        <v>31.5</v>
      </c>
    </row>
    <row r="66" spans="1:19" x14ac:dyDescent="0.2">
      <c r="A66" s="374" t="s">
        <v>983</v>
      </c>
      <c r="B66" s="416" t="s">
        <v>1004</v>
      </c>
      <c r="C66" s="547">
        <v>25000</v>
      </c>
      <c r="D66" s="548">
        <v>25</v>
      </c>
      <c r="E66" s="548">
        <v>25</v>
      </c>
      <c r="F66" s="549" t="s">
        <v>1043</v>
      </c>
      <c r="G66" s="374" t="s">
        <v>401</v>
      </c>
      <c r="H66" s="374">
        <v>12</v>
      </c>
      <c r="I66" s="433">
        <v>2021</v>
      </c>
      <c r="J66" s="428" t="s">
        <v>1156</v>
      </c>
      <c r="K66" s="429" t="s">
        <v>1156</v>
      </c>
      <c r="L66" s="428" t="s">
        <v>1156</v>
      </c>
      <c r="M66" s="429" t="s">
        <v>1156</v>
      </c>
      <c r="N66" s="428" t="s">
        <v>1156</v>
      </c>
      <c r="O66" s="429" t="s">
        <v>1156</v>
      </c>
      <c r="P66" s="551">
        <f t="shared" si="21"/>
        <v>2051</v>
      </c>
      <c r="Q66" s="429">
        <f t="shared" si="17"/>
        <v>30</v>
      </c>
      <c r="R66" s="507">
        <f t="shared" si="18"/>
        <v>-1.5</v>
      </c>
      <c r="S66" s="430">
        <f t="shared" si="20"/>
        <v>31.5</v>
      </c>
    </row>
    <row r="67" spans="1:19" x14ac:dyDescent="0.2">
      <c r="A67" s="374" t="s">
        <v>983</v>
      </c>
      <c r="B67" s="438" t="s">
        <v>1005</v>
      </c>
      <c r="C67" s="547">
        <v>70000</v>
      </c>
      <c r="D67" s="548">
        <v>72</v>
      </c>
      <c r="E67" s="548">
        <v>72</v>
      </c>
      <c r="F67" s="549" t="s">
        <v>1043</v>
      </c>
      <c r="G67" s="374" t="s">
        <v>401</v>
      </c>
      <c r="H67" s="374">
        <v>12</v>
      </c>
      <c r="I67" s="433">
        <v>2021</v>
      </c>
      <c r="J67" s="428" t="s">
        <v>1156</v>
      </c>
      <c r="K67" s="429" t="s">
        <v>1156</v>
      </c>
      <c r="L67" s="428" t="s">
        <v>1156</v>
      </c>
      <c r="M67" s="429" t="s">
        <v>1156</v>
      </c>
      <c r="N67" s="428" t="s">
        <v>1156</v>
      </c>
      <c r="O67" s="429" t="s">
        <v>1156</v>
      </c>
      <c r="P67" s="551">
        <f t="shared" si="21"/>
        <v>2051</v>
      </c>
      <c r="Q67" s="429">
        <f t="shared" si="17"/>
        <v>30</v>
      </c>
      <c r="R67" s="507">
        <f t="shared" si="18"/>
        <v>-1.5</v>
      </c>
      <c r="S67" s="430">
        <f t="shared" si="20"/>
        <v>31.5</v>
      </c>
    </row>
    <row r="68" spans="1:19" x14ac:dyDescent="0.2">
      <c r="A68" s="374" t="s">
        <v>983</v>
      </c>
      <c r="B68" s="438" t="s">
        <v>1006</v>
      </c>
      <c r="C68" s="547">
        <v>74500</v>
      </c>
      <c r="D68" s="548">
        <v>74.5</v>
      </c>
      <c r="E68" s="548">
        <v>74.5</v>
      </c>
      <c r="F68" s="549" t="s">
        <v>1043</v>
      </c>
      <c r="G68" s="374" t="s">
        <v>401</v>
      </c>
      <c r="H68" s="374">
        <v>12</v>
      </c>
      <c r="I68" s="433">
        <v>2022</v>
      </c>
      <c r="J68" s="428" t="s">
        <v>1156</v>
      </c>
      <c r="K68" s="429" t="s">
        <v>1156</v>
      </c>
      <c r="L68" s="428" t="s">
        <v>1156</v>
      </c>
      <c r="M68" s="429" t="s">
        <v>1156</v>
      </c>
      <c r="N68" s="428" t="s">
        <v>1156</v>
      </c>
      <c r="O68" s="429" t="s">
        <v>1156</v>
      </c>
      <c r="P68" s="551">
        <f t="shared" si="21"/>
        <v>2052</v>
      </c>
      <c r="Q68" s="429">
        <f t="shared" si="17"/>
        <v>30</v>
      </c>
      <c r="R68" s="507">
        <f t="shared" si="18"/>
        <v>-2.5</v>
      </c>
      <c r="S68" s="430">
        <f t="shared" si="20"/>
        <v>32.5</v>
      </c>
    </row>
    <row r="69" spans="1:19" x14ac:dyDescent="0.2">
      <c r="A69" s="374" t="s">
        <v>983</v>
      </c>
      <c r="B69" s="438" t="s">
        <v>1007</v>
      </c>
      <c r="C69" s="547">
        <v>74500</v>
      </c>
      <c r="D69" s="548">
        <v>74.5</v>
      </c>
      <c r="E69" s="548">
        <v>74.5</v>
      </c>
      <c r="F69" s="549" t="s">
        <v>1043</v>
      </c>
      <c r="G69" s="374" t="s">
        <v>401</v>
      </c>
      <c r="H69" s="374">
        <v>12</v>
      </c>
      <c r="I69" s="433">
        <v>2022</v>
      </c>
      <c r="J69" s="428" t="s">
        <v>1156</v>
      </c>
      <c r="K69" s="429" t="s">
        <v>1156</v>
      </c>
      <c r="L69" s="428" t="s">
        <v>1156</v>
      </c>
      <c r="M69" s="429" t="s">
        <v>1156</v>
      </c>
      <c r="N69" s="428" t="s">
        <v>1156</v>
      </c>
      <c r="O69" s="429" t="s">
        <v>1156</v>
      </c>
      <c r="P69" s="551">
        <f t="shared" si="21"/>
        <v>2052</v>
      </c>
      <c r="Q69" s="429">
        <f t="shared" si="17"/>
        <v>30</v>
      </c>
      <c r="R69" s="507">
        <f t="shared" si="18"/>
        <v>-2.5</v>
      </c>
      <c r="S69" s="430">
        <f t="shared" si="20"/>
        <v>32.5</v>
      </c>
    </row>
    <row r="70" spans="1:19" x14ac:dyDescent="0.2">
      <c r="A70" s="374" t="s">
        <v>983</v>
      </c>
      <c r="B70" s="438" t="s">
        <v>1348</v>
      </c>
      <c r="C70" s="547">
        <v>74500</v>
      </c>
      <c r="D70" s="548">
        <v>74.5</v>
      </c>
      <c r="E70" s="548">
        <v>74.5</v>
      </c>
      <c r="F70" s="549" t="s">
        <v>1043</v>
      </c>
      <c r="G70" s="374" t="s">
        <v>401</v>
      </c>
      <c r="H70" s="374">
        <v>12</v>
      </c>
      <c r="I70" s="433">
        <v>2022</v>
      </c>
      <c r="J70" s="428" t="s">
        <v>1156</v>
      </c>
      <c r="K70" s="429" t="s">
        <v>1156</v>
      </c>
      <c r="L70" s="428" t="s">
        <v>1156</v>
      </c>
      <c r="M70" s="429" t="s">
        <v>1156</v>
      </c>
      <c r="N70" s="428" t="s">
        <v>1156</v>
      </c>
      <c r="O70" s="429" t="s">
        <v>1156</v>
      </c>
      <c r="P70" s="551">
        <f t="shared" si="21"/>
        <v>2052</v>
      </c>
      <c r="Q70" s="429">
        <f t="shared" si="17"/>
        <v>30</v>
      </c>
      <c r="R70" s="507">
        <f t="shared" si="18"/>
        <v>-2.5</v>
      </c>
      <c r="S70" s="430">
        <f t="shared" si="20"/>
        <v>32.5</v>
      </c>
    </row>
    <row r="71" spans="1:19" x14ac:dyDescent="0.2">
      <c r="A71" s="374"/>
      <c r="B71" s="416"/>
      <c r="C71" s="558"/>
      <c r="D71" s="559"/>
      <c r="E71" s="559"/>
      <c r="F71" s="549"/>
      <c r="G71" s="374"/>
      <c r="H71" s="374"/>
      <c r="I71" s="433"/>
      <c r="J71" s="428"/>
      <c r="K71" s="429"/>
      <c r="L71" s="428"/>
      <c r="M71" s="429"/>
      <c r="N71" s="428"/>
      <c r="O71" s="429"/>
      <c r="P71" s="551"/>
      <c r="Q71" s="429"/>
      <c r="R71" s="507"/>
      <c r="S71" s="430"/>
    </row>
    <row r="72" spans="1:19" x14ac:dyDescent="0.2">
      <c r="A72" s="416"/>
      <c r="B72" s="416"/>
      <c r="C72" s="555">
        <f>SUM(C52:C71)</f>
        <v>1025400</v>
      </c>
      <c r="D72" s="556">
        <f>SUM(D52:D71)</f>
        <v>1027.6999999999998</v>
      </c>
      <c r="E72" s="556">
        <f>SUM(E52:E71)</f>
        <v>1027.6999999999998</v>
      </c>
      <c r="F72" s="412"/>
      <c r="G72" s="374"/>
      <c r="H72" s="374"/>
      <c r="I72" s="433"/>
      <c r="J72" s="374"/>
      <c r="K72" s="433"/>
      <c r="L72" s="374"/>
      <c r="M72" s="433"/>
      <c r="N72" s="374"/>
      <c r="O72" s="433"/>
      <c r="P72" s="511"/>
      <c r="Q72" s="429"/>
      <c r="R72" s="432"/>
      <c r="S72" s="437"/>
    </row>
    <row r="73" spans="1:19" x14ac:dyDescent="0.2">
      <c r="A73" s="416"/>
      <c r="B73" s="416"/>
      <c r="C73" s="568"/>
      <c r="D73" s="568"/>
      <c r="E73" s="568"/>
      <c r="F73" s="557"/>
      <c r="G73" s="374"/>
      <c r="H73" s="374"/>
      <c r="I73" s="433"/>
      <c r="J73" s="374"/>
      <c r="K73" s="433"/>
      <c r="L73" s="374"/>
      <c r="M73" s="433"/>
      <c r="N73" s="374"/>
      <c r="O73" s="433"/>
      <c r="P73" s="511"/>
      <c r="Q73" s="429"/>
      <c r="R73" s="432"/>
      <c r="S73" s="437"/>
    </row>
    <row r="74" spans="1:19" x14ac:dyDescent="0.2">
      <c r="A74" s="424"/>
      <c r="B74" s="587" t="s">
        <v>1008</v>
      </c>
      <c r="C74" s="560"/>
      <c r="D74" s="560"/>
      <c r="E74" s="560"/>
      <c r="F74" s="426"/>
      <c r="G74" s="426"/>
      <c r="H74" s="426"/>
      <c r="I74" s="562"/>
      <c r="J74" s="563"/>
      <c r="K74" s="562"/>
      <c r="L74" s="563"/>
      <c r="M74" s="562"/>
      <c r="N74" s="563"/>
      <c r="O74" s="562"/>
      <c r="P74" s="563"/>
      <c r="Q74" s="562"/>
      <c r="R74" s="434"/>
      <c r="S74" s="435"/>
    </row>
    <row r="75" spans="1:19" x14ac:dyDescent="0.2">
      <c r="A75" s="374" t="s">
        <v>983</v>
      </c>
      <c r="B75" s="438" t="s">
        <v>1009</v>
      </c>
      <c r="C75" s="568">
        <f>18500*5</f>
        <v>92500</v>
      </c>
      <c r="D75" s="570">
        <f>18.5*5</f>
        <v>92.5</v>
      </c>
      <c r="E75" s="570">
        <f>18.5*5</f>
        <v>92.5</v>
      </c>
      <c r="F75" s="549" t="s">
        <v>1325</v>
      </c>
      <c r="G75" s="374" t="s">
        <v>1317</v>
      </c>
      <c r="H75" s="374">
        <v>12</v>
      </c>
      <c r="I75" s="433">
        <v>2021</v>
      </c>
      <c r="J75" s="374"/>
      <c r="K75" s="433"/>
      <c r="L75" s="374"/>
      <c r="M75" s="433"/>
      <c r="N75" s="374"/>
      <c r="O75" s="433"/>
      <c r="P75" s="551">
        <f>I75+30</f>
        <v>2051</v>
      </c>
      <c r="Q75" s="429">
        <f t="shared" ref="Q75:Q76" si="22">P75-$I75</f>
        <v>30</v>
      </c>
      <c r="R75" s="507">
        <f>$S$5-$I75+0.5</f>
        <v>-1.5</v>
      </c>
      <c r="S75" s="430">
        <f t="shared" ref="S75:S76" si="23">Q75-R75</f>
        <v>31.5</v>
      </c>
    </row>
    <row r="76" spans="1:19" x14ac:dyDescent="0.2">
      <c r="A76" s="374" t="s">
        <v>983</v>
      </c>
      <c r="B76" s="438" t="s">
        <v>1010</v>
      </c>
      <c r="C76" s="568">
        <f>10000*3</f>
        <v>30000</v>
      </c>
      <c r="D76" s="570">
        <f>10*3</f>
        <v>30</v>
      </c>
      <c r="E76" s="570">
        <f>10*3</f>
        <v>30</v>
      </c>
      <c r="F76" s="549" t="s">
        <v>1326</v>
      </c>
      <c r="G76" s="549" t="s">
        <v>1327</v>
      </c>
      <c r="H76" s="374">
        <v>1</v>
      </c>
      <c r="I76" s="433">
        <v>2022</v>
      </c>
      <c r="J76" s="374"/>
      <c r="K76" s="433"/>
      <c r="L76" s="374"/>
      <c r="M76" s="433"/>
      <c r="N76" s="374"/>
      <c r="O76" s="433"/>
      <c r="P76" s="551">
        <f>I76+10</f>
        <v>2032</v>
      </c>
      <c r="Q76" s="429">
        <f t="shared" si="22"/>
        <v>10</v>
      </c>
      <c r="R76" s="507">
        <f>$S$5-$I76+0.5</f>
        <v>-2.5</v>
      </c>
      <c r="S76" s="430">
        <f t="shared" si="23"/>
        <v>12.5</v>
      </c>
    </row>
    <row r="77" spans="1:19" x14ac:dyDescent="0.2">
      <c r="A77" s="416"/>
      <c r="B77" s="416"/>
      <c r="C77" s="568"/>
      <c r="D77" s="568"/>
      <c r="E77" s="568"/>
      <c r="F77" s="557"/>
      <c r="G77" s="374"/>
      <c r="H77" s="374"/>
      <c r="I77" s="433"/>
      <c r="J77" s="374"/>
      <c r="K77" s="433"/>
      <c r="L77" s="374"/>
      <c r="M77" s="433"/>
      <c r="N77" s="374"/>
      <c r="O77" s="433"/>
      <c r="P77" s="511"/>
      <c r="Q77" s="429"/>
      <c r="R77" s="432"/>
      <c r="S77" s="437"/>
    </row>
    <row r="78" spans="1:19" x14ac:dyDescent="0.2">
      <c r="A78" s="416"/>
      <c r="B78" s="416"/>
      <c r="C78" s="555">
        <f>SUM(C75:C77)</f>
        <v>122500</v>
      </c>
      <c r="D78" s="556">
        <f>SUM(D75:D77)</f>
        <v>122.5</v>
      </c>
      <c r="E78" s="556">
        <f>SUM(E75:E77)</f>
        <v>122.5</v>
      </c>
      <c r="F78" s="557"/>
      <c r="G78" s="374"/>
      <c r="H78" s="374"/>
      <c r="I78" s="433"/>
      <c r="J78" s="374"/>
      <c r="K78" s="433"/>
      <c r="L78" s="374"/>
      <c r="M78" s="433"/>
      <c r="N78" s="374"/>
      <c r="O78" s="433"/>
      <c r="P78" s="511"/>
      <c r="Q78" s="429"/>
      <c r="R78" s="432"/>
      <c r="S78" s="437"/>
    </row>
    <row r="79" spans="1:19" x14ac:dyDescent="0.2">
      <c r="A79" s="416"/>
      <c r="B79" s="416"/>
      <c r="C79" s="568"/>
      <c r="D79" s="568"/>
      <c r="E79" s="568"/>
      <c r="F79" s="557"/>
      <c r="G79" s="374"/>
      <c r="H79" s="374"/>
      <c r="I79" s="433"/>
      <c r="J79" s="374"/>
      <c r="K79" s="433"/>
      <c r="L79" s="374"/>
      <c r="M79" s="433"/>
      <c r="N79" s="374"/>
      <c r="O79" s="433"/>
      <c r="P79" s="511"/>
      <c r="Q79" s="429"/>
      <c r="R79" s="432"/>
      <c r="S79" s="437"/>
    </row>
    <row r="80" spans="1:19" x14ac:dyDescent="0.2">
      <c r="A80" s="416"/>
      <c r="B80" s="416"/>
      <c r="C80" s="588" t="s">
        <v>40</v>
      </c>
      <c r="D80" s="568"/>
      <c r="E80" s="568"/>
      <c r="F80" s="557"/>
      <c r="G80" s="412"/>
      <c r="H80" s="412"/>
      <c r="I80" s="571"/>
      <c r="J80" s="412"/>
      <c r="K80" s="433"/>
      <c r="L80" s="374"/>
      <c r="M80" s="433"/>
      <c r="N80" s="374"/>
      <c r="O80" s="433"/>
      <c r="P80" s="511"/>
      <c r="Q80" s="429"/>
      <c r="R80" s="432"/>
      <c r="S80" s="437"/>
    </row>
    <row r="81" spans="1:19" x14ac:dyDescent="0.2">
      <c r="A81" s="416"/>
      <c r="B81" s="572"/>
      <c r="C81" s="573" t="s">
        <v>1360</v>
      </c>
      <c r="D81" s="573" t="s">
        <v>1328</v>
      </c>
      <c r="E81" s="573" t="s">
        <v>1328</v>
      </c>
      <c r="F81" s="412"/>
      <c r="G81" s="412"/>
      <c r="H81" s="412"/>
      <c r="I81" s="571"/>
      <c r="J81" s="439"/>
      <c r="K81" s="433"/>
      <c r="L81" s="374"/>
      <c r="M81" s="433"/>
      <c r="N81" s="374"/>
      <c r="O81" s="433"/>
      <c r="P81" s="511"/>
      <c r="Q81" s="429"/>
      <c r="R81" s="432"/>
      <c r="S81" s="437"/>
    </row>
    <row r="82" spans="1:19" x14ac:dyDescent="0.2">
      <c r="A82" s="416"/>
      <c r="B82" s="574" t="s">
        <v>1329</v>
      </c>
      <c r="C82" s="575">
        <f>SUM(C27,C38,C72,C49,C78)-SUM(C83:C85)</f>
        <v>5282939</v>
      </c>
      <c r="D82" s="576">
        <f>SUM(D27,D38,D72,D49,D78)-SUM(D83:D85)</f>
        <v>4468.3999999999996</v>
      </c>
      <c r="E82" s="576">
        <f>SUM(E27,E38,E72,E49,E78)-SUM(E83:E85)</f>
        <v>4851.3999999999996</v>
      </c>
      <c r="F82" s="412"/>
      <c r="G82" s="412"/>
      <c r="H82" s="412"/>
      <c r="I82" s="571"/>
      <c r="J82" s="577"/>
      <c r="K82" s="433"/>
      <c r="L82" s="374"/>
      <c r="M82" s="433"/>
      <c r="N82" s="374"/>
      <c r="O82" s="433"/>
      <c r="P82" s="511"/>
      <c r="Q82" s="429"/>
      <c r="R82" s="432"/>
      <c r="S82" s="437"/>
    </row>
    <row r="83" spans="1:19" x14ac:dyDescent="0.2">
      <c r="A83" s="416"/>
      <c r="B83" s="574" t="s">
        <v>1330</v>
      </c>
      <c r="C83" s="575">
        <f>SUM(C12:C13,C16,C18:C19)</f>
        <v>891000</v>
      </c>
      <c r="D83" s="576">
        <f>SUM(D12:D13,D16,D18:D19)</f>
        <v>770</v>
      </c>
      <c r="E83" s="576">
        <f>SUM(E12:E13,E16,E18:E19)</f>
        <v>790</v>
      </c>
      <c r="F83" s="412"/>
      <c r="G83" s="412"/>
      <c r="H83" s="412"/>
      <c r="I83" s="571"/>
      <c r="J83" s="577"/>
      <c r="K83" s="433"/>
      <c r="L83" s="374"/>
      <c r="M83" s="433"/>
      <c r="N83" s="374"/>
      <c r="O83" s="433"/>
      <c r="P83" s="511"/>
      <c r="Q83" s="429"/>
      <c r="R83" s="432"/>
      <c r="S83" s="437"/>
    </row>
    <row r="84" spans="1:19" x14ac:dyDescent="0.2">
      <c r="A84" s="416"/>
      <c r="B84" s="574" t="s">
        <v>1331</v>
      </c>
      <c r="C84" s="575">
        <f>SUM(C23:C26,C62:C71,C78)</f>
        <v>1943600</v>
      </c>
      <c r="D84" s="576">
        <f>SUM(D23:D26,D62:D71,D78)</f>
        <v>1759.8</v>
      </c>
      <c r="E84" s="576">
        <f>SUM(E23:E26,E62:E71,E78)</f>
        <v>1823.8</v>
      </c>
      <c r="F84" s="412"/>
      <c r="G84" s="412"/>
      <c r="H84" s="412"/>
      <c r="I84" s="571"/>
      <c r="J84" s="577"/>
      <c r="K84" s="433"/>
      <c r="L84" s="374"/>
      <c r="M84" s="433"/>
      <c r="N84" s="374"/>
      <c r="O84" s="433"/>
      <c r="P84" s="511"/>
      <c r="Q84" s="429"/>
      <c r="R84" s="432"/>
      <c r="S84" s="437"/>
    </row>
    <row r="85" spans="1:19" x14ac:dyDescent="0.2">
      <c r="A85" s="416"/>
      <c r="B85" s="574" t="s">
        <v>1332</v>
      </c>
      <c r="C85" s="575"/>
      <c r="D85" s="576"/>
      <c r="E85" s="576"/>
      <c r="F85" s="412"/>
      <c r="G85" s="412"/>
      <c r="H85" s="412"/>
      <c r="I85" s="571"/>
      <c r="J85" s="439"/>
      <c r="K85" s="433"/>
      <c r="L85" s="374"/>
      <c r="M85" s="433"/>
      <c r="N85" s="374"/>
      <c r="O85" s="433"/>
      <c r="P85" s="511"/>
      <c r="Q85" s="429"/>
      <c r="R85" s="432"/>
      <c r="S85" s="437"/>
    </row>
    <row r="86" spans="1:19" ht="13.5" thickBot="1" x14ac:dyDescent="0.25">
      <c r="A86" s="416"/>
      <c r="B86" s="438"/>
      <c r="C86" s="579">
        <f>SUM(C82:C85)</f>
        <v>8117539</v>
      </c>
      <c r="D86" s="580">
        <f>SUM(D82:D85)</f>
        <v>6998.2</v>
      </c>
      <c r="E86" s="580">
        <f>SUM(E82:E85)</f>
        <v>7465.2</v>
      </c>
      <c r="F86" s="412"/>
      <c r="G86" s="412"/>
      <c r="H86" s="412"/>
      <c r="I86" s="571"/>
      <c r="J86" s="440"/>
      <c r="K86" s="433"/>
      <c r="L86" s="374"/>
      <c r="M86" s="433"/>
      <c r="N86" s="374"/>
      <c r="O86" s="433"/>
      <c r="P86" s="511"/>
      <c r="Q86" s="429"/>
      <c r="R86" s="432"/>
      <c r="S86" s="437"/>
    </row>
    <row r="87" spans="1:19" ht="13.5" thickTop="1" x14ac:dyDescent="0.2">
      <c r="A87" s="416"/>
      <c r="B87" s="416"/>
      <c r="C87" s="578">
        <f>C86-SUM(C27,C38,C49,C72,C78)</f>
        <v>0</v>
      </c>
      <c r="D87" s="578">
        <f>D86-SUM(D27,D38,D49,D72,D78)</f>
        <v>0</v>
      </c>
      <c r="E87" s="578">
        <f>E86-SUM(E27,E38,E49,E72,E78)</f>
        <v>0</v>
      </c>
      <c r="F87" s="412"/>
      <c r="G87" s="412"/>
      <c r="H87" s="412"/>
      <c r="J87" s="412"/>
      <c r="K87" s="412"/>
      <c r="L87" s="412"/>
      <c r="M87" s="412"/>
      <c r="N87" s="412"/>
      <c r="O87" s="412"/>
      <c r="P87" s="412"/>
      <c r="Q87" s="412"/>
      <c r="R87" s="412"/>
      <c r="S87" s="412"/>
    </row>
    <row r="88" spans="1:19" x14ac:dyDescent="0.2">
      <c r="H88" s="412"/>
      <c r="J88" s="412"/>
      <c r="K88" s="412"/>
      <c r="L88" s="412"/>
      <c r="M88" s="412"/>
      <c r="N88" s="412"/>
      <c r="O88" s="412"/>
      <c r="P88" s="412"/>
      <c r="Q88" s="412"/>
      <c r="R88" s="412"/>
      <c r="S88" s="412"/>
    </row>
    <row r="89" spans="1:19" x14ac:dyDescent="0.2">
      <c r="A89" s="581" t="s">
        <v>1333</v>
      </c>
      <c r="B89" s="412"/>
      <c r="C89" s="412"/>
      <c r="D89" s="412"/>
      <c r="E89" s="581" t="s">
        <v>1334</v>
      </c>
      <c r="F89" s="412"/>
      <c r="G89" s="412"/>
      <c r="H89" s="412"/>
      <c r="K89"/>
      <c r="L89" s="309"/>
      <c r="M89" s="309"/>
      <c r="R89" s="559"/>
      <c r="S89" s="559"/>
    </row>
    <row r="90" spans="1:19" x14ac:dyDescent="0.2">
      <c r="A90" s="76" t="s">
        <v>1335</v>
      </c>
      <c r="B90" s="412"/>
      <c r="C90" s="412"/>
      <c r="D90" s="412"/>
      <c r="E90" s="582" t="s">
        <v>1336</v>
      </c>
      <c r="F90" s="412"/>
      <c r="G90" s="412"/>
      <c r="H90" s="412"/>
      <c r="K90"/>
      <c r="L90" s="309"/>
      <c r="M90" s="309"/>
      <c r="R90" s="559"/>
      <c r="S90" s="559"/>
    </row>
    <row r="91" spans="1:19" x14ac:dyDescent="0.2">
      <c r="A91" s="464" t="s">
        <v>1337</v>
      </c>
      <c r="B91" s="412"/>
      <c r="C91" s="412"/>
      <c r="D91" s="412"/>
      <c r="E91" s="583" t="s">
        <v>1338</v>
      </c>
      <c r="F91" s="412"/>
      <c r="G91" s="412"/>
      <c r="H91" s="412"/>
      <c r="K91"/>
      <c r="L91" s="309"/>
      <c r="M91" s="309"/>
      <c r="N91" s="428"/>
      <c r="O91" s="584"/>
      <c r="P91" s="584"/>
      <c r="Q91" s="428"/>
      <c r="R91" s="559"/>
      <c r="S91" s="559"/>
    </row>
    <row r="92" spans="1:19" x14ac:dyDescent="0.2">
      <c r="A92" s="440" t="s">
        <v>1339</v>
      </c>
      <c r="B92" s="412"/>
      <c r="C92" s="412"/>
      <c r="D92" s="412"/>
      <c r="E92" s="440" t="s">
        <v>1340</v>
      </c>
      <c r="F92" s="412"/>
      <c r="G92" s="412"/>
      <c r="H92" s="412"/>
      <c r="J92" s="428"/>
      <c r="K92"/>
      <c r="L92" s="309"/>
      <c r="M92" s="309"/>
      <c r="N92" s="439"/>
      <c r="O92" s="585"/>
      <c r="P92" s="585"/>
      <c r="Q92" s="439"/>
      <c r="R92" s="559"/>
      <c r="S92" s="559"/>
    </row>
    <row r="93" spans="1:19" x14ac:dyDescent="0.2">
      <c r="A93" s="440" t="s">
        <v>1341</v>
      </c>
      <c r="B93" s="412"/>
      <c r="C93" s="412"/>
      <c r="D93" s="412"/>
      <c r="E93" s="440" t="s">
        <v>1342</v>
      </c>
      <c r="F93" s="412"/>
      <c r="G93" s="412"/>
      <c r="H93" s="412"/>
      <c r="J93" s="439"/>
      <c r="K93"/>
      <c r="L93" s="309"/>
      <c r="M93" s="309"/>
      <c r="N93" s="439"/>
      <c r="O93" s="585"/>
      <c r="P93" s="585"/>
      <c r="Q93" s="439"/>
      <c r="R93" s="559"/>
      <c r="S93" s="559"/>
    </row>
    <row r="94" spans="1:19" x14ac:dyDescent="0.2">
      <c r="A94" s="412" t="s">
        <v>1343</v>
      </c>
      <c r="B94" s="412"/>
      <c r="C94" s="412"/>
      <c r="D94" s="412"/>
      <c r="E94" s="412" t="s">
        <v>1344</v>
      </c>
      <c r="F94" s="412"/>
      <c r="G94" s="412"/>
      <c r="H94" s="412"/>
      <c r="I94" s="428"/>
      <c r="J94" s="439"/>
      <c r="K94"/>
      <c r="L94" s="309"/>
      <c r="M94" s="309"/>
      <c r="N94" s="439"/>
      <c r="O94" s="585"/>
      <c r="P94" s="585"/>
      <c r="Q94" s="439"/>
      <c r="R94" s="559"/>
      <c r="S94" s="559"/>
    </row>
    <row r="95" spans="1:19" x14ac:dyDescent="0.2">
      <c r="A95" s="440" t="s">
        <v>1345</v>
      </c>
      <c r="B95" s="412"/>
      <c r="C95" s="412"/>
      <c r="D95" s="412"/>
      <c r="E95" s="412"/>
      <c r="F95" s="412"/>
      <c r="G95" s="412"/>
      <c r="J95" s="439"/>
      <c r="K95"/>
      <c r="L95" s="309"/>
      <c r="M95" s="309"/>
      <c r="N95" s="440"/>
      <c r="O95" s="586"/>
      <c r="P95" s="586"/>
      <c r="Q95" s="440"/>
    </row>
    <row r="96" spans="1:19" x14ac:dyDescent="0.2">
      <c r="A96" s="440" t="s">
        <v>1346</v>
      </c>
      <c r="J96" s="440"/>
      <c r="K96" s="440"/>
      <c r="L96" s="440"/>
    </row>
  </sheetData>
  <printOptions horizontalCentered="1"/>
  <pageMargins left="0.5" right="0.5" top="0.5" bottom="0.5" header="0" footer="0"/>
  <pageSetup scale="59" orientation="portrait" blackAndWhite="1" r:id="rId1"/>
  <headerFooter alignWithMargins="0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</sheetPr>
  <dimension ref="A1:W465"/>
  <sheetViews>
    <sheetView workbookViewId="0">
      <pane ySplit="1" topLeftCell="A142" activePane="bottomLeft" state="frozen"/>
      <selection pane="bottomLeft" activeCell="C9" sqref="C9"/>
    </sheetView>
  </sheetViews>
  <sheetFormatPr defaultRowHeight="12.75" x14ac:dyDescent="0.2"/>
  <cols>
    <col min="1" max="1" width="13.85546875" bestFit="1" customWidth="1"/>
    <col min="2" max="2" width="32.5703125" customWidth="1"/>
    <col min="3" max="3" width="35.5703125" bestFit="1" customWidth="1"/>
    <col min="4" max="4" width="8.28515625" bestFit="1" customWidth="1"/>
    <col min="5" max="5" width="10.5703125" bestFit="1" customWidth="1"/>
    <col min="6" max="6" width="21.140625" bestFit="1" customWidth="1"/>
    <col min="7" max="7" width="13.5703125" bestFit="1" customWidth="1"/>
    <col min="8" max="8" width="15.5703125" bestFit="1" customWidth="1"/>
    <col min="9" max="9" width="12" bestFit="1" customWidth="1"/>
    <col min="10" max="10" width="17.28515625" bestFit="1" customWidth="1"/>
    <col min="11" max="11" width="15" bestFit="1" customWidth="1"/>
    <col min="12" max="12" width="21.85546875" bestFit="1" customWidth="1"/>
    <col min="13" max="13" width="18.140625" bestFit="1" customWidth="1"/>
    <col min="14" max="14" width="24.85546875" bestFit="1" customWidth="1"/>
    <col min="15" max="15" width="24" bestFit="1" customWidth="1"/>
    <col min="16" max="16" width="25.7109375" bestFit="1" customWidth="1"/>
    <col min="17" max="17" width="24.7109375" bestFit="1" customWidth="1"/>
    <col min="18" max="18" width="21" bestFit="1" customWidth="1"/>
    <col min="19" max="19" width="8.5703125" customWidth="1"/>
    <col min="20" max="20" width="11.28515625" bestFit="1" customWidth="1"/>
  </cols>
  <sheetData>
    <row r="1" spans="1:20" ht="15" x14ac:dyDescent="0.25">
      <c r="A1" s="448" t="s">
        <v>342</v>
      </c>
      <c r="B1" s="448" t="s">
        <v>1096</v>
      </c>
      <c r="C1" s="448" t="s">
        <v>1044</v>
      </c>
      <c r="D1" s="448" t="s">
        <v>1045</v>
      </c>
      <c r="E1" s="449" t="s">
        <v>1011</v>
      </c>
      <c r="F1" s="449" t="s">
        <v>1050</v>
      </c>
      <c r="G1" s="449" t="s">
        <v>1046</v>
      </c>
      <c r="H1" s="449" t="s">
        <v>1047</v>
      </c>
      <c r="I1" s="449" t="s">
        <v>1097</v>
      </c>
      <c r="J1" s="449" t="s">
        <v>1098</v>
      </c>
      <c r="K1" s="449" t="s">
        <v>1048</v>
      </c>
      <c r="L1" s="449" t="s">
        <v>1049</v>
      </c>
      <c r="M1" s="449" t="s">
        <v>1095</v>
      </c>
      <c r="N1" s="449" t="s">
        <v>1099</v>
      </c>
      <c r="O1" s="449" t="s">
        <v>1100</v>
      </c>
      <c r="P1" s="449" t="s">
        <v>1101</v>
      </c>
      <c r="Q1" s="449" t="s">
        <v>1102</v>
      </c>
      <c r="R1" s="449" t="s">
        <v>1051</v>
      </c>
      <c r="S1" s="503" t="s">
        <v>1157</v>
      </c>
      <c r="T1" s="394"/>
    </row>
    <row r="2" spans="1:20" ht="15" x14ac:dyDescent="0.25">
      <c r="A2" s="513" t="s">
        <v>402</v>
      </c>
      <c r="B2" s="513" t="s">
        <v>1163</v>
      </c>
      <c r="C2" s="513" t="s">
        <v>596</v>
      </c>
      <c r="D2" s="513" t="s">
        <v>359</v>
      </c>
      <c r="E2" s="514">
        <v>46</v>
      </c>
      <c r="F2" s="514">
        <v>-0.02</v>
      </c>
      <c r="G2" s="514">
        <v>2049</v>
      </c>
      <c r="H2" s="515">
        <v>62305702.170000002</v>
      </c>
      <c r="I2" s="514">
        <v>17.85870817</v>
      </c>
      <c r="J2" s="515">
        <v>1112699352.4400001</v>
      </c>
      <c r="K2" s="514">
        <v>41.66</v>
      </c>
      <c r="L2" s="515">
        <v>2595655552.4000001</v>
      </c>
      <c r="M2" s="514">
        <v>25.807818999999999</v>
      </c>
      <c r="N2" s="515">
        <v>1607974284.27</v>
      </c>
      <c r="O2" s="514">
        <v>0.40065136000000001</v>
      </c>
      <c r="P2" s="515">
        <v>24962864.039999999</v>
      </c>
      <c r="Q2" s="515">
        <v>-1246114.04</v>
      </c>
      <c r="R2" s="515">
        <v>14178218.43</v>
      </c>
      <c r="S2" s="504" t="str">
        <f t="shared" ref="S2:S65" si="0">MID(C2,5,2)</f>
        <v>30</v>
      </c>
      <c r="T2" s="394"/>
    </row>
    <row r="3" spans="1:20" ht="15" x14ac:dyDescent="0.25">
      <c r="A3" s="513" t="s">
        <v>402</v>
      </c>
      <c r="B3" s="513" t="s">
        <v>1163</v>
      </c>
      <c r="C3" s="513" t="s">
        <v>597</v>
      </c>
      <c r="D3" s="513" t="s">
        <v>405</v>
      </c>
      <c r="E3" s="514">
        <v>30</v>
      </c>
      <c r="F3" s="514">
        <v>-0.02</v>
      </c>
      <c r="G3" s="514">
        <v>2049</v>
      </c>
      <c r="H3" s="515">
        <v>12819310.18</v>
      </c>
      <c r="I3" s="514">
        <v>14.35476673</v>
      </c>
      <c r="J3" s="515">
        <v>184018207.21000001</v>
      </c>
      <c r="K3" s="514">
        <v>29.69</v>
      </c>
      <c r="L3" s="515">
        <v>380605319.24000001</v>
      </c>
      <c r="M3" s="514">
        <v>17.315231000000001</v>
      </c>
      <c r="N3" s="515">
        <v>221969317.03</v>
      </c>
      <c r="O3" s="514">
        <v>0.44338470000000002</v>
      </c>
      <c r="P3" s="515">
        <v>5683886</v>
      </c>
      <c r="Q3" s="515">
        <v>-256386.2</v>
      </c>
      <c r="R3" s="515">
        <v>3228290.52</v>
      </c>
      <c r="S3" s="504" t="str">
        <f t="shared" si="0"/>
        <v>30</v>
      </c>
      <c r="T3" s="394"/>
    </row>
    <row r="4" spans="1:20" ht="15" x14ac:dyDescent="0.25">
      <c r="A4" s="513" t="s">
        <v>402</v>
      </c>
      <c r="B4" s="513" t="s">
        <v>1163</v>
      </c>
      <c r="C4" s="513" t="s">
        <v>598</v>
      </c>
      <c r="D4" s="513" t="s">
        <v>407</v>
      </c>
      <c r="E4" s="514">
        <v>20</v>
      </c>
      <c r="F4" s="514">
        <v>-0.02</v>
      </c>
      <c r="G4" s="514">
        <v>2049</v>
      </c>
      <c r="H4" s="515">
        <v>6422551.4400000004</v>
      </c>
      <c r="I4" s="514">
        <v>12.164279349999999</v>
      </c>
      <c r="J4" s="515">
        <v>78125709.849999994</v>
      </c>
      <c r="K4" s="514">
        <v>20</v>
      </c>
      <c r="L4" s="515">
        <v>128451028.8</v>
      </c>
      <c r="M4" s="514">
        <v>9.2590229999999991</v>
      </c>
      <c r="N4" s="515">
        <v>59466551.5</v>
      </c>
      <c r="O4" s="514">
        <v>0.54893175000000005</v>
      </c>
      <c r="P4" s="515">
        <v>3525542.37</v>
      </c>
      <c r="Q4" s="515">
        <v>-128451.03</v>
      </c>
      <c r="R4" s="515">
        <v>2002410.85</v>
      </c>
      <c r="S4" s="504" t="str">
        <f t="shared" si="0"/>
        <v>30</v>
      </c>
      <c r="T4" s="394"/>
    </row>
    <row r="5" spans="1:20" ht="15" x14ac:dyDescent="0.25">
      <c r="A5" s="513" t="s">
        <v>402</v>
      </c>
      <c r="B5" s="513" t="s">
        <v>1163</v>
      </c>
      <c r="C5" s="513" t="s">
        <v>599</v>
      </c>
      <c r="D5" s="513" t="s">
        <v>123</v>
      </c>
      <c r="E5" s="514"/>
      <c r="F5" s="514">
        <v>-0.02</v>
      </c>
      <c r="G5" s="514">
        <v>2049</v>
      </c>
      <c r="H5" s="515">
        <v>81547563.790000007</v>
      </c>
      <c r="I5" s="514">
        <v>16.85940334</v>
      </c>
      <c r="J5" s="515">
        <v>1374843269.5</v>
      </c>
      <c r="K5" s="514">
        <v>38.072405310000001</v>
      </c>
      <c r="L5" s="515">
        <v>3104711900.4499998</v>
      </c>
      <c r="M5" s="514">
        <v>23.16942487</v>
      </c>
      <c r="N5" s="515">
        <v>1889410152.8</v>
      </c>
      <c r="O5" s="514">
        <v>0.41904736999999997</v>
      </c>
      <c r="P5" s="515">
        <v>34172292.409999996</v>
      </c>
      <c r="Q5" s="515">
        <v>-1630951.28</v>
      </c>
      <c r="R5" s="515">
        <v>19408919.800000001</v>
      </c>
      <c r="S5" s="504" t="str">
        <f t="shared" si="0"/>
        <v>30</v>
      </c>
      <c r="T5" s="394"/>
    </row>
    <row r="6" spans="1:20" ht="15" x14ac:dyDescent="0.25">
      <c r="A6" s="513" t="s">
        <v>402</v>
      </c>
      <c r="B6" s="513" t="s">
        <v>1163</v>
      </c>
      <c r="C6" s="513" t="s">
        <v>731</v>
      </c>
      <c r="D6" s="513" t="s">
        <v>359</v>
      </c>
      <c r="E6" s="514">
        <v>46</v>
      </c>
      <c r="F6" s="514">
        <v>-0.05</v>
      </c>
      <c r="G6" s="514">
        <v>2049</v>
      </c>
      <c r="H6" s="515">
        <v>18400540.300000001</v>
      </c>
      <c r="I6" s="514">
        <v>15.760952769999999</v>
      </c>
      <c r="J6" s="515">
        <v>290010046.62</v>
      </c>
      <c r="K6" s="514">
        <v>42.47</v>
      </c>
      <c r="L6" s="515">
        <v>781470946.53999996</v>
      </c>
      <c r="M6" s="514">
        <v>27.512988</v>
      </c>
      <c r="N6" s="515">
        <v>506253844.47000003</v>
      </c>
      <c r="O6" s="514">
        <v>0.36984739999999999</v>
      </c>
      <c r="P6" s="515">
        <v>6805391.9500000002</v>
      </c>
      <c r="Q6" s="515">
        <v>-920027.02</v>
      </c>
      <c r="R6" s="515">
        <v>5293788.95</v>
      </c>
      <c r="S6" s="504" t="str">
        <f t="shared" si="0"/>
        <v>30</v>
      </c>
    </row>
    <row r="7" spans="1:20" ht="15" x14ac:dyDescent="0.25">
      <c r="A7" s="513" t="s">
        <v>402</v>
      </c>
      <c r="B7" s="513" t="s">
        <v>1163</v>
      </c>
      <c r="C7" s="513" t="s">
        <v>732</v>
      </c>
      <c r="D7" s="513" t="s">
        <v>405</v>
      </c>
      <c r="E7" s="514">
        <v>30</v>
      </c>
      <c r="F7" s="514">
        <v>-0.05</v>
      </c>
      <c r="G7" s="514">
        <v>2049</v>
      </c>
      <c r="H7" s="515">
        <v>2823547.05</v>
      </c>
      <c r="I7" s="514">
        <v>12.9217662</v>
      </c>
      <c r="J7" s="515">
        <v>36485214.82</v>
      </c>
      <c r="K7" s="514">
        <v>29.81</v>
      </c>
      <c r="L7" s="515">
        <v>84169937.560000002</v>
      </c>
      <c r="M7" s="514">
        <v>16.925543999999999</v>
      </c>
      <c r="N7" s="515">
        <v>47790069.829999998</v>
      </c>
      <c r="O7" s="514">
        <v>0.45378174999999998</v>
      </c>
      <c r="P7" s="515">
        <v>1281274.1100000001</v>
      </c>
      <c r="Q7" s="515">
        <v>-141177.35</v>
      </c>
      <c r="R7" s="515">
        <v>996679.51</v>
      </c>
      <c r="S7" s="504" t="str">
        <f t="shared" si="0"/>
        <v>30</v>
      </c>
    </row>
    <row r="8" spans="1:20" ht="15" x14ac:dyDescent="0.25">
      <c r="A8" s="513" t="s">
        <v>402</v>
      </c>
      <c r="B8" s="513" t="s">
        <v>1163</v>
      </c>
      <c r="C8" s="513" t="s">
        <v>733</v>
      </c>
      <c r="D8" s="513" t="s">
        <v>407</v>
      </c>
      <c r="E8" s="514">
        <v>20</v>
      </c>
      <c r="F8" s="514">
        <v>-0.05</v>
      </c>
      <c r="G8" s="514">
        <v>2049</v>
      </c>
      <c r="H8" s="515">
        <v>1242281</v>
      </c>
      <c r="I8" s="514">
        <v>7.4270583200000004</v>
      </c>
      <c r="J8" s="515">
        <v>9226493.4399999995</v>
      </c>
      <c r="K8" s="514">
        <v>20</v>
      </c>
      <c r="L8" s="515">
        <v>24845620</v>
      </c>
      <c r="M8" s="514">
        <v>13.118217</v>
      </c>
      <c r="N8" s="515">
        <v>16296511.73</v>
      </c>
      <c r="O8" s="514">
        <v>0.36129359999999999</v>
      </c>
      <c r="P8" s="515">
        <v>448828.18</v>
      </c>
      <c r="Q8" s="515">
        <v>-62114.05</v>
      </c>
      <c r="R8" s="515">
        <v>349135.17</v>
      </c>
      <c r="S8" s="504" t="str">
        <f t="shared" si="0"/>
        <v>30</v>
      </c>
    </row>
    <row r="9" spans="1:20" ht="15" x14ac:dyDescent="0.25">
      <c r="A9" s="513" t="s">
        <v>402</v>
      </c>
      <c r="B9" s="513" t="s">
        <v>1163</v>
      </c>
      <c r="C9" s="513" t="s">
        <v>734</v>
      </c>
      <c r="D9" s="513" t="s">
        <v>123</v>
      </c>
      <c r="E9" s="514"/>
      <c r="F9" s="514">
        <v>-0.05</v>
      </c>
      <c r="G9" s="514">
        <v>2049</v>
      </c>
      <c r="H9" s="515">
        <v>22466368.350000001</v>
      </c>
      <c r="I9" s="514">
        <v>14.943303240000001</v>
      </c>
      <c r="J9" s="515">
        <v>335721754.88999999</v>
      </c>
      <c r="K9" s="514">
        <v>39.63642411</v>
      </c>
      <c r="L9" s="515">
        <v>890486504.10000002</v>
      </c>
      <c r="M9" s="514">
        <v>25.386409459999999</v>
      </c>
      <c r="N9" s="515">
        <v>570340426.02999997</v>
      </c>
      <c r="O9" s="514">
        <v>0.37992319000000002</v>
      </c>
      <c r="P9" s="515">
        <v>8535494.2400000002</v>
      </c>
      <c r="Q9" s="515">
        <v>-1123318.42</v>
      </c>
      <c r="R9" s="515">
        <v>6639603.6299999999</v>
      </c>
      <c r="S9" s="504" t="str">
        <f t="shared" si="0"/>
        <v>30</v>
      </c>
    </row>
    <row r="10" spans="1:20" ht="15" x14ac:dyDescent="0.25">
      <c r="A10" s="513" t="s">
        <v>402</v>
      </c>
      <c r="B10" s="513" t="s">
        <v>1163</v>
      </c>
      <c r="C10" s="513" t="s">
        <v>933</v>
      </c>
      <c r="D10" s="513" t="s">
        <v>359</v>
      </c>
      <c r="E10" s="514">
        <v>12</v>
      </c>
      <c r="F10" s="514">
        <v>-7.0000000000000007E-2</v>
      </c>
      <c r="G10" s="514">
        <v>2049</v>
      </c>
      <c r="H10" s="515">
        <v>16444234.119999999</v>
      </c>
      <c r="I10" s="514">
        <v>11.5</v>
      </c>
      <c r="J10" s="515">
        <v>189108692.38</v>
      </c>
      <c r="K10" s="514">
        <v>12</v>
      </c>
      <c r="L10" s="515">
        <v>197330809.44</v>
      </c>
      <c r="M10" s="514">
        <v>0.5</v>
      </c>
      <c r="N10" s="515">
        <v>8222117.0599999996</v>
      </c>
      <c r="O10" s="514">
        <v>1.02541667</v>
      </c>
      <c r="P10" s="515">
        <v>16862191.739999998</v>
      </c>
      <c r="Q10" s="515">
        <v>-1151096.3899999999</v>
      </c>
      <c r="R10" s="515">
        <v>8540772.0199999996</v>
      </c>
      <c r="S10" s="504" t="str">
        <f t="shared" si="0"/>
        <v>30</v>
      </c>
    </row>
    <row r="11" spans="1:20" ht="15" x14ac:dyDescent="0.25">
      <c r="A11" s="513" t="s">
        <v>402</v>
      </c>
      <c r="B11" s="513" t="s">
        <v>1163</v>
      </c>
      <c r="C11" s="513" t="s">
        <v>735</v>
      </c>
      <c r="D11" s="513" t="s">
        <v>359</v>
      </c>
      <c r="E11" s="514">
        <v>46</v>
      </c>
      <c r="F11" s="514">
        <v>-7.0000000000000007E-2</v>
      </c>
      <c r="G11" s="514">
        <v>2049</v>
      </c>
      <c r="H11" s="515">
        <v>12816454.74</v>
      </c>
      <c r="I11" s="514">
        <v>12.41517655</v>
      </c>
      <c r="J11" s="515">
        <v>159118548.28999999</v>
      </c>
      <c r="K11" s="514">
        <v>40.19</v>
      </c>
      <c r="L11" s="515">
        <v>515093316</v>
      </c>
      <c r="M11" s="514">
        <v>28.183714999999999</v>
      </c>
      <c r="N11" s="515">
        <v>361215307.69999999</v>
      </c>
      <c r="O11" s="514">
        <v>0.31960376000000001</v>
      </c>
      <c r="P11" s="515">
        <v>4096187.13</v>
      </c>
      <c r="Q11" s="515">
        <v>-897151.83</v>
      </c>
      <c r="R11" s="515">
        <v>2074736.25</v>
      </c>
      <c r="S11" s="504" t="str">
        <f t="shared" si="0"/>
        <v>30</v>
      </c>
    </row>
    <row r="12" spans="1:20" ht="15" x14ac:dyDescent="0.25">
      <c r="A12" s="513" t="s">
        <v>402</v>
      </c>
      <c r="B12" s="513" t="s">
        <v>1163</v>
      </c>
      <c r="C12" s="513" t="s">
        <v>736</v>
      </c>
      <c r="D12" s="513" t="s">
        <v>405</v>
      </c>
      <c r="E12" s="514">
        <v>30</v>
      </c>
      <c r="F12" s="514">
        <v>-7.0000000000000007E-2</v>
      </c>
      <c r="G12" s="514">
        <v>2049</v>
      </c>
      <c r="H12" s="515">
        <v>4967880.37</v>
      </c>
      <c r="I12" s="514">
        <v>13.40134561</v>
      </c>
      <c r="J12" s="515">
        <v>66576281.810000002</v>
      </c>
      <c r="K12" s="514">
        <v>29.92</v>
      </c>
      <c r="L12" s="515">
        <v>148638980.66999999</v>
      </c>
      <c r="M12" s="514">
        <v>16.550469</v>
      </c>
      <c r="N12" s="515">
        <v>82220750.060000002</v>
      </c>
      <c r="O12" s="514">
        <v>0.47808914000000002</v>
      </c>
      <c r="P12" s="515">
        <v>2375089.63</v>
      </c>
      <c r="Q12" s="515">
        <v>-347751.63</v>
      </c>
      <c r="R12" s="515">
        <v>1202993.03</v>
      </c>
      <c r="S12" s="504" t="str">
        <f t="shared" si="0"/>
        <v>30</v>
      </c>
    </row>
    <row r="13" spans="1:20" ht="15" x14ac:dyDescent="0.25">
      <c r="A13" s="513" t="s">
        <v>402</v>
      </c>
      <c r="B13" s="513" t="s">
        <v>1163</v>
      </c>
      <c r="C13" s="513" t="s">
        <v>737</v>
      </c>
      <c r="D13" s="513" t="s">
        <v>407</v>
      </c>
      <c r="E13" s="514">
        <v>20</v>
      </c>
      <c r="F13" s="514">
        <v>-7.0000000000000007E-2</v>
      </c>
      <c r="G13" s="514">
        <v>2049</v>
      </c>
      <c r="H13" s="515">
        <v>1069047.52</v>
      </c>
      <c r="I13" s="514">
        <v>11.04715204</v>
      </c>
      <c r="J13" s="515">
        <v>11809930.49</v>
      </c>
      <c r="K13" s="514">
        <v>20</v>
      </c>
      <c r="L13" s="515">
        <v>21380950.399999999</v>
      </c>
      <c r="M13" s="514">
        <v>10.054517000000001</v>
      </c>
      <c r="N13" s="515">
        <v>10748756.460000001</v>
      </c>
      <c r="O13" s="514">
        <v>0.53208334000000002</v>
      </c>
      <c r="P13" s="515">
        <v>568822.38</v>
      </c>
      <c r="Q13" s="515">
        <v>-74833.33</v>
      </c>
      <c r="R13" s="515">
        <v>288110.96000000002</v>
      </c>
      <c r="S13" s="504" t="str">
        <f t="shared" si="0"/>
        <v>30</v>
      </c>
    </row>
    <row r="14" spans="1:20" ht="15" x14ac:dyDescent="0.25">
      <c r="A14" s="513" t="s">
        <v>402</v>
      </c>
      <c r="B14" s="513" t="s">
        <v>1163</v>
      </c>
      <c r="C14" s="513" t="s">
        <v>738</v>
      </c>
      <c r="D14" s="513" t="s">
        <v>123</v>
      </c>
      <c r="E14" s="514"/>
      <c r="F14" s="514">
        <v>-7.0000000000000007E-2</v>
      </c>
      <c r="G14" s="514">
        <v>2049</v>
      </c>
      <c r="H14" s="515">
        <v>35297616.75</v>
      </c>
      <c r="I14" s="514">
        <v>12.08618293</v>
      </c>
      <c r="J14" s="515">
        <v>426613452.97000003</v>
      </c>
      <c r="K14" s="514">
        <v>25.000103060000001</v>
      </c>
      <c r="L14" s="515">
        <v>882444056.50999999</v>
      </c>
      <c r="M14" s="514">
        <v>13.10023095</v>
      </c>
      <c r="N14" s="515">
        <v>462406931.29000002</v>
      </c>
      <c r="O14" s="514">
        <v>0.67716443999999998</v>
      </c>
      <c r="P14" s="515">
        <v>23902290.879999999</v>
      </c>
      <c r="Q14" s="515">
        <v>-2470833.17</v>
      </c>
      <c r="R14" s="515">
        <v>12106612.26</v>
      </c>
      <c r="S14" s="504" t="str">
        <f t="shared" si="0"/>
        <v>30</v>
      </c>
    </row>
    <row r="15" spans="1:20" ht="15" x14ac:dyDescent="0.25">
      <c r="A15" s="513" t="s">
        <v>402</v>
      </c>
      <c r="B15" s="513" t="s">
        <v>1163</v>
      </c>
      <c r="C15" s="513" t="s">
        <v>739</v>
      </c>
      <c r="D15" s="513" t="s">
        <v>359</v>
      </c>
      <c r="E15" s="514">
        <v>46</v>
      </c>
      <c r="F15" s="514">
        <v>-0.05</v>
      </c>
      <c r="G15" s="514">
        <v>2049</v>
      </c>
      <c r="H15" s="515">
        <v>10480994.58</v>
      </c>
      <c r="I15" s="514">
        <v>11.949343689999999</v>
      </c>
      <c r="J15" s="515">
        <v>125241006.44</v>
      </c>
      <c r="K15" s="514">
        <v>40.25</v>
      </c>
      <c r="L15" s="515">
        <v>421860031.85000002</v>
      </c>
      <c r="M15" s="514">
        <v>28.814589999999999</v>
      </c>
      <c r="N15" s="515">
        <v>302005561.61000001</v>
      </c>
      <c r="O15" s="514">
        <v>0.30235651000000002</v>
      </c>
      <c r="P15" s="515">
        <v>3168996.96</v>
      </c>
      <c r="Q15" s="515">
        <v>-524049.73</v>
      </c>
      <c r="R15" s="515">
        <v>3249550.75</v>
      </c>
      <c r="S15" s="504" t="str">
        <f t="shared" si="0"/>
        <v>30</v>
      </c>
    </row>
    <row r="16" spans="1:20" ht="15" x14ac:dyDescent="0.25">
      <c r="A16" s="513" t="s">
        <v>402</v>
      </c>
      <c r="B16" s="513" t="s">
        <v>1163</v>
      </c>
      <c r="C16" s="513" t="s">
        <v>740</v>
      </c>
      <c r="D16" s="513" t="s">
        <v>405</v>
      </c>
      <c r="E16" s="514">
        <v>30</v>
      </c>
      <c r="F16" s="514">
        <v>-0.05</v>
      </c>
      <c r="G16" s="514">
        <v>2049</v>
      </c>
      <c r="H16" s="515">
        <v>8226303.2999999998</v>
      </c>
      <c r="I16" s="514">
        <v>9.7546482799999996</v>
      </c>
      <c r="J16" s="515">
        <v>80244695.310000002</v>
      </c>
      <c r="K16" s="514">
        <v>29.54</v>
      </c>
      <c r="L16" s="515">
        <v>243004999.47999999</v>
      </c>
      <c r="M16" s="514">
        <v>20.685807</v>
      </c>
      <c r="N16" s="515">
        <v>170167722.38999999</v>
      </c>
      <c r="O16" s="514">
        <v>0.31691831999999998</v>
      </c>
      <c r="P16" s="515">
        <v>2607066.23</v>
      </c>
      <c r="Q16" s="515">
        <v>-411315.17</v>
      </c>
      <c r="R16" s="515">
        <v>2673336.11</v>
      </c>
      <c r="S16" s="504" t="str">
        <f t="shared" si="0"/>
        <v>30</v>
      </c>
    </row>
    <row r="17" spans="1:20" ht="15" x14ac:dyDescent="0.25">
      <c r="A17" s="513" t="s">
        <v>402</v>
      </c>
      <c r="B17" s="513" t="s">
        <v>1163</v>
      </c>
      <c r="C17" s="513" t="s">
        <v>741</v>
      </c>
      <c r="D17" s="513" t="s">
        <v>407</v>
      </c>
      <c r="E17" s="514">
        <v>20</v>
      </c>
      <c r="F17" s="514">
        <v>-0.05</v>
      </c>
      <c r="G17" s="514">
        <v>2049</v>
      </c>
      <c r="H17" s="515">
        <v>10172982.119999999</v>
      </c>
      <c r="I17" s="514">
        <v>11.354720309999999</v>
      </c>
      <c r="J17" s="515">
        <v>115511366.69</v>
      </c>
      <c r="K17" s="514">
        <v>20</v>
      </c>
      <c r="L17" s="515">
        <v>203459642.40000001</v>
      </c>
      <c r="M17" s="514">
        <v>9.9638779999999993</v>
      </c>
      <c r="N17" s="515">
        <v>101362352.73999999</v>
      </c>
      <c r="O17" s="514">
        <v>0.53011726999999997</v>
      </c>
      <c r="P17" s="515">
        <v>5392873.4699999997</v>
      </c>
      <c r="Q17" s="515">
        <v>-508649.11</v>
      </c>
      <c r="R17" s="515">
        <v>5529956.71</v>
      </c>
      <c r="S17" s="504" t="str">
        <f t="shared" si="0"/>
        <v>30</v>
      </c>
    </row>
    <row r="18" spans="1:20" ht="15" x14ac:dyDescent="0.25">
      <c r="A18" s="513" t="s">
        <v>402</v>
      </c>
      <c r="B18" s="513" t="s">
        <v>1163</v>
      </c>
      <c r="C18" s="513" t="s">
        <v>742</v>
      </c>
      <c r="D18" s="513" t="s">
        <v>123</v>
      </c>
      <c r="E18" s="514"/>
      <c r="F18" s="514">
        <v>-0.05</v>
      </c>
      <c r="G18" s="514">
        <v>2049</v>
      </c>
      <c r="H18" s="515">
        <v>28880280</v>
      </c>
      <c r="I18" s="514">
        <v>11.11474918</v>
      </c>
      <c r="J18" s="515">
        <v>320997068.44</v>
      </c>
      <c r="K18" s="514">
        <v>30.066352330000001</v>
      </c>
      <c r="L18" s="515">
        <v>868324673.73000002</v>
      </c>
      <c r="M18" s="514">
        <v>19.859074660000001</v>
      </c>
      <c r="N18" s="515">
        <v>573535636.74000001</v>
      </c>
      <c r="O18" s="514">
        <v>0.38673227999999998</v>
      </c>
      <c r="P18" s="515">
        <v>11168936.66</v>
      </c>
      <c r="Q18" s="515">
        <v>-1444014</v>
      </c>
      <c r="R18" s="515">
        <v>11452843.57</v>
      </c>
      <c r="S18" s="504" t="str">
        <f t="shared" si="0"/>
        <v>30</v>
      </c>
      <c r="T18" s="394"/>
    </row>
    <row r="19" spans="1:20" ht="15" x14ac:dyDescent="0.25">
      <c r="A19" s="513" t="s">
        <v>402</v>
      </c>
      <c r="B19" s="513" t="s">
        <v>1163</v>
      </c>
      <c r="C19" s="513" t="s">
        <v>743</v>
      </c>
      <c r="D19" s="513" t="s">
        <v>359</v>
      </c>
      <c r="E19" s="514">
        <v>46</v>
      </c>
      <c r="F19" s="514">
        <v>-0.02</v>
      </c>
      <c r="G19" s="514">
        <v>2049</v>
      </c>
      <c r="H19" s="515">
        <v>2418696</v>
      </c>
      <c r="I19" s="514">
        <v>14.24114655</v>
      </c>
      <c r="J19" s="515">
        <v>34445004.189999998</v>
      </c>
      <c r="K19" s="514">
        <v>41.29</v>
      </c>
      <c r="L19" s="515">
        <v>99867957.840000004</v>
      </c>
      <c r="M19" s="514">
        <v>28.372955000000001</v>
      </c>
      <c r="N19" s="515">
        <v>68625552.769999996</v>
      </c>
      <c r="O19" s="514">
        <v>0.32687316999999999</v>
      </c>
      <c r="P19" s="515">
        <v>790606.83</v>
      </c>
      <c r="Q19" s="515">
        <v>-48373.919999999998</v>
      </c>
      <c r="R19" s="515">
        <v>571863.43000000005</v>
      </c>
      <c r="S19" s="504" t="str">
        <f t="shared" si="0"/>
        <v>30</v>
      </c>
      <c r="T19" s="394"/>
    </row>
    <row r="20" spans="1:20" ht="15" x14ac:dyDescent="0.25">
      <c r="A20" s="513" t="s">
        <v>402</v>
      </c>
      <c r="B20" s="513" t="s">
        <v>1163</v>
      </c>
      <c r="C20" s="513" t="s">
        <v>744</v>
      </c>
      <c r="D20" s="513" t="s">
        <v>405</v>
      </c>
      <c r="E20" s="514">
        <v>30</v>
      </c>
      <c r="F20" s="514">
        <v>-0.02</v>
      </c>
      <c r="G20" s="514">
        <v>2049</v>
      </c>
      <c r="H20" s="515">
        <v>4826908.88</v>
      </c>
      <c r="I20" s="514">
        <v>12.351607619999999</v>
      </c>
      <c r="J20" s="515">
        <v>59620084.479999997</v>
      </c>
      <c r="K20" s="514">
        <v>29.94</v>
      </c>
      <c r="L20" s="515">
        <v>144517651.87</v>
      </c>
      <c r="M20" s="514">
        <v>17.589361</v>
      </c>
      <c r="N20" s="515">
        <v>84902242.799999997</v>
      </c>
      <c r="O20" s="514">
        <v>0.42086168000000002</v>
      </c>
      <c r="P20" s="515">
        <v>2031460.98</v>
      </c>
      <c r="Q20" s="515">
        <v>-96538.18</v>
      </c>
      <c r="R20" s="515">
        <v>1469400.72</v>
      </c>
      <c r="S20" s="504" t="str">
        <f t="shared" si="0"/>
        <v>30</v>
      </c>
      <c r="T20" s="394"/>
    </row>
    <row r="21" spans="1:20" ht="15" x14ac:dyDescent="0.25">
      <c r="A21" s="513" t="s">
        <v>402</v>
      </c>
      <c r="B21" s="513" t="s">
        <v>1163</v>
      </c>
      <c r="C21" s="513" t="s">
        <v>745</v>
      </c>
      <c r="D21" s="513" t="s">
        <v>407</v>
      </c>
      <c r="E21" s="514">
        <v>20</v>
      </c>
      <c r="F21" s="514">
        <v>-0.02</v>
      </c>
      <c r="G21" s="514">
        <v>2049</v>
      </c>
      <c r="H21" s="515">
        <v>3633101.66</v>
      </c>
      <c r="I21" s="514">
        <v>14.53380035</v>
      </c>
      <c r="J21" s="515">
        <v>52802774.189999998</v>
      </c>
      <c r="K21" s="514">
        <v>20</v>
      </c>
      <c r="L21" s="515">
        <v>72662033.200000003</v>
      </c>
      <c r="M21" s="514">
        <v>9.0493369999999995</v>
      </c>
      <c r="N21" s="515">
        <v>32877161.280000001</v>
      </c>
      <c r="O21" s="514">
        <v>0.58139843000000002</v>
      </c>
      <c r="P21" s="515">
        <v>2112279.6</v>
      </c>
      <c r="Q21" s="515">
        <v>-72662.03</v>
      </c>
      <c r="R21" s="515">
        <v>1527858.63</v>
      </c>
      <c r="S21" s="504" t="str">
        <f t="shared" si="0"/>
        <v>30</v>
      </c>
      <c r="T21" s="394"/>
    </row>
    <row r="22" spans="1:20" ht="15" x14ac:dyDescent="0.25">
      <c r="A22" s="513" t="s">
        <v>402</v>
      </c>
      <c r="B22" s="513" t="s">
        <v>1163</v>
      </c>
      <c r="C22" s="513" t="s">
        <v>746</v>
      </c>
      <c r="D22" s="513" t="s">
        <v>123</v>
      </c>
      <c r="E22" s="514"/>
      <c r="F22" s="514">
        <v>-0.02</v>
      </c>
      <c r="G22" s="514">
        <v>2049</v>
      </c>
      <c r="H22" s="515">
        <v>10878706.539999999</v>
      </c>
      <c r="I22" s="514">
        <v>13.50048945</v>
      </c>
      <c r="J22" s="515">
        <v>146867862.86000001</v>
      </c>
      <c r="K22" s="514">
        <v>29.1438731</v>
      </c>
      <c r="L22" s="515">
        <v>317047642.91000003</v>
      </c>
      <c r="M22" s="514">
        <v>17.134845599999998</v>
      </c>
      <c r="N22" s="515">
        <v>186404956.84999999</v>
      </c>
      <c r="O22" s="514">
        <v>0.4535785</v>
      </c>
      <c r="P22" s="515">
        <v>4934347.41</v>
      </c>
      <c r="Q22" s="515">
        <v>-217574.13</v>
      </c>
      <c r="R22" s="515">
        <v>3569122.78</v>
      </c>
      <c r="S22" s="504" t="str">
        <f t="shared" si="0"/>
        <v>30</v>
      </c>
      <c r="T22" s="394"/>
    </row>
    <row r="23" spans="1:20" ht="15" x14ac:dyDescent="0.25">
      <c r="A23" s="513" t="s">
        <v>402</v>
      </c>
      <c r="B23" s="513" t="s">
        <v>1163</v>
      </c>
      <c r="C23" s="513" t="s">
        <v>600</v>
      </c>
      <c r="D23" s="513" t="s">
        <v>359</v>
      </c>
      <c r="E23" s="514">
        <v>40</v>
      </c>
      <c r="F23" s="514">
        <v>-0.02</v>
      </c>
      <c r="G23" s="514">
        <v>2038</v>
      </c>
      <c r="H23" s="515">
        <v>20821463.920000002</v>
      </c>
      <c r="I23" s="514">
        <v>17.32355965</v>
      </c>
      <c r="J23" s="515">
        <v>360701872.18000001</v>
      </c>
      <c r="K23" s="514">
        <v>34.46</v>
      </c>
      <c r="L23" s="515">
        <v>717507646.67999995</v>
      </c>
      <c r="M23" s="514">
        <v>18.284693999999998</v>
      </c>
      <c r="N23" s="515">
        <v>380714096.41000003</v>
      </c>
      <c r="O23" s="514">
        <v>0.49068456999999999</v>
      </c>
      <c r="P23" s="515">
        <v>10216771.029999999</v>
      </c>
      <c r="Q23" s="515">
        <v>-416429.28</v>
      </c>
      <c r="R23" s="515">
        <v>7753329.8399999999</v>
      </c>
      <c r="S23" s="504" t="str">
        <f t="shared" si="0"/>
        <v>31</v>
      </c>
      <c r="T23" s="394"/>
    </row>
    <row r="24" spans="1:20" ht="15" x14ac:dyDescent="0.25">
      <c r="A24" s="513" t="s">
        <v>402</v>
      </c>
      <c r="B24" s="513" t="s">
        <v>1163</v>
      </c>
      <c r="C24" s="513" t="s">
        <v>601</v>
      </c>
      <c r="D24" s="513" t="s">
        <v>405</v>
      </c>
      <c r="E24" s="514">
        <v>30</v>
      </c>
      <c r="F24" s="514">
        <v>-0.02</v>
      </c>
      <c r="G24" s="514">
        <v>2038</v>
      </c>
      <c r="H24" s="515">
        <v>605037.22</v>
      </c>
      <c r="I24" s="514">
        <v>15.175061299999999</v>
      </c>
      <c r="J24" s="515">
        <v>9181476.9000000004</v>
      </c>
      <c r="K24" s="514">
        <v>24.42</v>
      </c>
      <c r="L24" s="515">
        <v>14775008.91</v>
      </c>
      <c r="M24" s="514">
        <v>13.6677</v>
      </c>
      <c r="N24" s="515">
        <v>8269467.21</v>
      </c>
      <c r="O24" s="514">
        <v>0.44901977999999998</v>
      </c>
      <c r="P24" s="515">
        <v>271673.68</v>
      </c>
      <c r="Q24" s="515">
        <v>-12100.74</v>
      </c>
      <c r="R24" s="515">
        <v>206168.43</v>
      </c>
      <c r="S24" s="504" t="str">
        <f t="shared" si="0"/>
        <v>31</v>
      </c>
      <c r="T24" s="394"/>
    </row>
    <row r="25" spans="1:20" ht="15" x14ac:dyDescent="0.25">
      <c r="A25" s="513" t="s">
        <v>402</v>
      </c>
      <c r="B25" s="513" t="s">
        <v>1163</v>
      </c>
      <c r="C25" s="513" t="s">
        <v>602</v>
      </c>
      <c r="D25" s="513" t="s">
        <v>407</v>
      </c>
      <c r="E25" s="514">
        <v>20</v>
      </c>
      <c r="F25" s="514">
        <v>-0.02</v>
      </c>
      <c r="G25" s="514">
        <v>2038</v>
      </c>
      <c r="H25" s="515">
        <v>182593.8</v>
      </c>
      <c r="I25" s="514">
        <v>6.6570627299999998</v>
      </c>
      <c r="J25" s="515">
        <v>1215538.3799999999</v>
      </c>
      <c r="K25" s="514">
        <v>19.61</v>
      </c>
      <c r="L25" s="515">
        <v>3580664.42</v>
      </c>
      <c r="M25" s="514">
        <v>13.076686</v>
      </c>
      <c r="N25" s="515">
        <v>2387721.79</v>
      </c>
      <c r="O25" s="514">
        <v>0.33988443000000002</v>
      </c>
      <c r="P25" s="515">
        <v>62060.79</v>
      </c>
      <c r="Q25" s="515">
        <v>-3651.88</v>
      </c>
      <c r="R25" s="515">
        <v>47096.85</v>
      </c>
      <c r="S25" s="504" t="str">
        <f t="shared" si="0"/>
        <v>31</v>
      </c>
      <c r="T25" s="394"/>
    </row>
    <row r="26" spans="1:20" ht="15" x14ac:dyDescent="0.25">
      <c r="A26" s="513" t="s">
        <v>402</v>
      </c>
      <c r="B26" s="513" t="s">
        <v>1163</v>
      </c>
      <c r="C26" s="513" t="s">
        <v>603</v>
      </c>
      <c r="D26" s="513" t="s">
        <v>123</v>
      </c>
      <c r="E26" s="514"/>
      <c r="F26" s="514">
        <v>-0.02</v>
      </c>
      <c r="G26" s="514">
        <v>2038</v>
      </c>
      <c r="H26" s="515">
        <v>21609094.940000001</v>
      </c>
      <c r="I26" s="514">
        <v>17.173273040000002</v>
      </c>
      <c r="J26" s="515">
        <v>371098887.45999998</v>
      </c>
      <c r="K26" s="514">
        <v>34.053407700000001</v>
      </c>
      <c r="L26" s="515">
        <v>735863320.00999999</v>
      </c>
      <c r="M26" s="514">
        <v>18.111414960000001</v>
      </c>
      <c r="N26" s="515">
        <v>391371285.41000003</v>
      </c>
      <c r="O26" s="514">
        <v>0.48824374999999998</v>
      </c>
      <c r="P26" s="515">
        <v>10550505.5</v>
      </c>
      <c r="Q26" s="515">
        <v>-432181.9</v>
      </c>
      <c r="R26" s="515">
        <v>8006595.1200000001</v>
      </c>
      <c r="S26" s="504" t="str">
        <f t="shared" si="0"/>
        <v>31</v>
      </c>
    </row>
    <row r="27" spans="1:20" ht="15" x14ac:dyDescent="0.25">
      <c r="A27" s="513" t="s">
        <v>402</v>
      </c>
      <c r="B27" s="513" t="s">
        <v>1163</v>
      </c>
      <c r="C27" s="513" t="s">
        <v>754</v>
      </c>
      <c r="D27" s="513" t="s">
        <v>359</v>
      </c>
      <c r="E27" s="514">
        <v>40</v>
      </c>
      <c r="F27" s="514">
        <v>-0.05</v>
      </c>
      <c r="G27" s="514">
        <v>2038</v>
      </c>
      <c r="H27" s="515">
        <v>49813831.619999997</v>
      </c>
      <c r="I27" s="514">
        <v>14.37120427</v>
      </c>
      <c r="J27" s="515">
        <v>715884749.89999998</v>
      </c>
      <c r="K27" s="514">
        <v>31.9</v>
      </c>
      <c r="L27" s="515">
        <v>1589061228.6800001</v>
      </c>
      <c r="M27" s="514">
        <v>18.5</v>
      </c>
      <c r="N27" s="515">
        <v>921555884.97000003</v>
      </c>
      <c r="O27" s="514">
        <v>0.44113757999999997</v>
      </c>
      <c r="P27" s="515">
        <v>21974752.91</v>
      </c>
      <c r="Q27" s="515">
        <v>-2490691.58</v>
      </c>
      <c r="R27" s="515">
        <v>17750421.960000001</v>
      </c>
      <c r="S27" s="504" t="str">
        <f t="shared" si="0"/>
        <v>31</v>
      </c>
    </row>
    <row r="28" spans="1:20" ht="15" x14ac:dyDescent="0.25">
      <c r="A28" s="513" t="s">
        <v>402</v>
      </c>
      <c r="B28" s="513" t="s">
        <v>1163</v>
      </c>
      <c r="C28" s="513" t="s">
        <v>755</v>
      </c>
      <c r="D28" s="513" t="s">
        <v>405</v>
      </c>
      <c r="E28" s="514">
        <v>30</v>
      </c>
      <c r="F28" s="514">
        <v>-0.05</v>
      </c>
      <c r="G28" s="514">
        <v>2038</v>
      </c>
      <c r="H28" s="515">
        <v>26990198.449999999</v>
      </c>
      <c r="I28" s="514">
        <v>15.757558080000001</v>
      </c>
      <c r="J28" s="515">
        <v>425299619.60000002</v>
      </c>
      <c r="K28" s="514">
        <v>29.35</v>
      </c>
      <c r="L28" s="515">
        <v>792162324.50999999</v>
      </c>
      <c r="M28" s="514">
        <v>13.498608000000001</v>
      </c>
      <c r="N28" s="515">
        <v>364330108.72000003</v>
      </c>
      <c r="O28" s="514">
        <v>0.56703775999999995</v>
      </c>
      <c r="P28" s="515">
        <v>15304461.65</v>
      </c>
      <c r="Q28" s="515">
        <v>-1349509.92</v>
      </c>
      <c r="R28" s="515">
        <v>12362398.49</v>
      </c>
      <c r="S28" s="504" t="str">
        <f t="shared" si="0"/>
        <v>31</v>
      </c>
    </row>
    <row r="29" spans="1:20" ht="15" x14ac:dyDescent="0.25">
      <c r="A29" s="513" t="s">
        <v>402</v>
      </c>
      <c r="B29" s="513" t="s">
        <v>1163</v>
      </c>
      <c r="C29" s="513" t="s">
        <v>756</v>
      </c>
      <c r="D29" s="513" t="s">
        <v>407</v>
      </c>
      <c r="E29" s="514">
        <v>20</v>
      </c>
      <c r="F29" s="514">
        <v>-0.05</v>
      </c>
      <c r="G29" s="514">
        <v>2038</v>
      </c>
      <c r="H29" s="515">
        <v>997512.36</v>
      </c>
      <c r="I29" s="514">
        <v>13.189058879999999</v>
      </c>
      <c r="J29" s="515">
        <v>13156249.25</v>
      </c>
      <c r="K29" s="514">
        <v>19.899999999999999</v>
      </c>
      <c r="L29" s="515">
        <v>19850495.960000001</v>
      </c>
      <c r="M29" s="514">
        <v>8.0390329999999999</v>
      </c>
      <c r="N29" s="515">
        <v>8019034.7800000003</v>
      </c>
      <c r="O29" s="514">
        <v>0.62584452999999995</v>
      </c>
      <c r="P29" s="515">
        <v>624287.65</v>
      </c>
      <c r="Q29" s="515">
        <v>-49875.62</v>
      </c>
      <c r="R29" s="515">
        <v>504277.3</v>
      </c>
      <c r="S29" s="504" t="str">
        <f t="shared" si="0"/>
        <v>31</v>
      </c>
    </row>
    <row r="30" spans="1:20" ht="15" x14ac:dyDescent="0.25">
      <c r="A30" s="513" t="s">
        <v>402</v>
      </c>
      <c r="B30" s="513" t="s">
        <v>1163</v>
      </c>
      <c r="C30" s="513" t="s">
        <v>757</v>
      </c>
      <c r="D30" s="513" t="s">
        <v>123</v>
      </c>
      <c r="E30" s="514"/>
      <c r="F30" s="514">
        <v>-0.05</v>
      </c>
      <c r="G30" s="514">
        <v>2038</v>
      </c>
      <c r="H30" s="515">
        <v>77801542.430000007</v>
      </c>
      <c r="I30" s="514">
        <v>14.836988870000001</v>
      </c>
      <c r="J30" s="515">
        <v>1154340618.75</v>
      </c>
      <c r="K30" s="514">
        <v>30.86152246</v>
      </c>
      <c r="L30" s="515">
        <v>2401074049.1500001</v>
      </c>
      <c r="M30" s="514">
        <v>16.630840320000001</v>
      </c>
      <c r="N30" s="515">
        <v>1293905028.47</v>
      </c>
      <c r="O30" s="514">
        <v>0.48718189000000001</v>
      </c>
      <c r="P30" s="515">
        <v>37903502.210000001</v>
      </c>
      <c r="Q30" s="515">
        <v>-3890077.12</v>
      </c>
      <c r="R30" s="515">
        <v>30617097.75</v>
      </c>
      <c r="S30" s="504" t="str">
        <f t="shared" si="0"/>
        <v>31</v>
      </c>
    </row>
    <row r="31" spans="1:20" ht="15" x14ac:dyDescent="0.25">
      <c r="A31" s="513" t="s">
        <v>402</v>
      </c>
      <c r="B31" s="513" t="s">
        <v>1163</v>
      </c>
      <c r="C31" s="513" t="s">
        <v>778</v>
      </c>
      <c r="D31" s="513" t="s">
        <v>359</v>
      </c>
      <c r="E31" s="514">
        <v>12</v>
      </c>
      <c r="F31" s="514">
        <v>-7.0000000000000007E-2</v>
      </c>
      <c r="G31" s="514">
        <v>2038</v>
      </c>
      <c r="H31" s="515">
        <v>47772258.350000001</v>
      </c>
      <c r="I31" s="514">
        <v>5.0124017700000003</v>
      </c>
      <c r="J31" s="515">
        <v>239453752.53999999</v>
      </c>
      <c r="K31" s="514">
        <v>12</v>
      </c>
      <c r="L31" s="515">
        <v>573267100.20000005</v>
      </c>
      <c r="M31" s="514">
        <v>6.9875980000000002</v>
      </c>
      <c r="N31" s="515">
        <v>333813336.89999998</v>
      </c>
      <c r="O31" s="514">
        <v>0.44693916</v>
      </c>
      <c r="P31" s="515">
        <v>21351292.93</v>
      </c>
      <c r="Q31" s="515">
        <v>-3344058.08</v>
      </c>
      <c r="R31" s="515">
        <v>10895013.09</v>
      </c>
      <c r="S31" s="504" t="str">
        <f t="shared" si="0"/>
        <v>31</v>
      </c>
    </row>
    <row r="32" spans="1:20" ht="15" x14ac:dyDescent="0.25">
      <c r="A32" s="513" t="s">
        <v>402</v>
      </c>
      <c r="B32" s="513" t="s">
        <v>1163</v>
      </c>
      <c r="C32" s="513" t="s">
        <v>779</v>
      </c>
      <c r="D32" s="513" t="s">
        <v>359</v>
      </c>
      <c r="E32" s="514">
        <v>40</v>
      </c>
      <c r="F32" s="514">
        <v>-7.0000000000000007E-2</v>
      </c>
      <c r="G32" s="514">
        <v>2038</v>
      </c>
      <c r="H32" s="515">
        <v>61343933.520000003</v>
      </c>
      <c r="I32" s="514">
        <v>16.484913580000001</v>
      </c>
      <c r="J32" s="515">
        <v>1011249442.85</v>
      </c>
      <c r="K32" s="514">
        <v>33.340000000000003</v>
      </c>
      <c r="L32" s="515">
        <v>2045206743.5599999</v>
      </c>
      <c r="M32" s="514">
        <v>18.457294999999998</v>
      </c>
      <c r="N32" s="515">
        <v>1132243077.4400001</v>
      </c>
      <c r="O32" s="514">
        <v>0.49319846000000001</v>
      </c>
      <c r="P32" s="515">
        <v>30254733.77</v>
      </c>
      <c r="Q32" s="515">
        <v>-4294075.3499999996</v>
      </c>
      <c r="R32" s="515">
        <v>15438208.9</v>
      </c>
      <c r="S32" s="504" t="str">
        <f t="shared" si="0"/>
        <v>31</v>
      </c>
    </row>
    <row r="33" spans="1:20" ht="15" x14ac:dyDescent="0.25">
      <c r="A33" s="513" t="s">
        <v>402</v>
      </c>
      <c r="B33" s="513" t="s">
        <v>1163</v>
      </c>
      <c r="C33" s="513" t="s">
        <v>780</v>
      </c>
      <c r="D33" s="513" t="s">
        <v>405</v>
      </c>
      <c r="E33" s="514">
        <v>30</v>
      </c>
      <c r="F33" s="514">
        <v>-7.0000000000000007E-2</v>
      </c>
      <c r="G33" s="514">
        <v>2038</v>
      </c>
      <c r="H33" s="515">
        <v>88207506.650000006</v>
      </c>
      <c r="I33" s="514">
        <v>17.31084354</v>
      </c>
      <c r="J33" s="515">
        <v>1526946346.5599999</v>
      </c>
      <c r="K33" s="514">
        <v>29.01</v>
      </c>
      <c r="L33" s="515">
        <v>2558899767.9200001</v>
      </c>
      <c r="M33" s="514">
        <v>13.158403</v>
      </c>
      <c r="N33" s="515">
        <v>1160669920.1300001</v>
      </c>
      <c r="O33" s="514">
        <v>0.59983677999999996</v>
      </c>
      <c r="P33" s="515">
        <v>52910106.939999998</v>
      </c>
      <c r="Q33" s="515">
        <v>-6174525.4699999997</v>
      </c>
      <c r="R33" s="515">
        <v>26998660.440000001</v>
      </c>
      <c r="S33" s="504" t="str">
        <f t="shared" si="0"/>
        <v>31</v>
      </c>
    </row>
    <row r="34" spans="1:20" ht="15" x14ac:dyDescent="0.25">
      <c r="A34" s="513" t="s">
        <v>402</v>
      </c>
      <c r="B34" s="513" t="s">
        <v>1163</v>
      </c>
      <c r="C34" s="513" t="s">
        <v>781</v>
      </c>
      <c r="D34" s="513" t="s">
        <v>407</v>
      </c>
      <c r="E34" s="514">
        <v>20</v>
      </c>
      <c r="F34" s="514">
        <v>-7.0000000000000007E-2</v>
      </c>
      <c r="G34" s="514">
        <v>2038</v>
      </c>
      <c r="H34" s="515">
        <v>11979517.359999999</v>
      </c>
      <c r="I34" s="514">
        <v>9.9301372000000008</v>
      </c>
      <c r="J34" s="515">
        <v>118958250.95999999</v>
      </c>
      <c r="K34" s="514">
        <v>19.98</v>
      </c>
      <c r="L34" s="515">
        <v>239350756.84999999</v>
      </c>
      <c r="M34" s="514">
        <v>10.407438000000001</v>
      </c>
      <c r="N34" s="515">
        <v>124676084.19</v>
      </c>
      <c r="O34" s="514">
        <v>0.51267132999999998</v>
      </c>
      <c r="P34" s="515">
        <v>6141555.1100000003</v>
      </c>
      <c r="Q34" s="515">
        <v>-838566.22</v>
      </c>
      <c r="R34" s="515">
        <v>3133876.88</v>
      </c>
      <c r="S34" s="504" t="str">
        <f t="shared" si="0"/>
        <v>31</v>
      </c>
    </row>
    <row r="35" spans="1:20" ht="15" x14ac:dyDescent="0.25">
      <c r="A35" s="513" t="s">
        <v>402</v>
      </c>
      <c r="B35" s="513" t="s">
        <v>1163</v>
      </c>
      <c r="C35" s="513" t="s">
        <v>782</v>
      </c>
      <c r="D35" s="513" t="s">
        <v>123</v>
      </c>
      <c r="E35" s="514"/>
      <c r="F35" s="514">
        <v>-7.0000000000000007E-2</v>
      </c>
      <c r="G35" s="514">
        <v>2038</v>
      </c>
      <c r="H35" s="515">
        <v>209303215.88</v>
      </c>
      <c r="I35" s="514">
        <v>13.83928948</v>
      </c>
      <c r="J35" s="515">
        <v>2896607792.9099998</v>
      </c>
      <c r="K35" s="514">
        <v>25.879795229999999</v>
      </c>
      <c r="L35" s="515">
        <v>5416724368.5299997</v>
      </c>
      <c r="M35" s="514">
        <v>13.14553342</v>
      </c>
      <c r="N35" s="515">
        <v>2751402418.6599998</v>
      </c>
      <c r="O35" s="514">
        <v>0.52869560000000004</v>
      </c>
      <c r="P35" s="515">
        <v>110657688.75</v>
      </c>
      <c r="Q35" s="515">
        <v>-14651225.109999999</v>
      </c>
      <c r="R35" s="515">
        <v>56465759.310000002</v>
      </c>
      <c r="S35" s="504" t="str">
        <f t="shared" si="0"/>
        <v>31</v>
      </c>
    </row>
    <row r="36" spans="1:20" ht="15" x14ac:dyDescent="0.25">
      <c r="A36" s="513" t="s">
        <v>402</v>
      </c>
      <c r="B36" s="513" t="s">
        <v>1163</v>
      </c>
      <c r="C36" s="513" t="s">
        <v>804</v>
      </c>
      <c r="D36" s="513" t="s">
        <v>359</v>
      </c>
      <c r="E36" s="514">
        <v>40</v>
      </c>
      <c r="F36" s="514">
        <v>-0.05</v>
      </c>
      <c r="G36" s="514">
        <v>2038</v>
      </c>
      <c r="H36" s="515">
        <v>10976280.029999999</v>
      </c>
      <c r="I36" s="514">
        <v>17.727825540000001</v>
      </c>
      <c r="J36" s="515">
        <v>194585577.5</v>
      </c>
      <c r="K36" s="514">
        <v>34.659999999999997</v>
      </c>
      <c r="L36" s="515">
        <v>380437865.83999997</v>
      </c>
      <c r="M36" s="514">
        <v>18.191552000000001</v>
      </c>
      <c r="N36" s="515">
        <v>199675568.93000001</v>
      </c>
      <c r="O36" s="514">
        <v>0.51483780000000001</v>
      </c>
      <c r="P36" s="515">
        <v>5651003.8300000001</v>
      </c>
      <c r="Q36" s="515">
        <v>-548814</v>
      </c>
      <c r="R36" s="515">
        <v>4877063.83</v>
      </c>
      <c r="S36" s="504" t="str">
        <f t="shared" si="0"/>
        <v>31</v>
      </c>
    </row>
    <row r="37" spans="1:20" ht="15" x14ac:dyDescent="0.25">
      <c r="A37" s="513" t="s">
        <v>402</v>
      </c>
      <c r="B37" s="513" t="s">
        <v>1163</v>
      </c>
      <c r="C37" s="513" t="s">
        <v>805</v>
      </c>
      <c r="D37" s="513" t="s">
        <v>405</v>
      </c>
      <c r="E37" s="514">
        <v>30</v>
      </c>
      <c r="F37" s="514">
        <v>-0.05</v>
      </c>
      <c r="G37" s="514">
        <v>2038</v>
      </c>
      <c r="H37" s="515">
        <v>25891386.59</v>
      </c>
      <c r="I37" s="514">
        <v>13.165699350000001</v>
      </c>
      <c r="J37" s="515">
        <v>340878211.51999998</v>
      </c>
      <c r="K37" s="514">
        <v>26.7</v>
      </c>
      <c r="L37" s="515">
        <v>691300021.95000005</v>
      </c>
      <c r="M37" s="514">
        <v>14.723369</v>
      </c>
      <c r="N37" s="515">
        <v>381208438.69</v>
      </c>
      <c r="O37" s="514">
        <v>0.47275473000000001</v>
      </c>
      <c r="P37" s="515">
        <v>12240275.5</v>
      </c>
      <c r="Q37" s="515">
        <v>-1294569.33</v>
      </c>
      <c r="R37" s="515">
        <v>10563893.91</v>
      </c>
      <c r="S37" s="504" t="str">
        <f t="shared" si="0"/>
        <v>31</v>
      </c>
    </row>
    <row r="38" spans="1:20" ht="15" x14ac:dyDescent="0.25">
      <c r="A38" s="513" t="s">
        <v>402</v>
      </c>
      <c r="B38" s="513" t="s">
        <v>1163</v>
      </c>
      <c r="C38" s="513" t="s">
        <v>806</v>
      </c>
      <c r="D38" s="513" t="s">
        <v>407</v>
      </c>
      <c r="E38" s="514">
        <v>20</v>
      </c>
      <c r="F38" s="514">
        <v>-0.05</v>
      </c>
      <c r="G38" s="514">
        <v>2038</v>
      </c>
      <c r="H38" s="515">
        <v>2066249.24</v>
      </c>
      <c r="I38" s="514">
        <v>14.71820934</v>
      </c>
      <c r="J38" s="515">
        <v>30411488.859999999</v>
      </c>
      <c r="K38" s="514">
        <v>19.739999999999998</v>
      </c>
      <c r="L38" s="515">
        <v>40787760</v>
      </c>
      <c r="M38" s="514">
        <v>8.0571570000000001</v>
      </c>
      <c r="N38" s="515">
        <v>16648094.529999999</v>
      </c>
      <c r="O38" s="514">
        <v>0.62133629999999995</v>
      </c>
      <c r="P38" s="515">
        <v>1283835.6499999999</v>
      </c>
      <c r="Q38" s="515">
        <v>-103312.46</v>
      </c>
      <c r="R38" s="515">
        <v>1108006.3999999999</v>
      </c>
      <c r="S38" s="504" t="str">
        <f t="shared" si="0"/>
        <v>31</v>
      </c>
    </row>
    <row r="39" spans="1:20" ht="15" x14ac:dyDescent="0.25">
      <c r="A39" s="513" t="s">
        <v>402</v>
      </c>
      <c r="B39" s="513" t="s">
        <v>1163</v>
      </c>
      <c r="C39" s="513" t="s">
        <v>807</v>
      </c>
      <c r="D39" s="513" t="s">
        <v>123</v>
      </c>
      <c r="E39" s="514"/>
      <c r="F39" s="514">
        <v>-0.05</v>
      </c>
      <c r="G39" s="514">
        <v>2038</v>
      </c>
      <c r="H39" s="515">
        <v>38933915.859999999</v>
      </c>
      <c r="I39" s="514">
        <v>14.534250289999999</v>
      </c>
      <c r="J39" s="515">
        <v>565875277.87</v>
      </c>
      <c r="K39" s="514">
        <v>28.57471752</v>
      </c>
      <c r="L39" s="515">
        <v>1112525647.79</v>
      </c>
      <c r="M39" s="514">
        <v>15.34734149</v>
      </c>
      <c r="N39" s="515">
        <v>597532102.14999998</v>
      </c>
      <c r="O39" s="514">
        <v>0.49250414999999997</v>
      </c>
      <c r="P39" s="515">
        <v>19175114.98</v>
      </c>
      <c r="Q39" s="515">
        <v>-1946695.79</v>
      </c>
      <c r="R39" s="515">
        <v>16548964.140000001</v>
      </c>
      <c r="S39" s="504" t="str">
        <f t="shared" si="0"/>
        <v>31</v>
      </c>
    </row>
    <row r="40" spans="1:20" ht="15" x14ac:dyDescent="0.25">
      <c r="A40" s="516" t="s">
        <v>402</v>
      </c>
      <c r="B40" s="516" t="s">
        <v>1163</v>
      </c>
      <c r="C40" s="516" t="s">
        <v>827</v>
      </c>
      <c r="D40" s="516" t="s">
        <v>359</v>
      </c>
      <c r="E40" s="517">
        <v>40</v>
      </c>
      <c r="F40" s="517">
        <v>-0.02</v>
      </c>
      <c r="G40" s="517">
        <v>2038</v>
      </c>
      <c r="H40" s="518">
        <v>1140827.44</v>
      </c>
      <c r="I40" s="517">
        <v>17.40547377</v>
      </c>
      <c r="J40" s="518">
        <v>19856642.079999998</v>
      </c>
      <c r="K40" s="517">
        <v>35.200000000000003</v>
      </c>
      <c r="L40" s="518">
        <v>40157125.890000001</v>
      </c>
      <c r="M40" s="517">
        <v>18.296492000000001</v>
      </c>
      <c r="N40" s="518">
        <v>20873140.129999999</v>
      </c>
      <c r="O40" s="517">
        <v>0.49670782000000002</v>
      </c>
      <c r="P40" s="518">
        <v>566657.91</v>
      </c>
      <c r="Q40" s="518">
        <v>-22816.55</v>
      </c>
      <c r="R40" s="518">
        <v>488538.62</v>
      </c>
      <c r="S40" s="504" t="str">
        <f t="shared" si="0"/>
        <v>31</v>
      </c>
    </row>
    <row r="41" spans="1:20" ht="15" x14ac:dyDescent="0.25">
      <c r="A41" s="516" t="s">
        <v>402</v>
      </c>
      <c r="B41" s="516" t="s">
        <v>1163</v>
      </c>
      <c r="C41" s="516" t="s">
        <v>828</v>
      </c>
      <c r="D41" s="516" t="s">
        <v>405</v>
      </c>
      <c r="E41" s="517">
        <v>30</v>
      </c>
      <c r="F41" s="517">
        <v>-0.02</v>
      </c>
      <c r="G41" s="517">
        <v>2038</v>
      </c>
      <c r="H41" s="518">
        <v>11878.5</v>
      </c>
      <c r="I41" s="517">
        <v>44.5</v>
      </c>
      <c r="J41" s="518">
        <v>528593.25</v>
      </c>
      <c r="K41" s="517">
        <v>30</v>
      </c>
      <c r="L41" s="518">
        <v>356355</v>
      </c>
      <c r="M41" s="517">
        <v>1.1840539999999999</v>
      </c>
      <c r="N41" s="518">
        <v>14064.79</v>
      </c>
      <c r="O41" s="517">
        <v>0.97974238999999996</v>
      </c>
      <c r="P41" s="518">
        <v>11637.87</v>
      </c>
      <c r="Q41" s="518">
        <v>-237.57</v>
      </c>
      <c r="R41" s="518">
        <v>9778.58</v>
      </c>
      <c r="S41" s="504" t="str">
        <f t="shared" si="0"/>
        <v>31</v>
      </c>
    </row>
    <row r="42" spans="1:20" ht="15" x14ac:dyDescent="0.25">
      <c r="A42" s="516" t="s">
        <v>402</v>
      </c>
      <c r="B42" s="516" t="s">
        <v>1163</v>
      </c>
      <c r="C42" s="516" t="s">
        <v>829</v>
      </c>
      <c r="D42" s="516" t="s">
        <v>123</v>
      </c>
      <c r="E42" s="517"/>
      <c r="F42" s="517">
        <v>-0.02</v>
      </c>
      <c r="G42" s="517">
        <v>2038</v>
      </c>
      <c r="H42" s="518">
        <v>1152705.94</v>
      </c>
      <c r="I42" s="517">
        <v>17.684679693764743</v>
      </c>
      <c r="J42" s="518">
        <v>20385235.329999998</v>
      </c>
      <c r="K42" s="517">
        <v>35.146414609436299</v>
      </c>
      <c r="L42" s="518">
        <v>40513480.890000001</v>
      </c>
      <c r="M42" s="517">
        <v>18.120150330794687</v>
      </c>
      <c r="N42" s="518">
        <v>20887204.919999998</v>
      </c>
      <c r="O42" s="517">
        <v>0.50168543418801159</v>
      </c>
      <c r="P42" s="518">
        <v>578295.78</v>
      </c>
      <c r="Q42" s="518">
        <v>-23054.12</v>
      </c>
      <c r="R42" s="518">
        <v>498317.2</v>
      </c>
      <c r="S42" s="504" t="str">
        <f t="shared" si="0"/>
        <v>31</v>
      </c>
      <c r="T42" s="518"/>
    </row>
    <row r="43" spans="1:20" ht="15" x14ac:dyDescent="0.25">
      <c r="A43" s="513" t="s">
        <v>402</v>
      </c>
      <c r="B43" s="513" t="s">
        <v>1163</v>
      </c>
      <c r="C43" s="513" t="s">
        <v>604</v>
      </c>
      <c r="D43" s="513" t="s">
        <v>359</v>
      </c>
      <c r="E43" s="514">
        <v>40</v>
      </c>
      <c r="F43" s="514">
        <v>-0.02</v>
      </c>
      <c r="G43" s="514">
        <v>2038</v>
      </c>
      <c r="H43" s="515">
        <v>26532913.690000001</v>
      </c>
      <c r="I43" s="514">
        <v>16.22031557</v>
      </c>
      <c r="J43" s="515">
        <v>430372232.97000003</v>
      </c>
      <c r="K43" s="514">
        <v>33.36</v>
      </c>
      <c r="L43" s="515">
        <v>885138000.70000005</v>
      </c>
      <c r="M43" s="514">
        <v>18.356202</v>
      </c>
      <c r="N43" s="515">
        <v>487043523.33999997</v>
      </c>
      <c r="O43" s="514">
        <v>0.47252032999999999</v>
      </c>
      <c r="P43" s="515">
        <v>12537341.08</v>
      </c>
      <c r="Q43" s="515">
        <v>-530658.27</v>
      </c>
      <c r="R43" s="515">
        <v>10237516.58</v>
      </c>
      <c r="S43" s="504" t="str">
        <f t="shared" si="0"/>
        <v>32</v>
      </c>
      <c r="T43" s="394"/>
    </row>
    <row r="44" spans="1:20" ht="15" x14ac:dyDescent="0.25">
      <c r="A44" s="513" t="s">
        <v>402</v>
      </c>
      <c r="B44" s="513" t="s">
        <v>1163</v>
      </c>
      <c r="C44" s="513" t="s">
        <v>605</v>
      </c>
      <c r="D44" s="513" t="s">
        <v>405</v>
      </c>
      <c r="E44" s="514">
        <v>30</v>
      </c>
      <c r="F44" s="514">
        <v>-0.02</v>
      </c>
      <c r="G44" s="514">
        <v>2038</v>
      </c>
      <c r="H44" s="515">
        <v>397471.7</v>
      </c>
      <c r="I44" s="514">
        <v>9.9752801499999997</v>
      </c>
      <c r="J44" s="515">
        <v>3964891.56</v>
      </c>
      <c r="K44" s="514">
        <v>23.02</v>
      </c>
      <c r="L44" s="515">
        <v>9149798.5299999993</v>
      </c>
      <c r="M44" s="514">
        <v>16.216774999999998</v>
      </c>
      <c r="N44" s="515">
        <v>6445709.1299999999</v>
      </c>
      <c r="O44" s="514">
        <v>0.30653888000000001</v>
      </c>
      <c r="P44" s="515">
        <v>121840.53</v>
      </c>
      <c r="Q44" s="515">
        <v>-7949.43</v>
      </c>
      <c r="R44" s="515">
        <v>99490.35</v>
      </c>
      <c r="S44" s="504" t="str">
        <f t="shared" si="0"/>
        <v>32</v>
      </c>
      <c r="T44" s="394"/>
    </row>
    <row r="45" spans="1:20" ht="15" x14ac:dyDescent="0.25">
      <c r="A45" s="513" t="s">
        <v>402</v>
      </c>
      <c r="B45" s="513" t="s">
        <v>1163</v>
      </c>
      <c r="C45" s="513" t="s">
        <v>606</v>
      </c>
      <c r="D45" s="513" t="s">
        <v>407</v>
      </c>
      <c r="E45" s="514">
        <v>20</v>
      </c>
      <c r="F45" s="514">
        <v>-0.02</v>
      </c>
      <c r="G45" s="514">
        <v>2038</v>
      </c>
      <c r="H45" s="515">
        <v>41580.9</v>
      </c>
      <c r="I45" s="514">
        <v>16.477924959999999</v>
      </c>
      <c r="J45" s="515">
        <v>685166.95</v>
      </c>
      <c r="K45" s="514">
        <v>20</v>
      </c>
      <c r="L45" s="515">
        <v>831618</v>
      </c>
      <c r="M45" s="514">
        <v>6.1135830000000002</v>
      </c>
      <c r="N45" s="515">
        <v>254208.28</v>
      </c>
      <c r="O45" s="514">
        <v>0.71644817999999999</v>
      </c>
      <c r="P45" s="515">
        <v>29790.560000000001</v>
      </c>
      <c r="Q45" s="515">
        <v>-831.62</v>
      </c>
      <c r="R45" s="515">
        <v>24325.84</v>
      </c>
      <c r="S45" s="504" t="str">
        <f t="shared" si="0"/>
        <v>32</v>
      </c>
      <c r="T45" s="394"/>
    </row>
    <row r="46" spans="1:20" ht="15" x14ac:dyDescent="0.25">
      <c r="A46" s="513" t="s">
        <v>402</v>
      </c>
      <c r="B46" s="513" t="s">
        <v>1163</v>
      </c>
      <c r="C46" s="513" t="s">
        <v>607</v>
      </c>
      <c r="D46" s="513" t="s">
        <v>123</v>
      </c>
      <c r="E46" s="514"/>
      <c r="F46" s="514">
        <v>-0.02</v>
      </c>
      <c r="G46" s="514">
        <v>2038</v>
      </c>
      <c r="H46" s="515">
        <v>26971966.289999999</v>
      </c>
      <c r="I46" s="514">
        <v>16.128682900000001</v>
      </c>
      <c r="J46" s="515">
        <v>435022291.48000002</v>
      </c>
      <c r="K46" s="514">
        <v>33.18702862</v>
      </c>
      <c r="L46" s="515">
        <v>895119417.23000002</v>
      </c>
      <c r="M46" s="514">
        <v>18.30580075</v>
      </c>
      <c r="N46" s="515">
        <v>493743440.75</v>
      </c>
      <c r="O46" s="514">
        <v>0.47045039</v>
      </c>
      <c r="P46" s="515">
        <v>12688972.17</v>
      </c>
      <c r="Q46" s="515">
        <v>-539439.32999999996</v>
      </c>
      <c r="R46" s="515">
        <v>10361332.77</v>
      </c>
      <c r="S46" s="504" t="str">
        <f t="shared" si="0"/>
        <v>32</v>
      </c>
      <c r="T46" s="394"/>
    </row>
    <row r="47" spans="1:20" ht="15" x14ac:dyDescent="0.25">
      <c r="A47" s="513" t="s">
        <v>402</v>
      </c>
      <c r="B47" s="513" t="s">
        <v>1163</v>
      </c>
      <c r="C47" s="513" t="s">
        <v>758</v>
      </c>
      <c r="D47" s="513" t="s">
        <v>359</v>
      </c>
      <c r="E47" s="514">
        <v>40</v>
      </c>
      <c r="F47" s="514">
        <v>-0.05</v>
      </c>
      <c r="G47" s="514">
        <v>2038</v>
      </c>
      <c r="H47" s="515">
        <v>64588500.18</v>
      </c>
      <c r="I47" s="514">
        <v>14.993933030000001</v>
      </c>
      <c r="J47" s="515">
        <v>968435646.33000004</v>
      </c>
      <c r="K47" s="514">
        <v>33</v>
      </c>
      <c r="L47" s="515">
        <v>2131420505.9400001</v>
      </c>
      <c r="M47" s="514">
        <v>18.499887999999999</v>
      </c>
      <c r="N47" s="515">
        <v>1194880019.4200001</v>
      </c>
      <c r="O47" s="514">
        <v>0.46391473</v>
      </c>
      <c r="P47" s="515">
        <v>29963556.75</v>
      </c>
      <c r="Q47" s="515">
        <v>-3229425.01</v>
      </c>
      <c r="R47" s="515">
        <v>24105128.02</v>
      </c>
      <c r="S47" s="504" t="str">
        <f t="shared" si="0"/>
        <v>32</v>
      </c>
      <c r="T47" s="394"/>
    </row>
    <row r="48" spans="1:20" ht="15" x14ac:dyDescent="0.25">
      <c r="A48" s="513" t="s">
        <v>402</v>
      </c>
      <c r="B48" s="513" t="s">
        <v>1163</v>
      </c>
      <c r="C48" s="513" t="s">
        <v>759</v>
      </c>
      <c r="D48" s="513" t="s">
        <v>405</v>
      </c>
      <c r="E48" s="514">
        <v>30</v>
      </c>
      <c r="F48" s="514">
        <v>-0.05</v>
      </c>
      <c r="G48" s="514">
        <v>2038</v>
      </c>
      <c r="H48" s="515">
        <v>32627636.399999999</v>
      </c>
      <c r="I48" s="514">
        <v>14.96756484</v>
      </c>
      <c r="J48" s="515">
        <v>488356263.25999999</v>
      </c>
      <c r="K48" s="514">
        <v>29.25</v>
      </c>
      <c r="L48" s="515">
        <v>954358364.70000005</v>
      </c>
      <c r="M48" s="514">
        <v>14.134084</v>
      </c>
      <c r="N48" s="515">
        <v>461161753.60000002</v>
      </c>
      <c r="O48" s="514">
        <v>0.54264190000000001</v>
      </c>
      <c r="P48" s="515">
        <v>17705122.620000001</v>
      </c>
      <c r="Q48" s="515">
        <v>-1631381.82</v>
      </c>
      <c r="R48" s="515">
        <v>14243444.16</v>
      </c>
      <c r="S48" s="504" t="str">
        <f t="shared" si="0"/>
        <v>32</v>
      </c>
      <c r="T48" s="394"/>
    </row>
    <row r="49" spans="1:20" ht="15" x14ac:dyDescent="0.25">
      <c r="A49" s="513" t="s">
        <v>402</v>
      </c>
      <c r="B49" s="513" t="s">
        <v>1163</v>
      </c>
      <c r="C49" s="513" t="s">
        <v>760</v>
      </c>
      <c r="D49" s="513" t="s">
        <v>407</v>
      </c>
      <c r="E49" s="514">
        <v>20</v>
      </c>
      <c r="F49" s="514">
        <v>-0.05</v>
      </c>
      <c r="G49" s="514">
        <v>2038</v>
      </c>
      <c r="H49" s="515">
        <v>1483345.19</v>
      </c>
      <c r="I49" s="514">
        <v>12.11626798</v>
      </c>
      <c r="J49" s="515">
        <v>17972607.82</v>
      </c>
      <c r="K49" s="514">
        <v>20</v>
      </c>
      <c r="L49" s="515">
        <v>29666903.800000001</v>
      </c>
      <c r="M49" s="514">
        <v>8.7197659999999999</v>
      </c>
      <c r="N49" s="515">
        <v>12934422.949999999</v>
      </c>
      <c r="O49" s="514">
        <v>0.59221228000000004</v>
      </c>
      <c r="P49" s="515">
        <v>878455.24</v>
      </c>
      <c r="Q49" s="515">
        <v>-74167.259999999995</v>
      </c>
      <c r="R49" s="515">
        <v>706701.01</v>
      </c>
      <c r="S49" s="504" t="str">
        <f t="shared" si="0"/>
        <v>32</v>
      </c>
    </row>
    <row r="50" spans="1:20" ht="15" x14ac:dyDescent="0.25">
      <c r="A50" s="513" t="s">
        <v>402</v>
      </c>
      <c r="B50" s="513" t="s">
        <v>1163</v>
      </c>
      <c r="C50" s="513" t="s">
        <v>761</v>
      </c>
      <c r="D50" s="513" t="s">
        <v>123</v>
      </c>
      <c r="E50" s="514"/>
      <c r="F50" s="514">
        <v>-0.05</v>
      </c>
      <c r="G50" s="514">
        <v>2038</v>
      </c>
      <c r="H50" s="515">
        <v>98699481.769999996</v>
      </c>
      <c r="I50" s="514">
        <v>14.941968190000001</v>
      </c>
      <c r="J50" s="515">
        <v>1474764517.4200001</v>
      </c>
      <c r="K50" s="514">
        <v>31.564965879999999</v>
      </c>
      <c r="L50" s="515">
        <v>3115445774.4400001</v>
      </c>
      <c r="M50" s="514">
        <v>16.909675369999999</v>
      </c>
      <c r="N50" s="515">
        <v>1668976195.97</v>
      </c>
      <c r="O50" s="514">
        <v>0.49186817999999999</v>
      </c>
      <c r="P50" s="515">
        <v>48547134.609999999</v>
      </c>
      <c r="Q50" s="515">
        <v>-4934974.09</v>
      </c>
      <c r="R50" s="515">
        <v>39055273.189999998</v>
      </c>
      <c r="S50" s="504" t="str">
        <f t="shared" si="0"/>
        <v>32</v>
      </c>
    </row>
    <row r="51" spans="1:20" ht="15" x14ac:dyDescent="0.25">
      <c r="A51" s="513" t="s">
        <v>402</v>
      </c>
      <c r="B51" s="513" t="s">
        <v>1163</v>
      </c>
      <c r="C51" s="513" t="s">
        <v>783</v>
      </c>
      <c r="D51" s="513" t="s">
        <v>359</v>
      </c>
      <c r="E51" s="514">
        <v>12</v>
      </c>
      <c r="F51" s="514">
        <v>-7.0000000000000007E-2</v>
      </c>
      <c r="G51" s="514">
        <v>2038</v>
      </c>
      <c r="H51" s="515">
        <v>67203222.519999996</v>
      </c>
      <c r="I51" s="514">
        <v>4.22548163</v>
      </c>
      <c r="J51" s="515">
        <v>283965982.19999999</v>
      </c>
      <c r="K51" s="514">
        <v>12</v>
      </c>
      <c r="L51" s="515">
        <v>806438670.24000001</v>
      </c>
      <c r="M51" s="514">
        <v>7.7745179999999996</v>
      </c>
      <c r="N51" s="515">
        <v>522472663.13999999</v>
      </c>
      <c r="O51" s="514">
        <v>0.37677210999999999</v>
      </c>
      <c r="P51" s="515">
        <v>25320300.079999998</v>
      </c>
      <c r="Q51" s="515">
        <v>-4704225.58</v>
      </c>
      <c r="R51" s="515">
        <v>11520276.17</v>
      </c>
      <c r="S51" s="504" t="str">
        <f t="shared" si="0"/>
        <v>32</v>
      </c>
    </row>
    <row r="52" spans="1:20" ht="15" x14ac:dyDescent="0.25">
      <c r="A52" s="513" t="s">
        <v>402</v>
      </c>
      <c r="B52" s="513" t="s">
        <v>1163</v>
      </c>
      <c r="C52" s="513" t="s">
        <v>784</v>
      </c>
      <c r="D52" s="513" t="s">
        <v>359</v>
      </c>
      <c r="E52" s="514">
        <v>40</v>
      </c>
      <c r="F52" s="514">
        <v>-7.0000000000000007E-2</v>
      </c>
      <c r="G52" s="514">
        <v>2038</v>
      </c>
      <c r="H52" s="515">
        <v>90755946.840000004</v>
      </c>
      <c r="I52" s="514">
        <v>15.883307110000001</v>
      </c>
      <c r="J52" s="515">
        <v>1441504575.4100001</v>
      </c>
      <c r="K52" s="514">
        <v>32.43</v>
      </c>
      <c r="L52" s="515">
        <v>2943215356.02</v>
      </c>
      <c r="M52" s="514">
        <v>18.343941999999998</v>
      </c>
      <c r="N52" s="515">
        <v>1664821824.99</v>
      </c>
      <c r="O52" s="514">
        <v>0.48270552999999999</v>
      </c>
      <c r="P52" s="515">
        <v>43808397.539999999</v>
      </c>
      <c r="Q52" s="515">
        <v>-6352916.2800000003</v>
      </c>
      <c r="R52" s="515">
        <v>19932024.370000001</v>
      </c>
      <c r="S52" s="504" t="str">
        <f t="shared" si="0"/>
        <v>32</v>
      </c>
    </row>
    <row r="53" spans="1:20" ht="15" x14ac:dyDescent="0.25">
      <c r="A53" s="513" t="s">
        <v>402</v>
      </c>
      <c r="B53" s="513" t="s">
        <v>1163</v>
      </c>
      <c r="C53" s="513" t="s">
        <v>785</v>
      </c>
      <c r="D53" s="513" t="s">
        <v>405</v>
      </c>
      <c r="E53" s="514">
        <v>30</v>
      </c>
      <c r="F53" s="514">
        <v>-7.0000000000000007E-2</v>
      </c>
      <c r="G53" s="514">
        <v>2038</v>
      </c>
      <c r="H53" s="515">
        <v>123580437.05</v>
      </c>
      <c r="I53" s="514">
        <v>16.69538571</v>
      </c>
      <c r="J53" s="515">
        <v>2063223063.0899999</v>
      </c>
      <c r="K53" s="514">
        <v>28.91</v>
      </c>
      <c r="L53" s="515">
        <v>3572710435.1199999</v>
      </c>
      <c r="M53" s="514">
        <v>13.286844</v>
      </c>
      <c r="N53" s="515">
        <v>1641993988.54</v>
      </c>
      <c r="O53" s="514">
        <v>0.58683110999999999</v>
      </c>
      <c r="P53" s="515">
        <v>72520844.969999999</v>
      </c>
      <c r="Q53" s="515">
        <v>-8650630.5899999999</v>
      </c>
      <c r="R53" s="515">
        <v>32995665.899999999</v>
      </c>
      <c r="S53" s="504" t="str">
        <f t="shared" si="0"/>
        <v>32</v>
      </c>
    </row>
    <row r="54" spans="1:20" ht="15" x14ac:dyDescent="0.25">
      <c r="A54" s="513" t="s">
        <v>402</v>
      </c>
      <c r="B54" s="513" t="s">
        <v>1163</v>
      </c>
      <c r="C54" s="513" t="s">
        <v>786</v>
      </c>
      <c r="D54" s="513" t="s">
        <v>407</v>
      </c>
      <c r="E54" s="514">
        <v>20</v>
      </c>
      <c r="F54" s="514">
        <v>-7.0000000000000007E-2</v>
      </c>
      <c r="G54" s="514">
        <v>2038</v>
      </c>
      <c r="H54" s="515">
        <v>5031171.97</v>
      </c>
      <c r="I54" s="514">
        <v>10.288109159999999</v>
      </c>
      <c r="J54" s="515">
        <v>51761246.409999996</v>
      </c>
      <c r="K54" s="514">
        <v>19.88</v>
      </c>
      <c r="L54" s="515">
        <v>100019698.76000001</v>
      </c>
      <c r="M54" s="514">
        <v>10.266061000000001</v>
      </c>
      <c r="N54" s="515">
        <v>51650318.350000001</v>
      </c>
      <c r="O54" s="514">
        <v>0.51950534999999998</v>
      </c>
      <c r="P54" s="515">
        <v>2613720.75</v>
      </c>
      <c r="Q54" s="515">
        <v>-352182.04</v>
      </c>
      <c r="R54" s="515">
        <v>1189195.42</v>
      </c>
      <c r="S54" s="504" t="str">
        <f t="shared" si="0"/>
        <v>32</v>
      </c>
    </row>
    <row r="55" spans="1:20" ht="15" x14ac:dyDescent="0.25">
      <c r="A55" s="513" t="s">
        <v>402</v>
      </c>
      <c r="B55" s="513" t="s">
        <v>1163</v>
      </c>
      <c r="C55" s="513" t="s">
        <v>787</v>
      </c>
      <c r="D55" s="513" t="s">
        <v>123</v>
      </c>
      <c r="E55" s="514"/>
      <c r="F55" s="514">
        <v>-7.0000000000000007E-2</v>
      </c>
      <c r="G55" s="514">
        <v>2038</v>
      </c>
      <c r="H55" s="515">
        <v>286570778.38</v>
      </c>
      <c r="I55" s="514">
        <v>13.40141828</v>
      </c>
      <c r="J55" s="515">
        <v>3840454867.1100001</v>
      </c>
      <c r="K55" s="514">
        <v>25.900701399999999</v>
      </c>
      <c r="L55" s="515">
        <v>7422384160.1400003</v>
      </c>
      <c r="M55" s="514">
        <v>13.54268854</v>
      </c>
      <c r="N55" s="515">
        <v>3880938795.0100002</v>
      </c>
      <c r="O55" s="514">
        <v>0.50341232999999996</v>
      </c>
      <c r="P55" s="515">
        <v>144263263.34</v>
      </c>
      <c r="Q55" s="515">
        <v>-20059954.489999998</v>
      </c>
      <c r="R55" s="515">
        <v>65637161.859999999</v>
      </c>
      <c r="S55" s="504" t="str">
        <f t="shared" si="0"/>
        <v>32</v>
      </c>
    </row>
    <row r="56" spans="1:20" ht="15" x14ac:dyDescent="0.25">
      <c r="A56" s="513" t="s">
        <v>402</v>
      </c>
      <c r="B56" s="513" t="s">
        <v>1163</v>
      </c>
      <c r="C56" s="513" t="s">
        <v>808</v>
      </c>
      <c r="D56" s="513" t="s">
        <v>359</v>
      </c>
      <c r="E56" s="514">
        <v>40</v>
      </c>
      <c r="F56" s="514">
        <v>-0.05</v>
      </c>
      <c r="G56" s="514">
        <v>2038</v>
      </c>
      <c r="H56" s="515">
        <v>14297564.4</v>
      </c>
      <c r="I56" s="514">
        <v>16.92205925</v>
      </c>
      <c r="J56" s="515">
        <v>241944231.96000001</v>
      </c>
      <c r="K56" s="514">
        <v>33.78</v>
      </c>
      <c r="L56" s="515">
        <v>482971725.43000001</v>
      </c>
      <c r="M56" s="514">
        <v>18.439644999999999</v>
      </c>
      <c r="N56" s="515">
        <v>263642011.90000001</v>
      </c>
      <c r="O56" s="514">
        <v>0.50158208000000004</v>
      </c>
      <c r="P56" s="515">
        <v>7171402.04</v>
      </c>
      <c r="Q56" s="515">
        <v>-714878.22</v>
      </c>
      <c r="R56" s="515">
        <v>5803159.1600000001</v>
      </c>
      <c r="S56" s="504" t="str">
        <f t="shared" si="0"/>
        <v>32</v>
      </c>
    </row>
    <row r="57" spans="1:20" ht="15" x14ac:dyDescent="0.25">
      <c r="A57" s="513" t="s">
        <v>402</v>
      </c>
      <c r="B57" s="513" t="s">
        <v>1163</v>
      </c>
      <c r="C57" s="513" t="s">
        <v>809</v>
      </c>
      <c r="D57" s="513" t="s">
        <v>405</v>
      </c>
      <c r="E57" s="514">
        <v>30</v>
      </c>
      <c r="F57" s="514">
        <v>-0.05</v>
      </c>
      <c r="G57" s="514">
        <v>2038</v>
      </c>
      <c r="H57" s="515">
        <v>27067438.300000001</v>
      </c>
      <c r="I57" s="514">
        <v>13.629250020000001</v>
      </c>
      <c r="J57" s="515">
        <v>368908884.10000002</v>
      </c>
      <c r="K57" s="514">
        <v>27.66</v>
      </c>
      <c r="L57" s="515">
        <v>748685343.38</v>
      </c>
      <c r="M57" s="514">
        <v>14.783559</v>
      </c>
      <c r="N57" s="515">
        <v>400153071.08999997</v>
      </c>
      <c r="O57" s="514">
        <v>0.49126459</v>
      </c>
      <c r="P57" s="515">
        <v>13297273.890000001</v>
      </c>
      <c r="Q57" s="515">
        <v>-1353371.92</v>
      </c>
      <c r="R57" s="515">
        <v>10760266.460000001</v>
      </c>
      <c r="S57" s="504" t="str">
        <f t="shared" si="0"/>
        <v>32</v>
      </c>
    </row>
    <row r="58" spans="1:20" ht="15" x14ac:dyDescent="0.25">
      <c r="A58" s="513" t="s">
        <v>402</v>
      </c>
      <c r="B58" s="513" t="s">
        <v>1163</v>
      </c>
      <c r="C58" s="513" t="s">
        <v>810</v>
      </c>
      <c r="D58" s="513" t="s">
        <v>407</v>
      </c>
      <c r="E58" s="514">
        <v>20</v>
      </c>
      <c r="F58" s="514">
        <v>-0.05</v>
      </c>
      <c r="G58" s="514">
        <v>2038</v>
      </c>
      <c r="H58" s="515">
        <v>2588037.83</v>
      </c>
      <c r="I58" s="514">
        <v>10.804969570000001</v>
      </c>
      <c r="J58" s="515">
        <v>27963670</v>
      </c>
      <c r="K58" s="514">
        <v>19.77</v>
      </c>
      <c r="L58" s="515">
        <v>51165507.899999999</v>
      </c>
      <c r="M58" s="514">
        <v>9.7952659999999998</v>
      </c>
      <c r="N58" s="515">
        <v>25350518.960000001</v>
      </c>
      <c r="O58" s="514">
        <v>0.52972408999999998</v>
      </c>
      <c r="P58" s="515">
        <v>1370945.99</v>
      </c>
      <c r="Q58" s="515">
        <v>-129401.89</v>
      </c>
      <c r="R58" s="515">
        <v>1109381.0900000001</v>
      </c>
      <c r="S58" s="504" t="str">
        <f t="shared" si="0"/>
        <v>32</v>
      </c>
    </row>
    <row r="59" spans="1:20" ht="15" x14ac:dyDescent="0.25">
      <c r="A59" s="513" t="s">
        <v>402</v>
      </c>
      <c r="B59" s="513" t="s">
        <v>1163</v>
      </c>
      <c r="C59" s="513" t="s">
        <v>811</v>
      </c>
      <c r="D59" s="513" t="s">
        <v>123</v>
      </c>
      <c r="E59" s="514"/>
      <c r="F59" s="514">
        <v>-0.05</v>
      </c>
      <c r="G59" s="514">
        <v>2038</v>
      </c>
      <c r="H59" s="515">
        <v>43953040.530000001</v>
      </c>
      <c r="I59" s="514">
        <v>14.534074970000001</v>
      </c>
      <c r="J59" s="515">
        <v>638816786.05999994</v>
      </c>
      <c r="K59" s="514">
        <v>29.186207849999999</v>
      </c>
      <c r="L59" s="515">
        <v>1282822576.71</v>
      </c>
      <c r="M59" s="514">
        <v>15.67913377</v>
      </c>
      <c r="N59" s="515">
        <v>689145601.95000005</v>
      </c>
      <c r="O59" s="514">
        <v>0.49688535</v>
      </c>
      <c r="P59" s="515">
        <v>21839621.920000002</v>
      </c>
      <c r="Q59" s="515">
        <v>-2197652.0299999998</v>
      </c>
      <c r="R59" s="515">
        <v>17672806.710000001</v>
      </c>
      <c r="S59" s="504" t="str">
        <f t="shared" si="0"/>
        <v>32</v>
      </c>
    </row>
    <row r="60" spans="1:20" ht="15" x14ac:dyDescent="0.25">
      <c r="A60" s="513" t="s">
        <v>402</v>
      </c>
      <c r="B60" s="513" t="s">
        <v>1163</v>
      </c>
      <c r="C60" s="513" t="s">
        <v>830</v>
      </c>
      <c r="D60" s="513" t="s">
        <v>359</v>
      </c>
      <c r="E60" s="514">
        <v>40</v>
      </c>
      <c r="F60" s="514">
        <v>-0.02</v>
      </c>
      <c r="G60" s="514">
        <v>2038</v>
      </c>
      <c r="H60" s="515">
        <v>1410759</v>
      </c>
      <c r="I60" s="514">
        <v>16.365415840000001</v>
      </c>
      <c r="J60" s="515">
        <v>23087657.68</v>
      </c>
      <c r="K60" s="514">
        <v>33.83</v>
      </c>
      <c r="L60" s="515">
        <v>47725976.969999999</v>
      </c>
      <c r="M60" s="514">
        <v>18.451460000000001</v>
      </c>
      <c r="N60" s="515">
        <v>26030563.260000002</v>
      </c>
      <c r="O60" s="514">
        <v>0.47801455999999998</v>
      </c>
      <c r="P60" s="515">
        <v>674363.34</v>
      </c>
      <c r="Q60" s="515">
        <v>-28215.18</v>
      </c>
      <c r="R60" s="515">
        <v>592510.75</v>
      </c>
      <c r="S60" s="504" t="str">
        <f t="shared" si="0"/>
        <v>32</v>
      </c>
    </row>
    <row r="61" spans="1:20" ht="15" x14ac:dyDescent="0.25">
      <c r="A61" s="513" t="s">
        <v>402</v>
      </c>
      <c r="B61" s="513" t="s">
        <v>1163</v>
      </c>
      <c r="C61" s="513" t="s">
        <v>831</v>
      </c>
      <c r="D61" s="513" t="s">
        <v>405</v>
      </c>
      <c r="E61" s="514">
        <v>30</v>
      </c>
      <c r="F61" s="514">
        <v>-0.02</v>
      </c>
      <c r="G61" s="514">
        <v>2038</v>
      </c>
      <c r="H61" s="515">
        <v>44833.35</v>
      </c>
      <c r="I61" s="514">
        <v>41.726617019999999</v>
      </c>
      <c r="J61" s="515">
        <v>1870744.03</v>
      </c>
      <c r="K61" s="514">
        <v>28.76</v>
      </c>
      <c r="L61" s="515">
        <v>1289407.1499999999</v>
      </c>
      <c r="M61" s="514">
        <v>3.2341250000000001</v>
      </c>
      <c r="N61" s="515">
        <v>144996.66</v>
      </c>
      <c r="O61" s="514">
        <v>0.90529974000000002</v>
      </c>
      <c r="P61" s="515">
        <v>40587.620000000003</v>
      </c>
      <c r="Q61" s="515">
        <v>-896.67</v>
      </c>
      <c r="R61" s="515">
        <v>35661.19</v>
      </c>
      <c r="S61" s="504" t="str">
        <f t="shared" si="0"/>
        <v>32</v>
      </c>
      <c r="T61" s="394"/>
    </row>
    <row r="62" spans="1:20" ht="15" x14ac:dyDescent="0.25">
      <c r="A62" s="513" t="s">
        <v>402</v>
      </c>
      <c r="B62" s="513" t="s">
        <v>1163</v>
      </c>
      <c r="C62" s="513" t="s">
        <v>832</v>
      </c>
      <c r="D62" s="513" t="s">
        <v>123</v>
      </c>
      <c r="E62" s="514"/>
      <c r="F62" s="514">
        <v>-0.02</v>
      </c>
      <c r="G62" s="514">
        <v>2038</v>
      </c>
      <c r="H62" s="515">
        <v>1455592.35</v>
      </c>
      <c r="I62" s="514">
        <v>17.146560099999999</v>
      </c>
      <c r="J62" s="515">
        <v>24958401.710000001</v>
      </c>
      <c r="K62" s="514">
        <v>33.673840149999997</v>
      </c>
      <c r="L62" s="515">
        <v>49015384.119999997</v>
      </c>
      <c r="M62" s="514">
        <v>17.98275452</v>
      </c>
      <c r="N62" s="515">
        <v>26175559.920000002</v>
      </c>
      <c r="O62" s="514">
        <v>0.49117527</v>
      </c>
      <c r="P62" s="515">
        <v>714950.96</v>
      </c>
      <c r="Q62" s="515">
        <v>-29111.85</v>
      </c>
      <c r="R62" s="515">
        <v>628171.93999999994</v>
      </c>
      <c r="S62" s="504" t="str">
        <f t="shared" si="0"/>
        <v>32</v>
      </c>
      <c r="T62" s="394"/>
    </row>
    <row r="63" spans="1:20" ht="15" x14ac:dyDescent="0.25">
      <c r="A63" s="516" t="s">
        <v>402</v>
      </c>
      <c r="B63" s="516" t="s">
        <v>1163</v>
      </c>
      <c r="C63" s="516" t="s">
        <v>608</v>
      </c>
      <c r="D63" s="516" t="s">
        <v>359</v>
      </c>
      <c r="E63" s="517">
        <v>40</v>
      </c>
      <c r="F63" s="517">
        <v>-0.02</v>
      </c>
      <c r="G63" s="517">
        <v>2049</v>
      </c>
      <c r="H63" s="518">
        <v>656349.29</v>
      </c>
      <c r="I63" s="517">
        <v>9.8465859800000004</v>
      </c>
      <c r="J63" s="518">
        <v>6462799.7199999997</v>
      </c>
      <c r="K63" s="517">
        <v>39.31</v>
      </c>
      <c r="L63" s="518">
        <v>25801090.59</v>
      </c>
      <c r="M63" s="517">
        <v>29.5</v>
      </c>
      <c r="N63" s="518">
        <v>19362304.059999999</v>
      </c>
      <c r="O63" s="517">
        <v>0.25446014</v>
      </c>
      <c r="P63" s="518">
        <v>167014.73000000001</v>
      </c>
      <c r="Q63" s="518">
        <v>-13126.99</v>
      </c>
      <c r="R63" s="518">
        <v>-27875.81</v>
      </c>
      <c r="S63" s="504" t="str">
        <f t="shared" si="0"/>
        <v>33</v>
      </c>
      <c r="T63" s="394"/>
    </row>
    <row r="64" spans="1:20" ht="15" x14ac:dyDescent="0.25">
      <c r="A64" s="516" t="s">
        <v>402</v>
      </c>
      <c r="B64" s="516" t="s">
        <v>1163</v>
      </c>
      <c r="C64" s="516" t="s">
        <v>610</v>
      </c>
      <c r="D64" s="516" t="s">
        <v>123</v>
      </c>
      <c r="E64" s="517"/>
      <c r="F64" s="517">
        <v>-0.02</v>
      </c>
      <c r="G64" s="517">
        <v>2049</v>
      </c>
      <c r="H64" s="518">
        <v>656349.29</v>
      </c>
      <c r="I64" s="517">
        <v>9.8465859800000004</v>
      </c>
      <c r="J64" s="518">
        <v>6462799.7199999997</v>
      </c>
      <c r="K64" s="517">
        <v>39.31</v>
      </c>
      <c r="L64" s="518">
        <v>25801090.59</v>
      </c>
      <c r="M64" s="517">
        <v>29.5</v>
      </c>
      <c r="N64" s="518">
        <v>19362304.059999999</v>
      </c>
      <c r="O64" s="517">
        <v>0.25446014</v>
      </c>
      <c r="P64" s="518">
        <v>167014.73000000001</v>
      </c>
      <c r="Q64" s="518">
        <v>-13126.99</v>
      </c>
      <c r="R64" s="518">
        <v>-27875.81</v>
      </c>
      <c r="S64" s="504" t="str">
        <f t="shared" si="0"/>
        <v>33</v>
      </c>
      <c r="T64" s="394"/>
    </row>
    <row r="65" spans="1:20" ht="15" x14ac:dyDescent="0.25">
      <c r="A65" s="513" t="s">
        <v>402</v>
      </c>
      <c r="B65" s="513" t="s">
        <v>1163</v>
      </c>
      <c r="C65" s="513" t="s">
        <v>762</v>
      </c>
      <c r="D65" s="513" t="s">
        <v>359</v>
      </c>
      <c r="E65" s="514">
        <v>40</v>
      </c>
      <c r="F65" s="514">
        <v>-0.05</v>
      </c>
      <c r="G65" s="514">
        <v>2049</v>
      </c>
      <c r="H65" s="515">
        <v>2252400.6</v>
      </c>
      <c r="I65" s="514">
        <v>10.0858908</v>
      </c>
      <c r="J65" s="515">
        <v>22717466.48</v>
      </c>
      <c r="K65" s="514">
        <v>39.479999999999997</v>
      </c>
      <c r="L65" s="515">
        <v>88924775.689999998</v>
      </c>
      <c r="M65" s="514">
        <v>29.5</v>
      </c>
      <c r="N65" s="515">
        <v>66445817.700000003</v>
      </c>
      <c r="O65" s="514">
        <v>0.26548748999999999</v>
      </c>
      <c r="P65" s="515">
        <v>597984.18000000005</v>
      </c>
      <c r="Q65" s="515">
        <v>-112620.03</v>
      </c>
      <c r="R65" s="515">
        <v>489505.97</v>
      </c>
      <c r="S65" s="504" t="str">
        <f t="shared" si="0"/>
        <v>33</v>
      </c>
      <c r="T65" s="394"/>
    </row>
    <row r="66" spans="1:20" ht="15" x14ac:dyDescent="0.25">
      <c r="A66" s="513" t="s">
        <v>402</v>
      </c>
      <c r="B66" s="513" t="s">
        <v>1163</v>
      </c>
      <c r="C66" s="513" t="s">
        <v>763</v>
      </c>
      <c r="D66" s="513" t="s">
        <v>405</v>
      </c>
      <c r="E66" s="514">
        <v>30</v>
      </c>
      <c r="F66" s="514">
        <v>-0.05</v>
      </c>
      <c r="G66" s="514">
        <v>2049</v>
      </c>
      <c r="H66" s="515">
        <v>737638.72</v>
      </c>
      <c r="I66" s="514">
        <v>10.149588570000001</v>
      </c>
      <c r="J66" s="515">
        <v>7486729.5199999996</v>
      </c>
      <c r="K66" s="514">
        <v>29.99</v>
      </c>
      <c r="L66" s="515">
        <v>22121785.210000001</v>
      </c>
      <c r="M66" s="514">
        <v>19.775386000000001</v>
      </c>
      <c r="N66" s="515">
        <v>14587090.42</v>
      </c>
      <c r="O66" s="514">
        <v>0.35770626</v>
      </c>
      <c r="P66" s="515">
        <v>263857.99</v>
      </c>
      <c r="Q66" s="515">
        <v>-36881.94</v>
      </c>
      <c r="R66" s="515">
        <v>215992.44</v>
      </c>
      <c r="S66" s="504" t="str">
        <f t="shared" ref="S66:S129" si="1">MID(C66,5,2)</f>
        <v>33</v>
      </c>
      <c r="T66" s="394"/>
    </row>
    <row r="67" spans="1:20" ht="15" x14ac:dyDescent="0.25">
      <c r="A67" s="513" t="s">
        <v>402</v>
      </c>
      <c r="B67" s="513" t="s">
        <v>1163</v>
      </c>
      <c r="C67" s="513" t="s">
        <v>764</v>
      </c>
      <c r="D67" s="513" t="s">
        <v>407</v>
      </c>
      <c r="E67" s="514">
        <v>20</v>
      </c>
      <c r="F67" s="514">
        <v>-0.05</v>
      </c>
      <c r="G67" s="514">
        <v>2049</v>
      </c>
      <c r="H67" s="515">
        <v>399650.25</v>
      </c>
      <c r="I67" s="514">
        <v>10.04479858</v>
      </c>
      <c r="J67" s="515">
        <v>4014406.27</v>
      </c>
      <c r="K67" s="514">
        <v>20</v>
      </c>
      <c r="L67" s="515">
        <v>7993005</v>
      </c>
      <c r="M67" s="514">
        <v>10.2081</v>
      </c>
      <c r="N67" s="515">
        <v>4079669.72</v>
      </c>
      <c r="O67" s="514">
        <v>0.51407473999999997</v>
      </c>
      <c r="P67" s="515">
        <v>205450.1</v>
      </c>
      <c r="Q67" s="515">
        <v>-19982.509999999998</v>
      </c>
      <c r="R67" s="515">
        <v>168180.11</v>
      </c>
      <c r="S67" s="504" t="str">
        <f t="shared" si="1"/>
        <v>33</v>
      </c>
    </row>
    <row r="68" spans="1:20" ht="15" x14ac:dyDescent="0.25">
      <c r="A68" s="513" t="s">
        <v>402</v>
      </c>
      <c r="B68" s="513" t="s">
        <v>1163</v>
      </c>
      <c r="C68" s="513" t="s">
        <v>765</v>
      </c>
      <c r="D68" s="513" t="s">
        <v>123</v>
      </c>
      <c r="E68" s="514"/>
      <c r="F68" s="514">
        <v>-0.05</v>
      </c>
      <c r="G68" s="514">
        <v>2049</v>
      </c>
      <c r="H68" s="515">
        <v>3389689.57</v>
      </c>
      <c r="I68" s="514">
        <v>10.09490738</v>
      </c>
      <c r="J68" s="515">
        <v>34218602.270000003</v>
      </c>
      <c r="K68" s="514">
        <v>35.118132039999999</v>
      </c>
      <c r="L68" s="515">
        <v>119039565.90000001</v>
      </c>
      <c r="M68" s="514">
        <v>25.109254419999999</v>
      </c>
      <c r="N68" s="515">
        <v>85112577.829999998</v>
      </c>
      <c r="O68" s="514">
        <v>0.31486430999999998</v>
      </c>
      <c r="P68" s="515">
        <v>1067292.27</v>
      </c>
      <c r="Q68" s="515">
        <v>-169484.48</v>
      </c>
      <c r="R68" s="515">
        <v>873678.52</v>
      </c>
      <c r="S68" s="504" t="str">
        <f t="shared" si="1"/>
        <v>33</v>
      </c>
    </row>
    <row r="69" spans="1:20" ht="15" x14ac:dyDescent="0.25">
      <c r="A69" s="513" t="s">
        <v>402</v>
      </c>
      <c r="B69" s="513" t="s">
        <v>1163</v>
      </c>
      <c r="C69" s="513" t="s">
        <v>1039</v>
      </c>
      <c r="D69" s="513" t="s">
        <v>359</v>
      </c>
      <c r="E69" s="514">
        <v>12</v>
      </c>
      <c r="F69" s="514">
        <v>-7.0000000000000007E-2</v>
      </c>
      <c r="G69" s="514">
        <v>2049</v>
      </c>
      <c r="H69" s="515">
        <v>23151.21</v>
      </c>
      <c r="I69" s="514">
        <v>0.5</v>
      </c>
      <c r="J69" s="515">
        <v>11575.61</v>
      </c>
      <c r="K69" s="514">
        <v>12</v>
      </c>
      <c r="L69" s="515">
        <v>277814.52</v>
      </c>
      <c r="M69" s="514">
        <v>11.5</v>
      </c>
      <c r="N69" s="515">
        <v>266238.92</v>
      </c>
      <c r="O69" s="514">
        <v>4.4583409999999997E-2</v>
      </c>
      <c r="P69" s="515">
        <v>1032.1600000000001</v>
      </c>
      <c r="Q69" s="515">
        <v>-1620.58</v>
      </c>
      <c r="R69" s="515">
        <v>1258.22</v>
      </c>
      <c r="S69" s="504" t="str">
        <f t="shared" si="1"/>
        <v>33</v>
      </c>
    </row>
    <row r="70" spans="1:20" ht="15" x14ac:dyDescent="0.25">
      <c r="A70" s="513" t="s">
        <v>402</v>
      </c>
      <c r="B70" s="513" t="s">
        <v>1163</v>
      </c>
      <c r="C70" s="513" t="s">
        <v>788</v>
      </c>
      <c r="D70" s="513" t="s">
        <v>359</v>
      </c>
      <c r="E70" s="514">
        <v>40</v>
      </c>
      <c r="F70" s="514">
        <v>-7.0000000000000007E-2</v>
      </c>
      <c r="G70" s="514">
        <v>2049</v>
      </c>
      <c r="H70" s="515">
        <v>1157445.32</v>
      </c>
      <c r="I70" s="514">
        <v>9.1642599499999999</v>
      </c>
      <c r="J70" s="515">
        <v>10607129.789999999</v>
      </c>
      <c r="K70" s="514">
        <v>38.4</v>
      </c>
      <c r="L70" s="515">
        <v>44445900.289999999</v>
      </c>
      <c r="M70" s="514">
        <v>29.5</v>
      </c>
      <c r="N70" s="515">
        <v>34144636.939999998</v>
      </c>
      <c r="O70" s="514">
        <v>0.24799926</v>
      </c>
      <c r="P70" s="515">
        <v>287045.58</v>
      </c>
      <c r="Q70" s="515">
        <v>-81021.17</v>
      </c>
      <c r="R70" s="515">
        <v>349914.63</v>
      </c>
      <c r="S70" s="504" t="str">
        <f t="shared" si="1"/>
        <v>33</v>
      </c>
    </row>
    <row r="71" spans="1:20" ht="15" x14ac:dyDescent="0.25">
      <c r="A71" s="513" t="s">
        <v>402</v>
      </c>
      <c r="B71" s="513" t="s">
        <v>1163</v>
      </c>
      <c r="C71" s="513" t="s">
        <v>789</v>
      </c>
      <c r="D71" s="513" t="s">
        <v>405</v>
      </c>
      <c r="E71" s="514">
        <v>30</v>
      </c>
      <c r="F71" s="514">
        <v>-7.0000000000000007E-2</v>
      </c>
      <c r="G71" s="514">
        <v>2049</v>
      </c>
      <c r="H71" s="515">
        <v>13576224.02</v>
      </c>
      <c r="I71" s="514">
        <v>10.466486120000001</v>
      </c>
      <c r="J71" s="515">
        <v>142095360.22999999</v>
      </c>
      <c r="K71" s="514">
        <v>30</v>
      </c>
      <c r="L71" s="515">
        <v>407286720.60000002</v>
      </c>
      <c r="M71" s="514">
        <v>19.485554</v>
      </c>
      <c r="N71" s="515">
        <v>264540246.25999999</v>
      </c>
      <c r="O71" s="514">
        <v>0.37500762999999998</v>
      </c>
      <c r="P71" s="515">
        <v>5091187.62</v>
      </c>
      <c r="Q71" s="515">
        <v>-950335.68</v>
      </c>
      <c r="R71" s="515">
        <v>6206265.3799999999</v>
      </c>
      <c r="S71" s="504" t="str">
        <f t="shared" si="1"/>
        <v>33</v>
      </c>
    </row>
    <row r="72" spans="1:20" ht="15" x14ac:dyDescent="0.25">
      <c r="A72" s="513" t="s">
        <v>402</v>
      </c>
      <c r="B72" s="513" t="s">
        <v>1163</v>
      </c>
      <c r="C72" s="513" t="s">
        <v>790</v>
      </c>
      <c r="D72" s="513" t="s">
        <v>407</v>
      </c>
      <c r="E72" s="514">
        <v>20</v>
      </c>
      <c r="F72" s="514">
        <v>-7.0000000000000007E-2</v>
      </c>
      <c r="G72" s="514">
        <v>2049</v>
      </c>
      <c r="H72" s="515">
        <v>665350.71</v>
      </c>
      <c r="I72" s="514">
        <v>9.0533330799999998</v>
      </c>
      <c r="J72" s="515">
        <v>6023641.5999999996</v>
      </c>
      <c r="K72" s="514">
        <v>20</v>
      </c>
      <c r="L72" s="515">
        <v>13307014.199999999</v>
      </c>
      <c r="M72" s="514">
        <v>11.146444000000001</v>
      </c>
      <c r="N72" s="515">
        <v>7416294.4299999997</v>
      </c>
      <c r="O72" s="514">
        <v>0.47366525999999998</v>
      </c>
      <c r="P72" s="515">
        <v>315153.52</v>
      </c>
      <c r="Q72" s="515">
        <v>-46574.55</v>
      </c>
      <c r="R72" s="515">
        <v>384178.81</v>
      </c>
      <c r="S72" s="504" t="str">
        <f t="shared" si="1"/>
        <v>33</v>
      </c>
    </row>
    <row r="73" spans="1:20" ht="15" x14ac:dyDescent="0.25">
      <c r="A73" s="513" t="s">
        <v>402</v>
      </c>
      <c r="B73" s="513" t="s">
        <v>1163</v>
      </c>
      <c r="C73" s="513" t="s">
        <v>791</v>
      </c>
      <c r="D73" s="513" t="s">
        <v>123</v>
      </c>
      <c r="E73" s="514"/>
      <c r="F73" s="514">
        <v>-7.0000000000000007E-2</v>
      </c>
      <c r="G73" s="514">
        <v>2049</v>
      </c>
      <c r="H73" s="515">
        <v>15422171.26</v>
      </c>
      <c r="I73" s="514">
        <v>10.292824830000001</v>
      </c>
      <c r="J73" s="515">
        <v>158737707.22</v>
      </c>
      <c r="K73" s="514">
        <v>30.171980439999999</v>
      </c>
      <c r="L73" s="515">
        <v>465317449.61000001</v>
      </c>
      <c r="M73" s="514">
        <v>19.865388039999999</v>
      </c>
      <c r="N73" s="515">
        <v>306367416.54000002</v>
      </c>
      <c r="O73" s="514">
        <v>0.36923587000000002</v>
      </c>
      <c r="P73" s="515">
        <v>5694418.8799999999</v>
      </c>
      <c r="Q73" s="515">
        <v>-1079551.99</v>
      </c>
      <c r="R73" s="515">
        <v>6941617.04</v>
      </c>
      <c r="S73" s="504" t="str">
        <f t="shared" si="1"/>
        <v>33</v>
      </c>
    </row>
    <row r="74" spans="1:20" ht="15" x14ac:dyDescent="0.25">
      <c r="A74" s="513" t="s">
        <v>402</v>
      </c>
      <c r="B74" s="513" t="s">
        <v>1163</v>
      </c>
      <c r="C74" s="513" t="s">
        <v>812</v>
      </c>
      <c r="D74" s="513" t="s">
        <v>359</v>
      </c>
      <c r="E74" s="514">
        <v>40</v>
      </c>
      <c r="F74" s="514">
        <v>-0.05</v>
      </c>
      <c r="G74" s="514">
        <v>2049</v>
      </c>
      <c r="H74" s="515">
        <v>10152577.220000001</v>
      </c>
      <c r="I74" s="514">
        <v>10.496220429999999</v>
      </c>
      <c r="J74" s="515">
        <v>106563688.44</v>
      </c>
      <c r="K74" s="514">
        <v>40</v>
      </c>
      <c r="L74" s="515">
        <v>406103088.80000001</v>
      </c>
      <c r="M74" s="514">
        <v>29.5</v>
      </c>
      <c r="N74" s="515">
        <v>299501027.99000001</v>
      </c>
      <c r="O74" s="514">
        <v>0.27554590000000001</v>
      </c>
      <c r="P74" s="515">
        <v>2797501</v>
      </c>
      <c r="Q74" s="515">
        <v>-507628.86</v>
      </c>
      <c r="R74" s="515">
        <v>3273524.44</v>
      </c>
      <c r="S74" s="504" t="str">
        <f t="shared" si="1"/>
        <v>33</v>
      </c>
    </row>
    <row r="75" spans="1:20" ht="15" x14ac:dyDescent="0.25">
      <c r="A75" s="513" t="s">
        <v>402</v>
      </c>
      <c r="B75" s="513" t="s">
        <v>1163</v>
      </c>
      <c r="C75" s="513" t="s">
        <v>813</v>
      </c>
      <c r="D75" s="513" t="s">
        <v>405</v>
      </c>
      <c r="E75" s="514">
        <v>30</v>
      </c>
      <c r="F75" s="514">
        <v>-0.05</v>
      </c>
      <c r="G75" s="514">
        <v>2049</v>
      </c>
      <c r="H75" s="515">
        <v>3745912.26</v>
      </c>
      <c r="I75" s="514">
        <v>5.9460330700000004</v>
      </c>
      <c r="J75" s="515">
        <v>22273318.170000002</v>
      </c>
      <c r="K75" s="514">
        <v>29.29</v>
      </c>
      <c r="L75" s="515">
        <v>109717770.09999999</v>
      </c>
      <c r="M75" s="514">
        <v>23.292283000000001</v>
      </c>
      <c r="N75" s="515">
        <v>87250848.450000003</v>
      </c>
      <c r="O75" s="514">
        <v>0.21513173999999999</v>
      </c>
      <c r="P75" s="515">
        <v>805864.61</v>
      </c>
      <c r="Q75" s="515">
        <v>-187295.61</v>
      </c>
      <c r="R75" s="515">
        <v>942990.73</v>
      </c>
      <c r="S75" s="504" t="str">
        <f t="shared" si="1"/>
        <v>33</v>
      </c>
    </row>
    <row r="76" spans="1:20" ht="15" x14ac:dyDescent="0.25">
      <c r="A76" s="513" t="s">
        <v>402</v>
      </c>
      <c r="B76" s="513" t="s">
        <v>1163</v>
      </c>
      <c r="C76" s="513" t="s">
        <v>814</v>
      </c>
      <c r="D76" s="513" t="s">
        <v>407</v>
      </c>
      <c r="E76" s="514">
        <v>20</v>
      </c>
      <c r="F76" s="514">
        <v>-0.05</v>
      </c>
      <c r="G76" s="514">
        <v>2049</v>
      </c>
      <c r="H76" s="515">
        <v>67847.259999999995</v>
      </c>
      <c r="I76" s="514">
        <v>5.2530812600000001</v>
      </c>
      <c r="J76" s="515">
        <v>356407.17</v>
      </c>
      <c r="K76" s="514">
        <v>20</v>
      </c>
      <c r="L76" s="515">
        <v>1356945.2</v>
      </c>
      <c r="M76" s="514">
        <v>14.852499</v>
      </c>
      <c r="N76" s="515">
        <v>1007701.36</v>
      </c>
      <c r="O76" s="514">
        <v>0.27024377999999999</v>
      </c>
      <c r="P76" s="515">
        <v>18335.3</v>
      </c>
      <c r="Q76" s="515">
        <v>-3392.36</v>
      </c>
      <c r="R76" s="515">
        <v>21455.24</v>
      </c>
      <c r="S76" s="504" t="str">
        <f t="shared" si="1"/>
        <v>33</v>
      </c>
    </row>
    <row r="77" spans="1:20" ht="15" x14ac:dyDescent="0.25">
      <c r="A77" s="513" t="s">
        <v>402</v>
      </c>
      <c r="B77" s="513" t="s">
        <v>1163</v>
      </c>
      <c r="C77" s="513" t="s">
        <v>815</v>
      </c>
      <c r="D77" s="513" t="s">
        <v>123</v>
      </c>
      <c r="E77" s="514"/>
      <c r="F77" s="514">
        <v>-0.05</v>
      </c>
      <c r="G77" s="514">
        <v>2049</v>
      </c>
      <c r="H77" s="515">
        <v>13966336.74</v>
      </c>
      <c r="I77" s="514">
        <v>9.2503436099999998</v>
      </c>
      <c r="J77" s="515">
        <v>129193413.78</v>
      </c>
      <c r="K77" s="514">
        <v>37.030311789999999</v>
      </c>
      <c r="L77" s="515">
        <v>517177804.10000002</v>
      </c>
      <c r="M77" s="514">
        <v>27.763871439999999</v>
      </c>
      <c r="N77" s="515">
        <v>387759577.80000001</v>
      </c>
      <c r="O77" s="514">
        <v>0.25931644999999998</v>
      </c>
      <c r="P77" s="515">
        <v>3621700.91</v>
      </c>
      <c r="Q77" s="515">
        <v>-698316.84</v>
      </c>
      <c r="R77" s="515">
        <v>4237970.41</v>
      </c>
      <c r="S77" s="504" t="str">
        <f t="shared" si="1"/>
        <v>33</v>
      </c>
    </row>
    <row r="78" spans="1:20" ht="15" x14ac:dyDescent="0.25">
      <c r="A78" s="513" t="s">
        <v>402</v>
      </c>
      <c r="B78" s="513" t="s">
        <v>1163</v>
      </c>
      <c r="C78" s="513" t="s">
        <v>833</v>
      </c>
      <c r="D78" s="513" t="s">
        <v>405</v>
      </c>
      <c r="E78" s="514">
        <v>30</v>
      </c>
      <c r="F78" s="514">
        <v>-0.02</v>
      </c>
      <c r="G78" s="514">
        <v>2049</v>
      </c>
      <c r="H78" s="515">
        <v>904.61</v>
      </c>
      <c r="I78" s="514">
        <v>10.5</v>
      </c>
      <c r="J78" s="515">
        <v>9498.41</v>
      </c>
      <c r="K78" s="514">
        <v>30</v>
      </c>
      <c r="L78" s="515">
        <v>27138.3</v>
      </c>
      <c r="M78" s="514">
        <v>19.454546000000001</v>
      </c>
      <c r="N78" s="515">
        <v>17598.78</v>
      </c>
      <c r="O78" s="514">
        <v>0.35854124999999998</v>
      </c>
      <c r="P78" s="515">
        <v>324.33999999999997</v>
      </c>
      <c r="Q78" s="515">
        <v>-18.09</v>
      </c>
      <c r="R78" s="515">
        <v>322.32</v>
      </c>
      <c r="S78" s="504" t="str">
        <f t="shared" si="1"/>
        <v>33</v>
      </c>
    </row>
    <row r="79" spans="1:20" ht="15" x14ac:dyDescent="0.25">
      <c r="A79" s="513" t="s">
        <v>402</v>
      </c>
      <c r="B79" s="513" t="s">
        <v>1163</v>
      </c>
      <c r="C79" s="513" t="s">
        <v>834</v>
      </c>
      <c r="D79" s="513" t="s">
        <v>123</v>
      </c>
      <c r="E79" s="514"/>
      <c r="F79" s="514">
        <v>-0.02</v>
      </c>
      <c r="G79" s="514">
        <v>2049</v>
      </c>
      <c r="H79" s="515">
        <v>904.61</v>
      </c>
      <c r="I79" s="514">
        <v>10.5</v>
      </c>
      <c r="J79" s="515">
        <v>9498.41</v>
      </c>
      <c r="K79" s="514">
        <v>30</v>
      </c>
      <c r="L79" s="515">
        <v>27138.3</v>
      </c>
      <c r="M79" s="514">
        <v>19.454546000000001</v>
      </c>
      <c r="N79" s="515">
        <v>17598.78</v>
      </c>
      <c r="O79" s="514">
        <v>0.35854124999999998</v>
      </c>
      <c r="P79" s="515">
        <v>324.33999999999997</v>
      </c>
      <c r="Q79" s="515">
        <v>-18.09</v>
      </c>
      <c r="R79" s="515">
        <v>322.32</v>
      </c>
      <c r="S79" s="504" t="str">
        <f t="shared" si="1"/>
        <v>33</v>
      </c>
    </row>
    <row r="80" spans="1:20" ht="15" x14ac:dyDescent="0.25">
      <c r="A80" s="516" t="s">
        <v>402</v>
      </c>
      <c r="B80" s="516" t="s">
        <v>1163</v>
      </c>
      <c r="C80" s="516" t="s">
        <v>611</v>
      </c>
      <c r="D80" s="516" t="s">
        <v>359</v>
      </c>
      <c r="E80" s="517">
        <v>40</v>
      </c>
      <c r="F80" s="517">
        <v>-0.02</v>
      </c>
      <c r="G80" s="517">
        <v>2049</v>
      </c>
      <c r="H80" s="518">
        <v>242333.96</v>
      </c>
      <c r="I80" s="517">
        <v>10.309234780000001</v>
      </c>
      <c r="J80" s="518">
        <v>2498277.69</v>
      </c>
      <c r="K80" s="517">
        <v>39.79</v>
      </c>
      <c r="L80" s="518">
        <v>9642468.2699999996</v>
      </c>
      <c r="M80" s="517">
        <v>29.5</v>
      </c>
      <c r="N80" s="518">
        <v>7148851.8200000003</v>
      </c>
      <c r="O80" s="517">
        <v>0.26387152000000003</v>
      </c>
      <c r="P80" s="518">
        <v>63945.03</v>
      </c>
      <c r="Q80" s="518">
        <v>-4846.68</v>
      </c>
      <c r="R80" s="518">
        <v>-122817.35</v>
      </c>
      <c r="S80" s="504" t="str">
        <f t="shared" si="1"/>
        <v>34</v>
      </c>
    </row>
    <row r="81" spans="1:20" ht="15" x14ac:dyDescent="0.25">
      <c r="A81" s="516" t="s">
        <v>402</v>
      </c>
      <c r="B81" s="516" t="s">
        <v>1163</v>
      </c>
      <c r="C81" s="516" t="s">
        <v>613</v>
      </c>
      <c r="D81" s="516" t="s">
        <v>123</v>
      </c>
      <c r="E81" s="517"/>
      <c r="F81" s="517">
        <v>-0.02</v>
      </c>
      <c r="G81" s="517">
        <v>2049</v>
      </c>
      <c r="H81" s="518">
        <v>242333.96</v>
      </c>
      <c r="I81" s="517">
        <v>10.309234780000001</v>
      </c>
      <c r="J81" s="518">
        <v>2498277.69</v>
      </c>
      <c r="K81" s="517">
        <v>39.79</v>
      </c>
      <c r="L81" s="518">
        <v>9642468.2699999996</v>
      </c>
      <c r="M81" s="517">
        <v>29.5</v>
      </c>
      <c r="N81" s="518">
        <v>7148851.8200000003</v>
      </c>
      <c r="O81" s="517">
        <v>0.26387152000000003</v>
      </c>
      <c r="P81" s="518">
        <v>63945.03</v>
      </c>
      <c r="Q81" s="518">
        <v>-4846.68</v>
      </c>
      <c r="R81" s="518">
        <v>-122817.35</v>
      </c>
      <c r="S81" s="504" t="str">
        <f t="shared" si="1"/>
        <v>34</v>
      </c>
      <c r="T81" s="394"/>
    </row>
    <row r="82" spans="1:20" ht="15" x14ac:dyDescent="0.25">
      <c r="A82" s="513" t="s">
        <v>402</v>
      </c>
      <c r="B82" s="513" t="s">
        <v>1163</v>
      </c>
      <c r="C82" s="513" t="s">
        <v>766</v>
      </c>
      <c r="D82" s="513" t="s">
        <v>359</v>
      </c>
      <c r="E82" s="514">
        <v>40</v>
      </c>
      <c r="F82" s="514">
        <v>-0.05</v>
      </c>
      <c r="G82" s="514">
        <v>2049</v>
      </c>
      <c r="H82" s="515">
        <v>2214031.27</v>
      </c>
      <c r="I82" s="514">
        <v>10.1274415</v>
      </c>
      <c r="J82" s="515">
        <v>22422472.18</v>
      </c>
      <c r="K82" s="514">
        <v>39.549999999999997</v>
      </c>
      <c r="L82" s="515">
        <v>87564936.730000004</v>
      </c>
      <c r="M82" s="514">
        <v>29.5</v>
      </c>
      <c r="N82" s="515">
        <v>65313922.469999999</v>
      </c>
      <c r="O82" s="514">
        <v>0.26672681999999998</v>
      </c>
      <c r="P82" s="515">
        <v>590541.53</v>
      </c>
      <c r="Q82" s="515">
        <v>-110701.56</v>
      </c>
      <c r="R82" s="515">
        <v>497212.09</v>
      </c>
      <c r="S82" s="504" t="str">
        <f t="shared" si="1"/>
        <v>34</v>
      </c>
      <c r="T82" s="394"/>
    </row>
    <row r="83" spans="1:20" ht="15" x14ac:dyDescent="0.25">
      <c r="A83" s="513" t="s">
        <v>402</v>
      </c>
      <c r="B83" s="513" t="s">
        <v>1163</v>
      </c>
      <c r="C83" s="513" t="s">
        <v>767</v>
      </c>
      <c r="D83" s="513" t="s">
        <v>405</v>
      </c>
      <c r="E83" s="514">
        <v>30</v>
      </c>
      <c r="F83" s="514">
        <v>-0.05</v>
      </c>
      <c r="G83" s="514">
        <v>2049</v>
      </c>
      <c r="H83" s="515">
        <v>803468.65</v>
      </c>
      <c r="I83" s="514">
        <v>9.5376334000000007</v>
      </c>
      <c r="J83" s="515">
        <v>7663189.4400000004</v>
      </c>
      <c r="K83" s="514">
        <v>29.92</v>
      </c>
      <c r="L83" s="515">
        <v>24039782.010000002</v>
      </c>
      <c r="M83" s="514">
        <v>20.311198000000001</v>
      </c>
      <c r="N83" s="515">
        <v>16319410.84</v>
      </c>
      <c r="O83" s="514">
        <v>0.33724387</v>
      </c>
      <c r="P83" s="515">
        <v>270964.88</v>
      </c>
      <c r="Q83" s="515">
        <v>-40173.43</v>
      </c>
      <c r="R83" s="515">
        <v>228141.47</v>
      </c>
      <c r="S83" s="504" t="str">
        <f t="shared" si="1"/>
        <v>34</v>
      </c>
      <c r="T83" s="394"/>
    </row>
    <row r="84" spans="1:20" ht="15" x14ac:dyDescent="0.25">
      <c r="A84" s="513" t="s">
        <v>402</v>
      </c>
      <c r="B84" s="513" t="s">
        <v>1163</v>
      </c>
      <c r="C84" s="513" t="s">
        <v>768</v>
      </c>
      <c r="D84" s="513" t="s">
        <v>407</v>
      </c>
      <c r="E84" s="514">
        <v>20</v>
      </c>
      <c r="F84" s="514">
        <v>-0.05</v>
      </c>
      <c r="G84" s="514">
        <v>2049</v>
      </c>
      <c r="H84" s="515">
        <v>344586.84</v>
      </c>
      <c r="I84" s="514">
        <v>9.5021592199999994</v>
      </c>
      <c r="J84" s="515">
        <v>3274319.02</v>
      </c>
      <c r="K84" s="514">
        <v>20</v>
      </c>
      <c r="L84" s="515">
        <v>6891736.7999999998</v>
      </c>
      <c r="M84" s="514">
        <v>10.732236</v>
      </c>
      <c r="N84" s="515">
        <v>3698187.29</v>
      </c>
      <c r="O84" s="514">
        <v>0.48655764000000001</v>
      </c>
      <c r="P84" s="515">
        <v>167661.35999999999</v>
      </c>
      <c r="Q84" s="515">
        <v>-17229.34</v>
      </c>
      <c r="R84" s="515">
        <v>141164.09</v>
      </c>
      <c r="S84" s="504" t="str">
        <f t="shared" si="1"/>
        <v>34</v>
      </c>
      <c r="T84" s="394"/>
    </row>
    <row r="85" spans="1:20" ht="15" x14ac:dyDescent="0.25">
      <c r="A85" s="513" t="s">
        <v>402</v>
      </c>
      <c r="B85" s="513" t="s">
        <v>1163</v>
      </c>
      <c r="C85" s="513" t="s">
        <v>769</v>
      </c>
      <c r="D85" s="513" t="s">
        <v>123</v>
      </c>
      <c r="E85" s="514"/>
      <c r="F85" s="514">
        <v>-0.05</v>
      </c>
      <c r="G85" s="514">
        <v>2049</v>
      </c>
      <c r="H85" s="515">
        <v>3362086.76</v>
      </c>
      <c r="I85" s="514">
        <v>9.9224032599999994</v>
      </c>
      <c r="J85" s="515">
        <v>33359980.629999999</v>
      </c>
      <c r="K85" s="514">
        <v>35.244913050000001</v>
      </c>
      <c r="L85" s="515">
        <v>118496455.54000001</v>
      </c>
      <c r="M85" s="514">
        <v>25.380523069999999</v>
      </c>
      <c r="N85" s="515">
        <v>85331520.590000004</v>
      </c>
      <c r="O85" s="514">
        <v>0.30610981999999998</v>
      </c>
      <c r="P85" s="515">
        <v>1029167.77</v>
      </c>
      <c r="Q85" s="515">
        <v>-168104.34</v>
      </c>
      <c r="R85" s="515">
        <v>866517.65</v>
      </c>
      <c r="S85" s="504" t="str">
        <f t="shared" si="1"/>
        <v>34</v>
      </c>
      <c r="T85" s="394"/>
    </row>
    <row r="86" spans="1:20" ht="15" x14ac:dyDescent="0.25">
      <c r="A86" s="513" t="s">
        <v>402</v>
      </c>
      <c r="B86" s="513" t="s">
        <v>1163</v>
      </c>
      <c r="C86" s="513" t="s">
        <v>1040</v>
      </c>
      <c r="D86" s="513" t="s">
        <v>359</v>
      </c>
      <c r="E86" s="514">
        <v>12</v>
      </c>
      <c r="F86" s="514">
        <v>-7.0000000000000007E-2</v>
      </c>
      <c r="G86" s="514">
        <v>2049</v>
      </c>
      <c r="H86" s="515">
        <v>20362.189999999999</v>
      </c>
      <c r="I86" s="514">
        <v>0.5</v>
      </c>
      <c r="J86" s="515">
        <v>10181.1</v>
      </c>
      <c r="K86" s="514">
        <v>12</v>
      </c>
      <c r="L86" s="515">
        <v>244346.28</v>
      </c>
      <c r="M86" s="514">
        <v>11.5</v>
      </c>
      <c r="N86" s="515">
        <v>234165.19</v>
      </c>
      <c r="O86" s="514">
        <v>4.4583119999999997E-2</v>
      </c>
      <c r="P86" s="515">
        <v>907.81</v>
      </c>
      <c r="Q86" s="515">
        <v>-1425.35</v>
      </c>
      <c r="R86" s="515">
        <v>1105.3</v>
      </c>
      <c r="S86" s="504" t="str">
        <f t="shared" si="1"/>
        <v>34</v>
      </c>
      <c r="T86" s="394"/>
    </row>
    <row r="87" spans="1:20" ht="15" x14ac:dyDescent="0.25">
      <c r="A87" s="513" t="s">
        <v>402</v>
      </c>
      <c r="B87" s="513" t="s">
        <v>1163</v>
      </c>
      <c r="C87" s="513" t="s">
        <v>792</v>
      </c>
      <c r="D87" s="513" t="s">
        <v>359</v>
      </c>
      <c r="E87" s="514">
        <v>40</v>
      </c>
      <c r="F87" s="514">
        <v>-7.0000000000000007E-2</v>
      </c>
      <c r="G87" s="514">
        <v>2049</v>
      </c>
      <c r="H87" s="515">
        <v>1101199.96</v>
      </c>
      <c r="I87" s="514">
        <v>9.4058038699999997</v>
      </c>
      <c r="J87" s="515">
        <v>10357670.85</v>
      </c>
      <c r="K87" s="514">
        <v>38.68</v>
      </c>
      <c r="L87" s="515">
        <v>42594414.450000003</v>
      </c>
      <c r="M87" s="514">
        <v>29.5</v>
      </c>
      <c r="N87" s="515">
        <v>32485398.82</v>
      </c>
      <c r="O87" s="514">
        <v>0.25394339999999999</v>
      </c>
      <c r="P87" s="515">
        <v>279642.46000000002</v>
      </c>
      <c r="Q87" s="515">
        <v>-77084</v>
      </c>
      <c r="R87" s="515">
        <v>340476.72</v>
      </c>
      <c r="S87" s="504" t="str">
        <f t="shared" si="1"/>
        <v>34</v>
      </c>
      <c r="T87" s="394"/>
    </row>
    <row r="88" spans="1:20" ht="15" x14ac:dyDescent="0.25">
      <c r="A88" s="513" t="s">
        <v>402</v>
      </c>
      <c r="B88" s="513" t="s">
        <v>1163</v>
      </c>
      <c r="C88" s="513" t="s">
        <v>793</v>
      </c>
      <c r="D88" s="513" t="s">
        <v>405</v>
      </c>
      <c r="E88" s="514">
        <v>30</v>
      </c>
      <c r="F88" s="514">
        <v>-7.0000000000000007E-2</v>
      </c>
      <c r="G88" s="514">
        <v>2049</v>
      </c>
      <c r="H88" s="515">
        <v>13433863.689999999</v>
      </c>
      <c r="I88" s="514">
        <v>10.5</v>
      </c>
      <c r="J88" s="515">
        <v>141055568.75</v>
      </c>
      <c r="K88" s="514">
        <v>30</v>
      </c>
      <c r="L88" s="515">
        <v>403015910.69999999</v>
      </c>
      <c r="M88" s="514">
        <v>19.454546000000001</v>
      </c>
      <c r="N88" s="515">
        <v>261349719.11000001</v>
      </c>
      <c r="O88" s="514">
        <v>0.37612120999999998</v>
      </c>
      <c r="P88" s="515">
        <v>5052761.0599999996</v>
      </c>
      <c r="Q88" s="515">
        <v>-940370.46</v>
      </c>
      <c r="R88" s="515">
        <v>6151953.9299999997</v>
      </c>
      <c r="S88" s="504" t="str">
        <f t="shared" si="1"/>
        <v>34</v>
      </c>
      <c r="T88" s="394"/>
    </row>
    <row r="89" spans="1:20" ht="15" x14ac:dyDescent="0.25">
      <c r="A89" s="513" t="s">
        <v>402</v>
      </c>
      <c r="B89" s="513" t="s">
        <v>1163</v>
      </c>
      <c r="C89" s="513" t="s">
        <v>794</v>
      </c>
      <c r="D89" s="513" t="s">
        <v>407</v>
      </c>
      <c r="E89" s="514">
        <v>20</v>
      </c>
      <c r="F89" s="514">
        <v>-7.0000000000000007E-2</v>
      </c>
      <c r="G89" s="514">
        <v>2049</v>
      </c>
      <c r="H89" s="515">
        <v>1284494.3899999999</v>
      </c>
      <c r="I89" s="514">
        <v>5.5627719100000004</v>
      </c>
      <c r="J89" s="515">
        <v>7145349.3200000003</v>
      </c>
      <c r="K89" s="514">
        <v>20</v>
      </c>
      <c r="L89" s="515">
        <v>25689887.800000001</v>
      </c>
      <c r="M89" s="514">
        <v>14.54265</v>
      </c>
      <c r="N89" s="515">
        <v>18679952.34</v>
      </c>
      <c r="O89" s="514">
        <v>0.29196823999999999</v>
      </c>
      <c r="P89" s="515">
        <v>375031.56</v>
      </c>
      <c r="Q89" s="515">
        <v>-89914.61</v>
      </c>
      <c r="R89" s="515">
        <v>456617.06</v>
      </c>
      <c r="S89" s="504" t="str">
        <f t="shared" si="1"/>
        <v>34</v>
      </c>
    </row>
    <row r="90" spans="1:20" ht="15" x14ac:dyDescent="0.25">
      <c r="A90" s="513" t="s">
        <v>402</v>
      </c>
      <c r="B90" s="513" t="s">
        <v>1163</v>
      </c>
      <c r="C90" s="513" t="s">
        <v>795</v>
      </c>
      <c r="D90" s="513" t="s">
        <v>123</v>
      </c>
      <c r="E90" s="514"/>
      <c r="F90" s="514">
        <v>-7.0000000000000007E-2</v>
      </c>
      <c r="G90" s="514">
        <v>2049</v>
      </c>
      <c r="H90" s="515">
        <v>15839920.23</v>
      </c>
      <c r="I90" s="514">
        <v>10.01070509</v>
      </c>
      <c r="J90" s="515">
        <v>158568770.00999999</v>
      </c>
      <c r="K90" s="514">
        <v>29.76937714</v>
      </c>
      <c r="L90" s="515">
        <v>471544559.23000002</v>
      </c>
      <c r="M90" s="514">
        <v>19.744369349999999</v>
      </c>
      <c r="N90" s="515">
        <v>312749235.45999998</v>
      </c>
      <c r="O90" s="514">
        <v>0.360377</v>
      </c>
      <c r="P90" s="515">
        <v>5708342.8899999997</v>
      </c>
      <c r="Q90" s="515">
        <v>-1108794.42</v>
      </c>
      <c r="R90" s="515">
        <v>6950153.0099999998</v>
      </c>
      <c r="S90" s="504" t="str">
        <f t="shared" si="1"/>
        <v>34</v>
      </c>
    </row>
    <row r="91" spans="1:20" ht="15" x14ac:dyDescent="0.25">
      <c r="A91" s="513" t="s">
        <v>402</v>
      </c>
      <c r="B91" s="513" t="s">
        <v>1163</v>
      </c>
      <c r="C91" s="513" t="s">
        <v>816</v>
      </c>
      <c r="D91" s="513" t="s">
        <v>359</v>
      </c>
      <c r="E91" s="514">
        <v>40</v>
      </c>
      <c r="F91" s="514">
        <v>-0.05</v>
      </c>
      <c r="G91" s="514">
        <v>2049</v>
      </c>
      <c r="H91" s="515">
        <v>2074046.41</v>
      </c>
      <c r="I91" s="514">
        <v>10.48149875</v>
      </c>
      <c r="J91" s="515">
        <v>21739114.850000001</v>
      </c>
      <c r="K91" s="514">
        <v>39.979999999999997</v>
      </c>
      <c r="L91" s="515">
        <v>82920375.469999999</v>
      </c>
      <c r="M91" s="514">
        <v>29.5</v>
      </c>
      <c r="N91" s="515">
        <v>61184369.100000001</v>
      </c>
      <c r="O91" s="514">
        <v>0.27523778999999998</v>
      </c>
      <c r="P91" s="515">
        <v>570855.93999999994</v>
      </c>
      <c r="Q91" s="515">
        <v>-103702.32</v>
      </c>
      <c r="R91" s="515">
        <v>622002.59</v>
      </c>
      <c r="S91" s="504" t="str">
        <f t="shared" si="1"/>
        <v>34</v>
      </c>
    </row>
    <row r="92" spans="1:20" ht="15" x14ac:dyDescent="0.25">
      <c r="A92" s="513" t="s">
        <v>402</v>
      </c>
      <c r="B92" s="513" t="s">
        <v>1163</v>
      </c>
      <c r="C92" s="513" t="s">
        <v>817</v>
      </c>
      <c r="D92" s="513" t="s">
        <v>405</v>
      </c>
      <c r="E92" s="514">
        <v>30</v>
      </c>
      <c r="F92" s="514">
        <v>-0.05</v>
      </c>
      <c r="G92" s="514">
        <v>2049</v>
      </c>
      <c r="H92" s="515">
        <v>1930485.72</v>
      </c>
      <c r="I92" s="514">
        <v>10.19494035</v>
      </c>
      <c r="J92" s="515">
        <v>19681186.77</v>
      </c>
      <c r="K92" s="514">
        <v>29.95</v>
      </c>
      <c r="L92" s="515">
        <v>57818047.310000002</v>
      </c>
      <c r="M92" s="514">
        <v>19.717395</v>
      </c>
      <c r="N92" s="515">
        <v>38064149.479999997</v>
      </c>
      <c r="O92" s="514">
        <v>0.35877754000000001</v>
      </c>
      <c r="P92" s="515">
        <v>692614.92</v>
      </c>
      <c r="Q92" s="515">
        <v>-96524.29</v>
      </c>
      <c r="R92" s="515">
        <v>754670.74</v>
      </c>
      <c r="S92" s="504" t="str">
        <f t="shared" si="1"/>
        <v>34</v>
      </c>
    </row>
    <row r="93" spans="1:20" ht="15" x14ac:dyDescent="0.25">
      <c r="A93" s="513" t="s">
        <v>402</v>
      </c>
      <c r="B93" s="513" t="s">
        <v>1163</v>
      </c>
      <c r="C93" s="513" t="s">
        <v>843</v>
      </c>
      <c r="D93" s="513" t="s">
        <v>407</v>
      </c>
      <c r="E93" s="514">
        <v>20</v>
      </c>
      <c r="F93" s="514">
        <v>-0.05</v>
      </c>
      <c r="G93" s="514">
        <v>2049</v>
      </c>
      <c r="H93" s="515">
        <v>36923.730000000003</v>
      </c>
      <c r="I93" s="514">
        <v>1.5</v>
      </c>
      <c r="J93" s="515">
        <v>55385.599999999999</v>
      </c>
      <c r="K93" s="514">
        <v>20</v>
      </c>
      <c r="L93" s="515">
        <v>738474.6</v>
      </c>
      <c r="M93" s="514">
        <v>18.489101999999999</v>
      </c>
      <c r="N93" s="515">
        <v>682686.61</v>
      </c>
      <c r="O93" s="514">
        <v>7.9322160000000003E-2</v>
      </c>
      <c r="P93" s="515">
        <v>2928.87</v>
      </c>
      <c r="Q93" s="515">
        <v>-1846.19</v>
      </c>
      <c r="R93" s="515">
        <v>3191.28</v>
      </c>
      <c r="S93" s="504" t="str">
        <f t="shared" si="1"/>
        <v>34</v>
      </c>
    </row>
    <row r="94" spans="1:20" ht="15" x14ac:dyDescent="0.25">
      <c r="A94" s="513" t="s">
        <v>402</v>
      </c>
      <c r="B94" s="513" t="s">
        <v>1163</v>
      </c>
      <c r="C94" s="513" t="s">
        <v>818</v>
      </c>
      <c r="D94" s="513" t="s">
        <v>123</v>
      </c>
      <c r="E94" s="514"/>
      <c r="F94" s="514">
        <v>-0.05</v>
      </c>
      <c r="G94" s="514">
        <v>2049</v>
      </c>
      <c r="H94" s="515">
        <v>4041455.86</v>
      </c>
      <c r="I94" s="514">
        <v>10.26256098</v>
      </c>
      <c r="J94" s="515">
        <v>41475687.210000001</v>
      </c>
      <c r="K94" s="514">
        <v>35.006419039999997</v>
      </c>
      <c r="L94" s="515">
        <v>141476897.38999999</v>
      </c>
      <c r="M94" s="514">
        <v>24.726536339999999</v>
      </c>
      <c r="N94" s="515">
        <v>99931205.189999998</v>
      </c>
      <c r="O94" s="514">
        <v>0.31335236</v>
      </c>
      <c r="P94" s="515">
        <v>1266399.73</v>
      </c>
      <c r="Q94" s="515">
        <v>-202072.79</v>
      </c>
      <c r="R94" s="515">
        <v>1379864.61</v>
      </c>
      <c r="S94" s="504" t="str">
        <f t="shared" si="1"/>
        <v>34</v>
      </c>
    </row>
    <row r="95" spans="1:20" ht="15" x14ac:dyDescent="0.25">
      <c r="A95" s="513" t="s">
        <v>402</v>
      </c>
      <c r="B95" s="513" t="s">
        <v>1163</v>
      </c>
      <c r="C95" s="513" t="s">
        <v>835</v>
      </c>
      <c r="D95" s="513" t="s">
        <v>405</v>
      </c>
      <c r="E95" s="514">
        <v>30</v>
      </c>
      <c r="F95" s="514">
        <v>-0.02</v>
      </c>
      <c r="G95" s="514">
        <v>2049</v>
      </c>
      <c r="H95" s="515">
        <v>904.61</v>
      </c>
      <c r="I95" s="514">
        <v>10.5</v>
      </c>
      <c r="J95" s="515">
        <v>9498.41</v>
      </c>
      <c r="K95" s="514">
        <v>30</v>
      </c>
      <c r="L95" s="515">
        <v>27138.3</v>
      </c>
      <c r="M95" s="514">
        <v>19.454546000000001</v>
      </c>
      <c r="N95" s="515">
        <v>17598.78</v>
      </c>
      <c r="O95" s="514">
        <v>0.35854124999999998</v>
      </c>
      <c r="P95" s="515">
        <v>324.33999999999997</v>
      </c>
      <c r="Q95" s="515">
        <v>-18.09</v>
      </c>
      <c r="R95" s="515">
        <v>322.32</v>
      </c>
      <c r="S95" s="504" t="str">
        <f t="shared" si="1"/>
        <v>34</v>
      </c>
    </row>
    <row r="96" spans="1:20" ht="15" x14ac:dyDescent="0.25">
      <c r="A96" s="513" t="s">
        <v>402</v>
      </c>
      <c r="B96" s="513" t="s">
        <v>1163</v>
      </c>
      <c r="C96" s="513" t="s">
        <v>836</v>
      </c>
      <c r="D96" s="513" t="s">
        <v>123</v>
      </c>
      <c r="E96" s="514"/>
      <c r="F96" s="514">
        <v>-0.02</v>
      </c>
      <c r="G96" s="514">
        <v>2049</v>
      </c>
      <c r="H96" s="515">
        <v>904.61</v>
      </c>
      <c r="I96" s="514">
        <v>10.5</v>
      </c>
      <c r="J96" s="515">
        <v>9498.41</v>
      </c>
      <c r="K96" s="514">
        <v>30</v>
      </c>
      <c r="L96" s="515">
        <v>27138.3</v>
      </c>
      <c r="M96" s="514">
        <v>19.454546000000001</v>
      </c>
      <c r="N96" s="515">
        <v>17598.78</v>
      </c>
      <c r="O96" s="514">
        <v>0.35854124999999998</v>
      </c>
      <c r="P96" s="515">
        <v>324.33999999999997</v>
      </c>
      <c r="Q96" s="515">
        <v>-18.09</v>
      </c>
      <c r="R96" s="515">
        <v>322.32</v>
      </c>
      <c r="S96" s="504" t="str">
        <f t="shared" si="1"/>
        <v>34</v>
      </c>
    </row>
    <row r="97" spans="1:20" ht="15" x14ac:dyDescent="0.25">
      <c r="A97" s="513" t="s">
        <v>402</v>
      </c>
      <c r="B97" s="513" t="s">
        <v>1163</v>
      </c>
      <c r="C97" s="513" t="s">
        <v>747</v>
      </c>
      <c r="D97" s="513" t="s">
        <v>359</v>
      </c>
      <c r="E97" s="514">
        <v>40</v>
      </c>
      <c r="F97" s="514">
        <v>-0.02</v>
      </c>
      <c r="G97" s="514">
        <v>2049</v>
      </c>
      <c r="H97" s="515">
        <v>641631.80000000005</v>
      </c>
      <c r="I97" s="514">
        <v>8.5192692399999999</v>
      </c>
      <c r="J97" s="515">
        <v>5466234.0599999996</v>
      </c>
      <c r="K97" s="514">
        <v>37.96</v>
      </c>
      <c r="L97" s="515">
        <v>24356343.129999999</v>
      </c>
      <c r="M97" s="514">
        <v>29.5</v>
      </c>
      <c r="N97" s="515">
        <v>18928138.100000001</v>
      </c>
      <c r="O97" s="514">
        <v>0.22742324</v>
      </c>
      <c r="P97" s="515">
        <v>145921.98000000001</v>
      </c>
      <c r="Q97" s="515">
        <v>-12832.64</v>
      </c>
      <c r="R97" s="515">
        <v>-126786.47</v>
      </c>
      <c r="S97" s="504" t="str">
        <f t="shared" si="1"/>
        <v>35</v>
      </c>
    </row>
    <row r="98" spans="1:20" ht="15" x14ac:dyDescent="0.25">
      <c r="A98" s="513" t="s">
        <v>402</v>
      </c>
      <c r="B98" s="513" t="s">
        <v>1163</v>
      </c>
      <c r="C98" s="513" t="s">
        <v>748</v>
      </c>
      <c r="D98" s="513" t="s">
        <v>405</v>
      </c>
      <c r="E98" s="514">
        <v>30</v>
      </c>
      <c r="F98" s="514">
        <v>-0.02</v>
      </c>
      <c r="G98" s="514">
        <v>2049</v>
      </c>
      <c r="H98" s="515">
        <v>146075.22</v>
      </c>
      <c r="I98" s="514">
        <v>10.5</v>
      </c>
      <c r="J98" s="515">
        <v>1533789.81</v>
      </c>
      <c r="K98" s="514">
        <v>30</v>
      </c>
      <c r="L98" s="515">
        <v>4382256.5999999996</v>
      </c>
      <c r="M98" s="514">
        <v>19.454546000000001</v>
      </c>
      <c r="N98" s="515">
        <v>2841827.09</v>
      </c>
      <c r="O98" s="514">
        <v>0.35854548000000003</v>
      </c>
      <c r="P98" s="515">
        <v>52374.61</v>
      </c>
      <c r="Q98" s="515">
        <v>-2921.5</v>
      </c>
      <c r="R98" s="515">
        <v>-45506.45</v>
      </c>
      <c r="S98" s="504" t="str">
        <f t="shared" si="1"/>
        <v>35</v>
      </c>
    </row>
    <row r="99" spans="1:20" ht="15" x14ac:dyDescent="0.25">
      <c r="A99" s="513" t="s">
        <v>402</v>
      </c>
      <c r="B99" s="513" t="s">
        <v>1163</v>
      </c>
      <c r="C99" s="513" t="s">
        <v>749</v>
      </c>
      <c r="D99" s="513" t="s">
        <v>407</v>
      </c>
      <c r="E99" s="514">
        <v>20</v>
      </c>
      <c r="F99" s="514">
        <v>-0.02</v>
      </c>
      <c r="G99" s="514">
        <v>2049</v>
      </c>
      <c r="H99" s="515">
        <v>5407.24</v>
      </c>
      <c r="I99" s="514">
        <v>5.5</v>
      </c>
      <c r="J99" s="515">
        <v>29739.82</v>
      </c>
      <c r="K99" s="514">
        <v>20</v>
      </c>
      <c r="L99" s="515">
        <v>108144.8</v>
      </c>
      <c r="M99" s="514">
        <v>14.505412</v>
      </c>
      <c r="N99" s="515">
        <v>78434.240000000005</v>
      </c>
      <c r="O99" s="514">
        <v>0.28022428999999999</v>
      </c>
      <c r="P99" s="515">
        <v>1515.24</v>
      </c>
      <c r="Q99" s="515">
        <v>-108.14</v>
      </c>
      <c r="R99" s="515">
        <v>-1316.54</v>
      </c>
      <c r="S99" s="504" t="str">
        <f t="shared" si="1"/>
        <v>35</v>
      </c>
    </row>
    <row r="100" spans="1:20" ht="15" x14ac:dyDescent="0.25">
      <c r="A100" s="513" t="s">
        <v>402</v>
      </c>
      <c r="B100" s="513" t="s">
        <v>1163</v>
      </c>
      <c r="C100" s="513" t="s">
        <v>750</v>
      </c>
      <c r="D100" s="513" t="s">
        <v>123</v>
      </c>
      <c r="E100" s="514"/>
      <c r="F100" s="514">
        <v>-0.02</v>
      </c>
      <c r="G100" s="514">
        <v>2049</v>
      </c>
      <c r="H100" s="515">
        <v>793114.26</v>
      </c>
      <c r="I100" s="514">
        <v>8.8634942599999995</v>
      </c>
      <c r="J100" s="515">
        <v>7029763.6900000004</v>
      </c>
      <c r="K100" s="514">
        <v>36.371486410000003</v>
      </c>
      <c r="L100" s="515">
        <v>28846744.530000001</v>
      </c>
      <c r="M100" s="514">
        <v>27.54760636</v>
      </c>
      <c r="N100" s="515">
        <v>21848399.43</v>
      </c>
      <c r="O100" s="514">
        <v>0.25193322000000001</v>
      </c>
      <c r="P100" s="515">
        <v>199811.83</v>
      </c>
      <c r="Q100" s="515">
        <v>-15862.29</v>
      </c>
      <c r="R100" s="515">
        <v>-173609.46</v>
      </c>
      <c r="S100" s="504" t="str">
        <f t="shared" si="1"/>
        <v>35</v>
      </c>
    </row>
    <row r="101" spans="1:20" ht="15" x14ac:dyDescent="0.25">
      <c r="A101" s="513" t="s">
        <v>402</v>
      </c>
      <c r="B101" s="513" t="s">
        <v>1163</v>
      </c>
      <c r="C101" s="513" t="s">
        <v>770</v>
      </c>
      <c r="D101" s="513" t="s">
        <v>359</v>
      </c>
      <c r="E101" s="514">
        <v>40</v>
      </c>
      <c r="F101" s="514">
        <v>-0.05</v>
      </c>
      <c r="G101" s="514">
        <v>2049</v>
      </c>
      <c r="H101" s="515">
        <v>1345409.05</v>
      </c>
      <c r="I101" s="514">
        <v>10.465204330000001</v>
      </c>
      <c r="J101" s="515">
        <v>14079980.619999999</v>
      </c>
      <c r="K101" s="514">
        <v>39.96</v>
      </c>
      <c r="L101" s="515">
        <v>53762545.640000001</v>
      </c>
      <c r="M101" s="514">
        <v>29.5</v>
      </c>
      <c r="N101" s="515">
        <v>39689566.979999997</v>
      </c>
      <c r="O101" s="514">
        <v>0.27493410000000001</v>
      </c>
      <c r="P101" s="515">
        <v>369898.83</v>
      </c>
      <c r="Q101" s="515">
        <v>-67270.45</v>
      </c>
      <c r="R101" s="515">
        <v>284753.7</v>
      </c>
      <c r="S101" s="504" t="str">
        <f t="shared" si="1"/>
        <v>35</v>
      </c>
      <c r="T101" s="394"/>
    </row>
    <row r="102" spans="1:20" ht="15" x14ac:dyDescent="0.25">
      <c r="A102" s="513" t="s">
        <v>402</v>
      </c>
      <c r="B102" s="513" t="s">
        <v>1163</v>
      </c>
      <c r="C102" s="513" t="s">
        <v>771</v>
      </c>
      <c r="D102" s="513" t="s">
        <v>405</v>
      </c>
      <c r="E102" s="514">
        <v>30</v>
      </c>
      <c r="F102" s="514">
        <v>-0.05</v>
      </c>
      <c r="G102" s="514">
        <v>2049</v>
      </c>
      <c r="H102" s="515">
        <v>110075.27</v>
      </c>
      <c r="I102" s="514">
        <v>10.144875000000001</v>
      </c>
      <c r="J102" s="515">
        <v>1116699.8600000001</v>
      </c>
      <c r="K102" s="514">
        <v>29.98</v>
      </c>
      <c r="L102" s="515">
        <v>3300056.59</v>
      </c>
      <c r="M102" s="514">
        <v>19.775935</v>
      </c>
      <c r="N102" s="515">
        <v>2176841.38</v>
      </c>
      <c r="O102" s="514">
        <v>0.35743678000000001</v>
      </c>
      <c r="P102" s="515">
        <v>39344.949999999997</v>
      </c>
      <c r="Q102" s="515">
        <v>-5503.76</v>
      </c>
      <c r="R102" s="515">
        <v>30288.34</v>
      </c>
      <c r="S102" s="504" t="str">
        <f t="shared" si="1"/>
        <v>35</v>
      </c>
      <c r="T102" s="394"/>
    </row>
    <row r="103" spans="1:20" ht="15" x14ac:dyDescent="0.25">
      <c r="A103" s="513" t="s">
        <v>402</v>
      </c>
      <c r="B103" s="513" t="s">
        <v>1163</v>
      </c>
      <c r="C103" s="513" t="s">
        <v>772</v>
      </c>
      <c r="D103" s="513" t="s">
        <v>407</v>
      </c>
      <c r="E103" s="514">
        <v>20</v>
      </c>
      <c r="F103" s="514">
        <v>-0.05</v>
      </c>
      <c r="G103" s="514">
        <v>2049</v>
      </c>
      <c r="H103" s="515">
        <v>552982.43000000005</v>
      </c>
      <c r="I103" s="514">
        <v>10.42722098</v>
      </c>
      <c r="J103" s="515">
        <v>5766070</v>
      </c>
      <c r="K103" s="514">
        <v>20</v>
      </c>
      <c r="L103" s="515">
        <v>11059648.6</v>
      </c>
      <c r="M103" s="514">
        <v>9.8366089999999993</v>
      </c>
      <c r="N103" s="515">
        <v>5439471.9500000002</v>
      </c>
      <c r="O103" s="514">
        <v>0.53357801999999999</v>
      </c>
      <c r="P103" s="515">
        <v>295059.27</v>
      </c>
      <c r="Q103" s="515">
        <v>-27649.119999999999</v>
      </c>
      <c r="R103" s="515">
        <v>227141.07</v>
      </c>
      <c r="S103" s="504" t="str">
        <f t="shared" si="1"/>
        <v>35</v>
      </c>
      <c r="T103" s="394"/>
    </row>
    <row r="104" spans="1:20" ht="15" x14ac:dyDescent="0.25">
      <c r="A104" s="513" t="s">
        <v>402</v>
      </c>
      <c r="B104" s="513" t="s">
        <v>1163</v>
      </c>
      <c r="C104" s="513" t="s">
        <v>773</v>
      </c>
      <c r="D104" s="513" t="s">
        <v>123</v>
      </c>
      <c r="E104" s="514"/>
      <c r="F104" s="514">
        <v>-0.05</v>
      </c>
      <c r="G104" s="514">
        <v>2049</v>
      </c>
      <c r="H104" s="515">
        <v>2008466.75</v>
      </c>
      <c r="I104" s="514">
        <v>10.43719069</v>
      </c>
      <c r="J104" s="515">
        <v>20962750.469999999</v>
      </c>
      <c r="K104" s="514">
        <v>33.917539750000003</v>
      </c>
      <c r="L104" s="515">
        <v>68122250.829999998</v>
      </c>
      <c r="M104" s="514">
        <v>23.553230500000002</v>
      </c>
      <c r="N104" s="515">
        <v>47305880.310000002</v>
      </c>
      <c r="O104" s="514">
        <v>0.35066702</v>
      </c>
      <c r="P104" s="515">
        <v>704303.05</v>
      </c>
      <c r="Q104" s="515">
        <v>-100423.34</v>
      </c>
      <c r="R104" s="515">
        <v>542183.11</v>
      </c>
      <c r="S104" s="504" t="str">
        <f t="shared" si="1"/>
        <v>35</v>
      </c>
      <c r="T104" s="394"/>
    </row>
    <row r="105" spans="1:20" ht="15" x14ac:dyDescent="0.25">
      <c r="A105" s="513" t="s">
        <v>402</v>
      </c>
      <c r="B105" s="513" t="s">
        <v>1163</v>
      </c>
      <c r="C105" s="513" t="s">
        <v>1041</v>
      </c>
      <c r="D105" s="513" t="s">
        <v>359</v>
      </c>
      <c r="E105" s="514">
        <v>12</v>
      </c>
      <c r="F105" s="514">
        <v>-7.0000000000000007E-2</v>
      </c>
      <c r="G105" s="514">
        <v>2049</v>
      </c>
      <c r="H105" s="515">
        <v>3723704.57</v>
      </c>
      <c r="I105" s="514">
        <v>8.8893177399999992</v>
      </c>
      <c r="J105" s="515">
        <v>33101193.100000001</v>
      </c>
      <c r="K105" s="514">
        <v>12</v>
      </c>
      <c r="L105" s="515">
        <v>44684454.840000004</v>
      </c>
      <c r="M105" s="514">
        <v>3.1106820000000002</v>
      </c>
      <c r="N105" s="515">
        <v>11583260.779999999</v>
      </c>
      <c r="O105" s="514">
        <v>0.79263083000000001</v>
      </c>
      <c r="P105" s="515">
        <v>2951523.05</v>
      </c>
      <c r="Q105" s="515">
        <v>-260659.32</v>
      </c>
      <c r="R105" s="515">
        <v>3096440.24</v>
      </c>
      <c r="S105" s="504" t="str">
        <f t="shared" si="1"/>
        <v>35</v>
      </c>
      <c r="T105" s="394"/>
    </row>
    <row r="106" spans="1:20" ht="15" x14ac:dyDescent="0.25">
      <c r="A106" s="513" t="s">
        <v>402</v>
      </c>
      <c r="B106" s="513" t="s">
        <v>1163</v>
      </c>
      <c r="C106" s="513" t="s">
        <v>796</v>
      </c>
      <c r="D106" s="513" t="s">
        <v>359</v>
      </c>
      <c r="E106" s="514">
        <v>40</v>
      </c>
      <c r="F106" s="514">
        <v>-7.0000000000000007E-2</v>
      </c>
      <c r="G106" s="514">
        <v>2049</v>
      </c>
      <c r="H106" s="515">
        <v>3197259.61</v>
      </c>
      <c r="I106" s="514">
        <v>10.062237209999999</v>
      </c>
      <c r="J106" s="515">
        <v>32171584.620000001</v>
      </c>
      <c r="K106" s="514">
        <v>39.450000000000003</v>
      </c>
      <c r="L106" s="515">
        <v>126131891.61</v>
      </c>
      <c r="M106" s="514">
        <v>29.5</v>
      </c>
      <c r="N106" s="515">
        <v>94319158.5</v>
      </c>
      <c r="O106" s="514">
        <v>0.26990837000000001</v>
      </c>
      <c r="P106" s="515">
        <v>862967.14</v>
      </c>
      <c r="Q106" s="515">
        <v>-223808.17</v>
      </c>
      <c r="R106" s="515">
        <v>905338.07</v>
      </c>
      <c r="S106" s="504" t="str">
        <f t="shared" si="1"/>
        <v>35</v>
      </c>
      <c r="T106" s="394"/>
    </row>
    <row r="107" spans="1:20" ht="15" x14ac:dyDescent="0.25">
      <c r="A107" s="513" t="s">
        <v>402</v>
      </c>
      <c r="B107" s="513" t="s">
        <v>1163</v>
      </c>
      <c r="C107" s="513" t="s">
        <v>797</v>
      </c>
      <c r="D107" s="513" t="s">
        <v>405</v>
      </c>
      <c r="E107" s="514">
        <v>30</v>
      </c>
      <c r="F107" s="514">
        <v>-7.0000000000000007E-2</v>
      </c>
      <c r="G107" s="514">
        <v>2049</v>
      </c>
      <c r="H107" s="515">
        <v>10811064.449999999</v>
      </c>
      <c r="I107" s="514">
        <v>10.49019176</v>
      </c>
      <c r="J107" s="515">
        <v>113410139.18000001</v>
      </c>
      <c r="K107" s="514">
        <v>30</v>
      </c>
      <c r="L107" s="515">
        <v>324331933.5</v>
      </c>
      <c r="M107" s="514">
        <v>19.463010000000001</v>
      </c>
      <c r="N107" s="515">
        <v>210415855.5</v>
      </c>
      <c r="O107" s="514">
        <v>0.37578329999999999</v>
      </c>
      <c r="P107" s="515">
        <v>4062617.46</v>
      </c>
      <c r="Q107" s="515">
        <v>-756774.51</v>
      </c>
      <c r="R107" s="515">
        <v>4262088.41</v>
      </c>
      <c r="S107" s="504" t="str">
        <f t="shared" si="1"/>
        <v>35</v>
      </c>
      <c r="T107" s="394"/>
    </row>
    <row r="108" spans="1:20" ht="15" x14ac:dyDescent="0.25">
      <c r="A108" s="513" t="s">
        <v>402</v>
      </c>
      <c r="B108" s="513" t="s">
        <v>1163</v>
      </c>
      <c r="C108" s="513" t="s">
        <v>798</v>
      </c>
      <c r="D108" s="513" t="s">
        <v>407</v>
      </c>
      <c r="E108" s="514">
        <v>20</v>
      </c>
      <c r="F108" s="514">
        <v>-7.0000000000000007E-2</v>
      </c>
      <c r="G108" s="514">
        <v>2049</v>
      </c>
      <c r="H108" s="515">
        <v>856260.33</v>
      </c>
      <c r="I108" s="514">
        <v>9.6190273099999999</v>
      </c>
      <c r="J108" s="515">
        <v>8236391.4900000002</v>
      </c>
      <c r="K108" s="514">
        <v>20</v>
      </c>
      <c r="L108" s="515">
        <v>17125206.600000001</v>
      </c>
      <c r="M108" s="514">
        <v>10.611419</v>
      </c>
      <c r="N108" s="515">
        <v>9086137.1300000008</v>
      </c>
      <c r="O108" s="514">
        <v>0.50228905999999995</v>
      </c>
      <c r="P108" s="515">
        <v>430090.2</v>
      </c>
      <c r="Q108" s="515">
        <v>-59938.22</v>
      </c>
      <c r="R108" s="515">
        <v>451207.24</v>
      </c>
      <c r="S108" s="504" t="str">
        <f t="shared" si="1"/>
        <v>35</v>
      </c>
      <c r="T108" s="394"/>
    </row>
    <row r="109" spans="1:20" ht="15" x14ac:dyDescent="0.25">
      <c r="A109" s="513" t="s">
        <v>402</v>
      </c>
      <c r="B109" s="513" t="s">
        <v>1163</v>
      </c>
      <c r="C109" s="513" t="s">
        <v>799</v>
      </c>
      <c r="D109" s="513" t="s">
        <v>123</v>
      </c>
      <c r="E109" s="514"/>
      <c r="F109" s="514">
        <v>-7.0000000000000007E-2</v>
      </c>
      <c r="G109" s="514">
        <v>2049</v>
      </c>
      <c r="H109" s="515">
        <v>18588288.960000001</v>
      </c>
      <c r="I109" s="514">
        <v>10.05575655</v>
      </c>
      <c r="J109" s="515">
        <v>186919308.40000001</v>
      </c>
      <c r="K109" s="514">
        <v>27.55893712</v>
      </c>
      <c r="L109" s="515">
        <v>512273486.55000001</v>
      </c>
      <c r="M109" s="514">
        <v>17.505883010000002</v>
      </c>
      <c r="N109" s="515">
        <v>325404411.91000003</v>
      </c>
      <c r="O109" s="514">
        <v>0.44690491999999998</v>
      </c>
      <c r="P109" s="515">
        <v>8307197.8499999996</v>
      </c>
      <c r="Q109" s="515">
        <v>-1301180.23</v>
      </c>
      <c r="R109" s="515">
        <v>8715073.9600000009</v>
      </c>
      <c r="S109" s="504" t="str">
        <f t="shared" si="1"/>
        <v>35</v>
      </c>
    </row>
    <row r="110" spans="1:20" ht="15" x14ac:dyDescent="0.25">
      <c r="A110" s="513" t="s">
        <v>402</v>
      </c>
      <c r="B110" s="513" t="s">
        <v>1163</v>
      </c>
      <c r="C110" s="513" t="s">
        <v>819</v>
      </c>
      <c r="D110" s="513" t="s">
        <v>359</v>
      </c>
      <c r="E110" s="514">
        <v>40</v>
      </c>
      <c r="F110" s="514">
        <v>-0.05</v>
      </c>
      <c r="G110" s="514">
        <v>2049</v>
      </c>
      <c r="H110" s="515">
        <v>8257799.0599999996</v>
      </c>
      <c r="I110" s="514">
        <v>10.495353189999999</v>
      </c>
      <c r="J110" s="515">
        <v>86668517.670000002</v>
      </c>
      <c r="K110" s="514">
        <v>39.99</v>
      </c>
      <c r="L110" s="515">
        <v>330229384.41000003</v>
      </c>
      <c r="M110" s="514">
        <v>29.5</v>
      </c>
      <c r="N110" s="515">
        <v>243605072.27000001</v>
      </c>
      <c r="O110" s="514">
        <v>0.27552775000000002</v>
      </c>
      <c r="P110" s="515">
        <v>2275252.77</v>
      </c>
      <c r="Q110" s="515">
        <v>-412889.95</v>
      </c>
      <c r="R110" s="515">
        <v>2532478.06</v>
      </c>
      <c r="S110" s="504" t="str">
        <f t="shared" si="1"/>
        <v>35</v>
      </c>
    </row>
    <row r="111" spans="1:20" ht="15" x14ac:dyDescent="0.25">
      <c r="A111" s="513" t="s">
        <v>402</v>
      </c>
      <c r="B111" s="513" t="s">
        <v>1163</v>
      </c>
      <c r="C111" s="513" t="s">
        <v>820</v>
      </c>
      <c r="D111" s="513" t="s">
        <v>405</v>
      </c>
      <c r="E111" s="514">
        <v>30</v>
      </c>
      <c r="F111" s="514">
        <v>-0.05</v>
      </c>
      <c r="G111" s="514">
        <v>2049</v>
      </c>
      <c r="H111" s="515">
        <v>632332.65</v>
      </c>
      <c r="I111" s="514">
        <v>10.5</v>
      </c>
      <c r="J111" s="515">
        <v>6639492.8300000001</v>
      </c>
      <c r="K111" s="514">
        <v>30</v>
      </c>
      <c r="L111" s="515">
        <v>18969979.5</v>
      </c>
      <c r="M111" s="514">
        <v>19.454546000000001</v>
      </c>
      <c r="N111" s="515">
        <v>12301744.630000001</v>
      </c>
      <c r="O111" s="514">
        <v>0.3690909</v>
      </c>
      <c r="P111" s="515">
        <v>233388.23</v>
      </c>
      <c r="Q111" s="515">
        <v>-31616.63</v>
      </c>
      <c r="R111" s="515">
        <v>259773.59</v>
      </c>
      <c r="S111" s="504" t="str">
        <f t="shared" si="1"/>
        <v>35</v>
      </c>
    </row>
    <row r="112" spans="1:20" ht="15" x14ac:dyDescent="0.25">
      <c r="A112" s="513" t="s">
        <v>402</v>
      </c>
      <c r="B112" s="513" t="s">
        <v>1163</v>
      </c>
      <c r="C112" s="513" t="s">
        <v>821</v>
      </c>
      <c r="D112" s="513" t="s">
        <v>407</v>
      </c>
      <c r="E112" s="514">
        <v>20</v>
      </c>
      <c r="F112" s="514">
        <v>-0.05</v>
      </c>
      <c r="G112" s="514">
        <v>2049</v>
      </c>
      <c r="H112" s="515">
        <v>1257398.95</v>
      </c>
      <c r="I112" s="514">
        <v>10.416043350000001</v>
      </c>
      <c r="J112" s="515">
        <v>13097121.98</v>
      </c>
      <c r="K112" s="514">
        <v>20</v>
      </c>
      <c r="L112" s="515">
        <v>25147979</v>
      </c>
      <c r="M112" s="514">
        <v>9.8491440000000008</v>
      </c>
      <c r="N112" s="515">
        <v>12384303.32</v>
      </c>
      <c r="O112" s="514">
        <v>0.53291995000000003</v>
      </c>
      <c r="P112" s="515">
        <v>670092.98</v>
      </c>
      <c r="Q112" s="515">
        <v>-62869.95</v>
      </c>
      <c r="R112" s="515">
        <v>745849.34</v>
      </c>
      <c r="S112" s="504" t="str">
        <f t="shared" si="1"/>
        <v>35</v>
      </c>
    </row>
    <row r="113" spans="1:20" ht="15" x14ac:dyDescent="0.25">
      <c r="A113" s="513" t="s">
        <v>402</v>
      </c>
      <c r="B113" s="513" t="s">
        <v>1163</v>
      </c>
      <c r="C113" s="513" t="s">
        <v>822</v>
      </c>
      <c r="D113" s="513" t="s">
        <v>123</v>
      </c>
      <c r="E113" s="514"/>
      <c r="F113" s="514">
        <v>-0.05</v>
      </c>
      <c r="G113" s="514">
        <v>2049</v>
      </c>
      <c r="H113" s="515">
        <v>10147530.66</v>
      </c>
      <c r="I113" s="514">
        <v>10.48581532</v>
      </c>
      <c r="J113" s="515">
        <v>106405132.47</v>
      </c>
      <c r="K113" s="514">
        <v>36.890486510000002</v>
      </c>
      <c r="L113" s="515">
        <v>374347342.91000003</v>
      </c>
      <c r="M113" s="514">
        <v>26.439054899999999</v>
      </c>
      <c r="N113" s="515">
        <v>268291120.22</v>
      </c>
      <c r="O113" s="514">
        <v>0.31325196999999999</v>
      </c>
      <c r="P113" s="515">
        <v>3178733.98</v>
      </c>
      <c r="Q113" s="515">
        <v>-507376.53</v>
      </c>
      <c r="R113" s="515">
        <v>3538100.99</v>
      </c>
      <c r="S113" s="504" t="str">
        <f t="shared" si="1"/>
        <v>35</v>
      </c>
    </row>
    <row r="114" spans="1:20" ht="15" x14ac:dyDescent="0.25">
      <c r="A114" s="516" t="s">
        <v>402</v>
      </c>
      <c r="B114" s="516" t="s">
        <v>1163</v>
      </c>
      <c r="C114" s="516" t="s">
        <v>751</v>
      </c>
      <c r="D114" s="516" t="s">
        <v>359</v>
      </c>
      <c r="E114" s="517">
        <v>40</v>
      </c>
      <c r="F114" s="517">
        <v>-0.02</v>
      </c>
      <c r="G114" s="517">
        <v>2049</v>
      </c>
      <c r="H114" s="518">
        <v>2564857.91</v>
      </c>
      <c r="I114" s="517">
        <v>10.48134145</v>
      </c>
      <c r="J114" s="518">
        <v>26883151.510000002</v>
      </c>
      <c r="K114" s="517">
        <v>39.979999999999997</v>
      </c>
      <c r="L114" s="518">
        <v>102543019.23999999</v>
      </c>
      <c r="M114" s="517">
        <v>29.5</v>
      </c>
      <c r="N114" s="518">
        <v>75663308.349999994</v>
      </c>
      <c r="O114" s="517">
        <v>0.26737064999999999</v>
      </c>
      <c r="P114" s="518">
        <v>685767.73</v>
      </c>
      <c r="Q114" s="518">
        <v>-51297.16</v>
      </c>
      <c r="R114" s="518">
        <v>295920.98</v>
      </c>
      <c r="S114" s="504" t="str">
        <f t="shared" si="1"/>
        <v>36</v>
      </c>
    </row>
    <row r="115" spans="1:20" ht="15" x14ac:dyDescent="0.25">
      <c r="A115" s="516" t="s">
        <v>402</v>
      </c>
      <c r="B115" s="516" t="s">
        <v>1163</v>
      </c>
      <c r="C115" s="516" t="s">
        <v>752</v>
      </c>
      <c r="D115" s="516" t="s">
        <v>405</v>
      </c>
      <c r="E115" s="517">
        <v>30</v>
      </c>
      <c r="F115" s="517">
        <v>-0.02</v>
      </c>
      <c r="G115" s="517">
        <v>2049</v>
      </c>
      <c r="H115" s="518">
        <v>91373.63</v>
      </c>
      <c r="I115" s="517">
        <v>10.5</v>
      </c>
      <c r="J115" s="518">
        <v>959423.12</v>
      </c>
      <c r="K115" s="517">
        <v>30</v>
      </c>
      <c r="L115" s="518">
        <v>2741208.9</v>
      </c>
      <c r="M115" s="517">
        <v>19.454546000000001</v>
      </c>
      <c r="N115" s="518">
        <v>1777632.49</v>
      </c>
      <c r="O115" s="517">
        <v>0.35854545999999998</v>
      </c>
      <c r="P115" s="518">
        <v>32761.599999999999</v>
      </c>
      <c r="Q115" s="518">
        <v>-1827.47</v>
      </c>
      <c r="R115" s="518">
        <v>14013.18</v>
      </c>
      <c r="S115" s="504" t="str">
        <f t="shared" si="1"/>
        <v>36</v>
      </c>
    </row>
    <row r="116" spans="1:20" ht="15" x14ac:dyDescent="0.25">
      <c r="A116" s="516" t="s">
        <v>402</v>
      </c>
      <c r="B116" s="516" t="s">
        <v>1163</v>
      </c>
      <c r="C116" s="516" t="s">
        <v>753</v>
      </c>
      <c r="D116" s="516" t="s">
        <v>123</v>
      </c>
      <c r="E116" s="517"/>
      <c r="F116" s="517">
        <v>-0.02</v>
      </c>
      <c r="G116" s="517">
        <v>2049</v>
      </c>
      <c r="H116" s="518">
        <f>SUM(H114:H115)</f>
        <v>2656231.54</v>
      </c>
      <c r="I116" s="517">
        <f>J116/$H116</f>
        <v>10.481983295025554</v>
      </c>
      <c r="J116" s="518">
        <f>SUM(J114:J115)</f>
        <v>27842574.630000003</v>
      </c>
      <c r="K116" s="517">
        <f>L116/$H116</f>
        <v>39.636690760776069</v>
      </c>
      <c r="L116" s="518">
        <f>SUM(L114:L115)</f>
        <v>105284228.14</v>
      </c>
      <c r="M116" s="517">
        <f>N116/$H116</f>
        <v>29.1544391645918</v>
      </c>
      <c r="N116" s="518">
        <f>SUM(N114:N115)</f>
        <v>77440940.839999989</v>
      </c>
      <c r="O116" s="517">
        <f>P116/$H116</f>
        <v>0.27050703945786292</v>
      </c>
      <c r="P116" s="518">
        <f>SUM(P114:P115)</f>
        <v>718529.33</v>
      </c>
      <c r="Q116" s="518">
        <f>SUM(Q114:Q115)</f>
        <v>-53124.630000000005</v>
      </c>
      <c r="R116" s="518">
        <f>SUM(R114:R115)</f>
        <v>309934.15999999997</v>
      </c>
      <c r="S116" s="504" t="str">
        <f t="shared" si="1"/>
        <v>36</v>
      </c>
    </row>
    <row r="117" spans="1:20" ht="15" x14ac:dyDescent="0.25">
      <c r="A117" s="513" t="s">
        <v>402</v>
      </c>
      <c r="B117" s="513" t="s">
        <v>1163</v>
      </c>
      <c r="C117" s="513" t="s">
        <v>774</v>
      </c>
      <c r="D117" s="513" t="s">
        <v>359</v>
      </c>
      <c r="E117" s="514">
        <v>40</v>
      </c>
      <c r="F117" s="514">
        <v>-0.05</v>
      </c>
      <c r="G117" s="514">
        <v>2049</v>
      </c>
      <c r="H117" s="515">
        <v>965714.09</v>
      </c>
      <c r="I117" s="514">
        <v>9.9709041700000007</v>
      </c>
      <c r="J117" s="515">
        <v>9629042.6500000004</v>
      </c>
      <c r="K117" s="514">
        <v>39.39</v>
      </c>
      <c r="L117" s="515">
        <v>38039478.009999998</v>
      </c>
      <c r="M117" s="514">
        <v>29.5</v>
      </c>
      <c r="N117" s="515">
        <v>28488565.66</v>
      </c>
      <c r="O117" s="514">
        <v>0.26362474000000002</v>
      </c>
      <c r="P117" s="515">
        <v>254586.13</v>
      </c>
      <c r="Q117" s="515">
        <v>-48285.7</v>
      </c>
      <c r="R117" s="515">
        <v>169955.52</v>
      </c>
      <c r="S117" s="504" t="str">
        <f t="shared" si="1"/>
        <v>36</v>
      </c>
    </row>
    <row r="118" spans="1:20" ht="15" x14ac:dyDescent="0.25">
      <c r="A118" s="513" t="s">
        <v>402</v>
      </c>
      <c r="B118" s="513" t="s">
        <v>1163</v>
      </c>
      <c r="C118" s="513" t="s">
        <v>775</v>
      </c>
      <c r="D118" s="513" t="s">
        <v>405</v>
      </c>
      <c r="E118" s="514">
        <v>30</v>
      </c>
      <c r="F118" s="514">
        <v>-0.05</v>
      </c>
      <c r="G118" s="514">
        <v>2049</v>
      </c>
      <c r="H118" s="515">
        <v>5736.96</v>
      </c>
      <c r="I118" s="514">
        <v>4.5</v>
      </c>
      <c r="J118" s="515">
        <v>25816.32</v>
      </c>
      <c r="K118" s="514">
        <v>29.71</v>
      </c>
      <c r="L118" s="515">
        <v>170445.08</v>
      </c>
      <c r="M118" s="514">
        <v>24.834492999999998</v>
      </c>
      <c r="N118" s="515">
        <v>142474.49</v>
      </c>
      <c r="O118" s="514">
        <v>0.1721905</v>
      </c>
      <c r="P118" s="515">
        <v>987.85</v>
      </c>
      <c r="Q118" s="515">
        <v>-286.85000000000002</v>
      </c>
      <c r="R118" s="515">
        <v>659.46</v>
      </c>
      <c r="S118" s="504" t="str">
        <f t="shared" si="1"/>
        <v>36</v>
      </c>
    </row>
    <row r="119" spans="1:20" ht="15" x14ac:dyDescent="0.25">
      <c r="A119" s="513" t="s">
        <v>402</v>
      </c>
      <c r="B119" s="513" t="s">
        <v>1163</v>
      </c>
      <c r="C119" s="513" t="s">
        <v>776</v>
      </c>
      <c r="D119" s="513" t="s">
        <v>407</v>
      </c>
      <c r="E119" s="514">
        <v>20</v>
      </c>
      <c r="F119" s="514">
        <v>-0.05</v>
      </c>
      <c r="G119" s="514">
        <v>2049</v>
      </c>
      <c r="H119" s="515">
        <v>565828.01</v>
      </c>
      <c r="I119" s="514">
        <v>10.08137908</v>
      </c>
      <c r="J119" s="515">
        <v>5704326.6699999999</v>
      </c>
      <c r="K119" s="514">
        <v>20</v>
      </c>
      <c r="L119" s="515">
        <v>11316560.199999999</v>
      </c>
      <c r="M119" s="514">
        <v>10.169235</v>
      </c>
      <c r="N119" s="515">
        <v>5754038</v>
      </c>
      <c r="O119" s="514">
        <v>0.51611518999999995</v>
      </c>
      <c r="P119" s="515">
        <v>292032.43</v>
      </c>
      <c r="Q119" s="515">
        <v>-28291.4</v>
      </c>
      <c r="R119" s="515">
        <v>194953.76</v>
      </c>
      <c r="S119" s="504" t="str">
        <f t="shared" si="1"/>
        <v>36</v>
      </c>
    </row>
    <row r="120" spans="1:20" ht="15" x14ac:dyDescent="0.25">
      <c r="A120" s="513" t="s">
        <v>402</v>
      </c>
      <c r="B120" s="513" t="s">
        <v>1163</v>
      </c>
      <c r="C120" s="513" t="s">
        <v>777</v>
      </c>
      <c r="D120" s="513" t="s">
        <v>123</v>
      </c>
      <c r="E120" s="514"/>
      <c r="F120" s="514">
        <v>-0.05</v>
      </c>
      <c r="G120" s="514">
        <v>2049</v>
      </c>
      <c r="H120" s="515">
        <v>1537279.06</v>
      </c>
      <c r="I120" s="514">
        <v>9.9911499700000004</v>
      </c>
      <c r="J120" s="515">
        <v>15359185.630000001</v>
      </c>
      <c r="K120" s="514">
        <v>32.216976459999998</v>
      </c>
      <c r="L120" s="515">
        <v>49526483.289999999</v>
      </c>
      <c r="M120" s="514">
        <v>22.3674927</v>
      </c>
      <c r="N120" s="515">
        <v>34385078.149999999</v>
      </c>
      <c r="O120" s="514">
        <v>0.35621796</v>
      </c>
      <c r="P120" s="515">
        <v>547606.41</v>
      </c>
      <c r="Q120" s="515">
        <v>-76863.95</v>
      </c>
      <c r="R120" s="515">
        <v>365568.74</v>
      </c>
      <c r="S120" s="504" t="str">
        <f t="shared" si="1"/>
        <v>36</v>
      </c>
      <c r="T120" s="394"/>
    </row>
    <row r="121" spans="1:20" ht="15" x14ac:dyDescent="0.25">
      <c r="A121" s="513" t="s">
        <v>402</v>
      </c>
      <c r="B121" s="513" t="s">
        <v>1163</v>
      </c>
      <c r="C121" s="513" t="s">
        <v>1042</v>
      </c>
      <c r="D121" s="513" t="s">
        <v>359</v>
      </c>
      <c r="E121" s="514">
        <v>12</v>
      </c>
      <c r="F121" s="514">
        <v>-7.0000000000000007E-2</v>
      </c>
      <c r="G121" s="514">
        <v>2049</v>
      </c>
      <c r="H121" s="515">
        <v>11563.2</v>
      </c>
      <c r="I121" s="514">
        <v>0.5</v>
      </c>
      <c r="J121" s="515">
        <v>5781.6</v>
      </c>
      <c r="K121" s="514">
        <v>12</v>
      </c>
      <c r="L121" s="515">
        <v>138758.39999999999</v>
      </c>
      <c r="M121" s="514">
        <v>11.5</v>
      </c>
      <c r="N121" s="515">
        <v>132976.79999999999</v>
      </c>
      <c r="O121" s="514">
        <v>4.4583680000000001E-2</v>
      </c>
      <c r="P121" s="515">
        <v>515.53</v>
      </c>
      <c r="Q121" s="515">
        <v>-809.42</v>
      </c>
      <c r="R121" s="515">
        <v>721.41</v>
      </c>
      <c r="S121" s="504" t="str">
        <f t="shared" si="1"/>
        <v>36</v>
      </c>
      <c r="T121" s="394"/>
    </row>
    <row r="122" spans="1:20" ht="15" x14ac:dyDescent="0.25">
      <c r="A122" s="513" t="s">
        <v>402</v>
      </c>
      <c r="B122" s="513" t="s">
        <v>1163</v>
      </c>
      <c r="C122" s="513" t="s">
        <v>800</v>
      </c>
      <c r="D122" s="513" t="s">
        <v>359</v>
      </c>
      <c r="E122" s="514">
        <v>40</v>
      </c>
      <c r="F122" s="514">
        <v>-7.0000000000000007E-2</v>
      </c>
      <c r="G122" s="514">
        <v>2049</v>
      </c>
      <c r="H122" s="515">
        <v>3570663.22</v>
      </c>
      <c r="I122" s="514">
        <v>10.172392439999999</v>
      </c>
      <c r="J122" s="515">
        <v>36322187.530000001</v>
      </c>
      <c r="K122" s="514">
        <v>39.590000000000003</v>
      </c>
      <c r="L122" s="515">
        <v>141362556.88</v>
      </c>
      <c r="M122" s="514">
        <v>29.5</v>
      </c>
      <c r="N122" s="515">
        <v>105334564.98999999</v>
      </c>
      <c r="O122" s="514">
        <v>0.27264139999999998</v>
      </c>
      <c r="P122" s="515">
        <v>973510.61</v>
      </c>
      <c r="Q122" s="515">
        <v>-249946.43</v>
      </c>
      <c r="R122" s="515">
        <v>1362292.88</v>
      </c>
      <c r="S122" s="504" t="str">
        <f t="shared" si="1"/>
        <v>36</v>
      </c>
      <c r="T122" s="394"/>
    </row>
    <row r="123" spans="1:20" ht="15" x14ac:dyDescent="0.25">
      <c r="A123" s="513" t="s">
        <v>402</v>
      </c>
      <c r="B123" s="513" t="s">
        <v>1163</v>
      </c>
      <c r="C123" s="513" t="s">
        <v>801</v>
      </c>
      <c r="D123" s="513" t="s">
        <v>405</v>
      </c>
      <c r="E123" s="514">
        <v>30</v>
      </c>
      <c r="F123" s="514">
        <v>-7.0000000000000007E-2</v>
      </c>
      <c r="G123" s="514">
        <v>2049</v>
      </c>
      <c r="H123" s="515">
        <v>13144185.57</v>
      </c>
      <c r="I123" s="514">
        <v>10.450344319999999</v>
      </c>
      <c r="J123" s="515">
        <v>137361264.97</v>
      </c>
      <c r="K123" s="514">
        <v>30</v>
      </c>
      <c r="L123" s="515">
        <v>394325567.10000002</v>
      </c>
      <c r="M123" s="514">
        <v>19.500834000000001</v>
      </c>
      <c r="N123" s="515">
        <v>256322580.87</v>
      </c>
      <c r="O123" s="514">
        <v>0.37447024000000001</v>
      </c>
      <c r="P123" s="515">
        <v>4922106.3</v>
      </c>
      <c r="Q123" s="515">
        <v>-920092.99</v>
      </c>
      <c r="R123" s="515">
        <v>6887804.0999999996</v>
      </c>
      <c r="S123" s="504" t="str">
        <f t="shared" si="1"/>
        <v>36</v>
      </c>
      <c r="T123" s="394"/>
    </row>
    <row r="124" spans="1:20" ht="15" x14ac:dyDescent="0.25">
      <c r="A124" s="513" t="s">
        <v>402</v>
      </c>
      <c r="B124" s="513" t="s">
        <v>1163</v>
      </c>
      <c r="C124" s="513" t="s">
        <v>802</v>
      </c>
      <c r="D124" s="513" t="s">
        <v>407</v>
      </c>
      <c r="E124" s="514">
        <v>20</v>
      </c>
      <c r="F124" s="514">
        <v>-7.0000000000000007E-2</v>
      </c>
      <c r="G124" s="514">
        <v>2049</v>
      </c>
      <c r="H124" s="515">
        <v>752517.3</v>
      </c>
      <c r="I124" s="514">
        <v>10.32878079</v>
      </c>
      <c r="J124" s="515">
        <v>7772586.2300000004</v>
      </c>
      <c r="K124" s="514">
        <v>20</v>
      </c>
      <c r="L124" s="515">
        <v>15050346</v>
      </c>
      <c r="M124" s="514">
        <v>9.9333229999999997</v>
      </c>
      <c r="N124" s="515">
        <v>7474997.4000000004</v>
      </c>
      <c r="O124" s="514">
        <v>0.53856722999999995</v>
      </c>
      <c r="P124" s="515">
        <v>405281.16</v>
      </c>
      <c r="Q124" s="515">
        <v>-52676.21</v>
      </c>
      <c r="R124" s="515">
        <v>567134.69999999995</v>
      </c>
      <c r="S124" s="504" t="str">
        <f t="shared" si="1"/>
        <v>36</v>
      </c>
      <c r="T124" s="394"/>
    </row>
    <row r="125" spans="1:20" ht="15" x14ac:dyDescent="0.25">
      <c r="A125" s="513" t="s">
        <v>402</v>
      </c>
      <c r="B125" s="513" t="s">
        <v>1163</v>
      </c>
      <c r="C125" s="513" t="s">
        <v>803</v>
      </c>
      <c r="D125" s="513" t="s">
        <v>123</v>
      </c>
      <c r="E125" s="514"/>
      <c r="F125" s="514">
        <v>-7.0000000000000007E-2</v>
      </c>
      <c r="G125" s="514">
        <v>2049</v>
      </c>
      <c r="H125" s="515">
        <v>17478929.289999999</v>
      </c>
      <c r="I125" s="514">
        <v>10.381746919999999</v>
      </c>
      <c r="J125" s="515">
        <v>181461820.33000001</v>
      </c>
      <c r="K125" s="514">
        <v>31.516646089999998</v>
      </c>
      <c r="L125" s="515">
        <v>550877228.38</v>
      </c>
      <c r="M125" s="514">
        <v>21.126300929999999</v>
      </c>
      <c r="N125" s="515">
        <v>369265120.06</v>
      </c>
      <c r="O125" s="514">
        <v>0.36051485</v>
      </c>
      <c r="P125" s="515">
        <v>6301413.5999999996</v>
      </c>
      <c r="Q125" s="515">
        <v>-1223525.05</v>
      </c>
      <c r="R125" s="515">
        <v>8817953.0899999999</v>
      </c>
      <c r="S125" s="504" t="str">
        <f t="shared" si="1"/>
        <v>36</v>
      </c>
      <c r="T125" s="394"/>
    </row>
    <row r="126" spans="1:20" ht="15" x14ac:dyDescent="0.25">
      <c r="A126" s="513" t="s">
        <v>402</v>
      </c>
      <c r="B126" s="513" t="s">
        <v>1163</v>
      </c>
      <c r="C126" s="513" t="s">
        <v>823</v>
      </c>
      <c r="D126" s="513" t="s">
        <v>359</v>
      </c>
      <c r="E126" s="514">
        <v>40</v>
      </c>
      <c r="F126" s="514">
        <v>-0.05</v>
      </c>
      <c r="G126" s="514">
        <v>2049</v>
      </c>
      <c r="H126" s="515">
        <v>8779123.7200000007</v>
      </c>
      <c r="I126" s="514">
        <v>10.49562912</v>
      </c>
      <c r="J126" s="515">
        <v>92142426.599999994</v>
      </c>
      <c r="K126" s="514">
        <v>40</v>
      </c>
      <c r="L126" s="515">
        <v>351164948.80000001</v>
      </c>
      <c r="M126" s="514">
        <v>29.5</v>
      </c>
      <c r="N126" s="515">
        <v>258984149.74000001</v>
      </c>
      <c r="O126" s="514">
        <v>0.27553351999999998</v>
      </c>
      <c r="P126" s="515">
        <v>2418942.88</v>
      </c>
      <c r="Q126" s="515">
        <v>-438956.19</v>
      </c>
      <c r="R126" s="515">
        <v>2571079.0299999998</v>
      </c>
      <c r="S126" s="504" t="str">
        <f t="shared" si="1"/>
        <v>36</v>
      </c>
      <c r="T126" s="394"/>
    </row>
    <row r="127" spans="1:20" ht="15" x14ac:dyDescent="0.25">
      <c r="A127" s="513" t="s">
        <v>402</v>
      </c>
      <c r="B127" s="513" t="s">
        <v>1163</v>
      </c>
      <c r="C127" s="513" t="s">
        <v>824</v>
      </c>
      <c r="D127" s="513" t="s">
        <v>405</v>
      </c>
      <c r="E127" s="514">
        <v>30</v>
      </c>
      <c r="F127" s="514">
        <v>-0.05</v>
      </c>
      <c r="G127" s="514">
        <v>2049</v>
      </c>
      <c r="H127" s="515">
        <v>4471813.59</v>
      </c>
      <c r="I127" s="514">
        <v>10.5</v>
      </c>
      <c r="J127" s="515">
        <v>46954042.700000003</v>
      </c>
      <c r="K127" s="514">
        <v>30</v>
      </c>
      <c r="L127" s="515">
        <v>134154407.7</v>
      </c>
      <c r="M127" s="514">
        <v>19.454546000000001</v>
      </c>
      <c r="N127" s="515">
        <v>86997103.189999998</v>
      </c>
      <c r="O127" s="514">
        <v>0.36909090999999999</v>
      </c>
      <c r="P127" s="515">
        <v>1650505.73</v>
      </c>
      <c r="Q127" s="515">
        <v>-223590.68</v>
      </c>
      <c r="R127" s="515">
        <v>1754312.06</v>
      </c>
      <c r="S127" s="504" t="str">
        <f t="shared" si="1"/>
        <v>36</v>
      </c>
      <c r="T127" s="394"/>
    </row>
    <row r="128" spans="1:20" ht="15" x14ac:dyDescent="0.25">
      <c r="A128" s="513" t="s">
        <v>402</v>
      </c>
      <c r="B128" s="513" t="s">
        <v>1163</v>
      </c>
      <c r="C128" s="513" t="s">
        <v>825</v>
      </c>
      <c r="D128" s="513" t="s">
        <v>407</v>
      </c>
      <c r="E128" s="514">
        <v>20</v>
      </c>
      <c r="F128" s="514">
        <v>-0.05</v>
      </c>
      <c r="G128" s="514">
        <v>2049</v>
      </c>
      <c r="H128" s="515">
        <v>958294.48</v>
      </c>
      <c r="I128" s="514">
        <v>10.475381260000001</v>
      </c>
      <c r="J128" s="515">
        <v>10038500.039999999</v>
      </c>
      <c r="K128" s="514">
        <v>20</v>
      </c>
      <c r="L128" s="515">
        <v>19165889.600000001</v>
      </c>
      <c r="M128" s="514">
        <v>9.7919429999999998</v>
      </c>
      <c r="N128" s="515">
        <v>9383564.9299999997</v>
      </c>
      <c r="O128" s="514">
        <v>0.53592302000000003</v>
      </c>
      <c r="P128" s="515">
        <v>513572.07</v>
      </c>
      <c r="Q128" s="515">
        <v>-47914.720000000001</v>
      </c>
      <c r="R128" s="515">
        <v>545872.5</v>
      </c>
      <c r="S128" s="504" t="str">
        <f t="shared" si="1"/>
        <v>36</v>
      </c>
    </row>
    <row r="129" spans="1:20" ht="15" x14ac:dyDescent="0.25">
      <c r="A129" s="513" t="s">
        <v>402</v>
      </c>
      <c r="B129" s="513" t="s">
        <v>1163</v>
      </c>
      <c r="C129" s="513" t="s">
        <v>826</v>
      </c>
      <c r="D129" s="513" t="s">
        <v>123</v>
      </c>
      <c r="E129" s="514"/>
      <c r="F129" s="514">
        <v>-0.05</v>
      </c>
      <c r="G129" s="514">
        <v>2049</v>
      </c>
      <c r="H129" s="515">
        <v>14209231.789999999</v>
      </c>
      <c r="I129" s="514">
        <v>10.49563914</v>
      </c>
      <c r="J129" s="515">
        <v>149134969.34</v>
      </c>
      <c r="K129" s="514">
        <v>35.504047900000003</v>
      </c>
      <c r="L129" s="515">
        <v>504485246.10000002</v>
      </c>
      <c r="M129" s="514">
        <v>25.009432109999999</v>
      </c>
      <c r="N129" s="515">
        <v>355364817.86000001</v>
      </c>
      <c r="O129" s="514">
        <v>0.32253823999999998</v>
      </c>
      <c r="P129" s="515">
        <v>4583020.68</v>
      </c>
      <c r="Q129" s="515">
        <v>-710461.59</v>
      </c>
      <c r="R129" s="515">
        <v>4871263.59</v>
      </c>
      <c r="S129" s="504" t="str">
        <f t="shared" si="1"/>
        <v>36</v>
      </c>
    </row>
    <row r="130" spans="1:20" ht="15" x14ac:dyDescent="0.25">
      <c r="A130" s="516" t="s">
        <v>402</v>
      </c>
      <c r="B130" s="516" t="s">
        <v>1163</v>
      </c>
      <c r="C130" s="516" t="s">
        <v>837</v>
      </c>
      <c r="D130" s="516" t="s">
        <v>359</v>
      </c>
      <c r="E130" s="517">
        <v>40</v>
      </c>
      <c r="F130" s="517">
        <v>-0.02</v>
      </c>
      <c r="G130" s="517">
        <v>2049</v>
      </c>
      <c r="H130" s="518">
        <v>11736.48</v>
      </c>
      <c r="I130" s="517">
        <v>10.5</v>
      </c>
      <c r="J130" s="518">
        <v>123233.04</v>
      </c>
      <c r="K130" s="517">
        <v>40</v>
      </c>
      <c r="L130" s="518">
        <v>469459.20000000001</v>
      </c>
      <c r="M130" s="517">
        <v>29.5</v>
      </c>
      <c r="N130" s="518">
        <v>346226.16</v>
      </c>
      <c r="O130" s="517">
        <v>0.26774978999999999</v>
      </c>
      <c r="P130" s="518">
        <v>3142.44</v>
      </c>
      <c r="Q130" s="518">
        <v>-234.73</v>
      </c>
      <c r="R130" s="518">
        <v>4176.12</v>
      </c>
      <c r="S130" s="504" t="str">
        <f t="shared" ref="S130:S193" si="2">MID(C130,5,2)</f>
        <v>36</v>
      </c>
    </row>
    <row r="131" spans="1:20" ht="15" x14ac:dyDescent="0.25">
      <c r="A131" s="516" t="s">
        <v>402</v>
      </c>
      <c r="B131" s="516" t="s">
        <v>1163</v>
      </c>
      <c r="C131" s="516" t="s">
        <v>839</v>
      </c>
      <c r="D131" s="516" t="s">
        <v>123</v>
      </c>
      <c r="E131" s="517"/>
      <c r="F131" s="517">
        <v>-0.02</v>
      </c>
      <c r="G131" s="517">
        <v>2049</v>
      </c>
      <c r="H131" s="518">
        <v>11736.48</v>
      </c>
      <c r="I131" s="517">
        <v>10.5</v>
      </c>
      <c r="J131" s="518">
        <v>123233.04</v>
      </c>
      <c r="K131" s="517">
        <v>40</v>
      </c>
      <c r="L131" s="518">
        <v>469459.20000000001</v>
      </c>
      <c r="M131" s="517">
        <v>29.5</v>
      </c>
      <c r="N131" s="518">
        <v>346226.16</v>
      </c>
      <c r="O131" s="517">
        <v>0.26774978999999999</v>
      </c>
      <c r="P131" s="518">
        <v>3142.44</v>
      </c>
      <c r="Q131" s="518">
        <v>-234.73</v>
      </c>
      <c r="R131" s="518">
        <v>4176.12</v>
      </c>
      <c r="S131" s="504" t="str">
        <f t="shared" si="2"/>
        <v>36</v>
      </c>
    </row>
    <row r="132" spans="1:20" ht="15" x14ac:dyDescent="0.25">
      <c r="A132" s="513" t="s">
        <v>402</v>
      </c>
      <c r="B132" s="513" t="s">
        <v>1163</v>
      </c>
      <c r="C132" s="513" t="s">
        <v>403</v>
      </c>
      <c r="D132" s="513" t="s">
        <v>359</v>
      </c>
      <c r="E132" s="514">
        <v>75</v>
      </c>
      <c r="F132" s="514">
        <v>-0.02</v>
      </c>
      <c r="G132" s="514">
        <v>2045</v>
      </c>
      <c r="H132" s="515">
        <v>161128605.15000001</v>
      </c>
      <c r="I132" s="514">
        <v>14.27004041</v>
      </c>
      <c r="J132" s="515">
        <v>2299311705.9000001</v>
      </c>
      <c r="K132" s="514">
        <v>37.159999999999997</v>
      </c>
      <c r="L132" s="515">
        <v>5987538967.3699999</v>
      </c>
      <c r="M132" s="514">
        <v>25.5</v>
      </c>
      <c r="N132" s="515">
        <v>4108779431.3299999</v>
      </c>
      <c r="O132" s="514">
        <v>0.31996291999999998</v>
      </c>
      <c r="P132" s="515">
        <v>51555178.880000003</v>
      </c>
      <c r="Q132" s="515">
        <v>-3222572.1</v>
      </c>
      <c r="R132" s="515">
        <v>43414312.359999999</v>
      </c>
      <c r="S132" s="504" t="str">
        <f t="shared" si="2"/>
        <v>40</v>
      </c>
    </row>
    <row r="133" spans="1:20" ht="15" x14ac:dyDescent="0.25">
      <c r="A133" s="513" t="s">
        <v>402</v>
      </c>
      <c r="B133" s="513" t="s">
        <v>1163</v>
      </c>
      <c r="C133" s="513" t="s">
        <v>404</v>
      </c>
      <c r="D133" s="513" t="s">
        <v>405</v>
      </c>
      <c r="E133" s="514">
        <v>35</v>
      </c>
      <c r="F133" s="514">
        <v>-0.02</v>
      </c>
      <c r="G133" s="514">
        <v>2045</v>
      </c>
      <c r="H133" s="515">
        <v>52341939.990000002</v>
      </c>
      <c r="I133" s="514">
        <v>7.9547379500000002</v>
      </c>
      <c r="J133" s="515">
        <v>416366416.39999998</v>
      </c>
      <c r="K133" s="514">
        <v>29.54</v>
      </c>
      <c r="L133" s="515">
        <v>1546180907.3</v>
      </c>
      <c r="M133" s="514">
        <v>22.868141999999999</v>
      </c>
      <c r="N133" s="515">
        <v>1196962916.25</v>
      </c>
      <c r="O133" s="514">
        <v>0.23044664000000001</v>
      </c>
      <c r="P133" s="515">
        <v>12062024.17</v>
      </c>
      <c r="Q133" s="515">
        <v>-1046838.8</v>
      </c>
      <c r="R133" s="515">
        <v>10157359.48</v>
      </c>
      <c r="S133" s="504" t="str">
        <f t="shared" si="2"/>
        <v>40</v>
      </c>
    </row>
    <row r="134" spans="1:20" ht="15" x14ac:dyDescent="0.25">
      <c r="A134" s="513" t="s">
        <v>402</v>
      </c>
      <c r="B134" s="513" t="s">
        <v>1163</v>
      </c>
      <c r="C134" s="513" t="s">
        <v>406</v>
      </c>
      <c r="D134" s="513" t="s">
        <v>407</v>
      </c>
      <c r="E134" s="514">
        <v>20</v>
      </c>
      <c r="F134" s="514">
        <v>-0.02</v>
      </c>
      <c r="G134" s="514">
        <v>2045</v>
      </c>
      <c r="H134" s="515">
        <v>10771074.85</v>
      </c>
      <c r="I134" s="514">
        <v>11.389544470000001</v>
      </c>
      <c r="J134" s="515">
        <v>122677635.95</v>
      </c>
      <c r="K134" s="514">
        <v>20</v>
      </c>
      <c r="L134" s="515">
        <v>215421497</v>
      </c>
      <c r="M134" s="514">
        <v>11.497679</v>
      </c>
      <c r="N134" s="515">
        <v>123842361.11</v>
      </c>
      <c r="O134" s="514">
        <v>0.46061350000000001</v>
      </c>
      <c r="P134" s="515">
        <v>4961302.5</v>
      </c>
      <c r="Q134" s="515">
        <v>-215421.5</v>
      </c>
      <c r="R134" s="515">
        <v>4177883.61</v>
      </c>
      <c r="S134" s="504" t="str">
        <f t="shared" si="2"/>
        <v>40</v>
      </c>
    </row>
    <row r="135" spans="1:20" ht="15" x14ac:dyDescent="0.25">
      <c r="A135" s="513" t="s">
        <v>402</v>
      </c>
      <c r="B135" s="513" t="s">
        <v>1163</v>
      </c>
      <c r="C135" s="513" t="s">
        <v>408</v>
      </c>
      <c r="D135" s="513" t="s">
        <v>123</v>
      </c>
      <c r="E135" s="514"/>
      <c r="F135" s="514">
        <v>-0.02</v>
      </c>
      <c r="G135" s="514">
        <v>2045</v>
      </c>
      <c r="H135" s="515">
        <v>224241619.99000001</v>
      </c>
      <c r="I135" s="514">
        <v>12.657577829999999</v>
      </c>
      <c r="J135" s="515">
        <v>2838355758.2399998</v>
      </c>
      <c r="K135" s="514">
        <v>34.557105730000004</v>
      </c>
      <c r="L135" s="515">
        <v>7749141371.6800003</v>
      </c>
      <c r="M135" s="514">
        <v>24.21309973</v>
      </c>
      <c r="N135" s="515">
        <v>5429584708.6800003</v>
      </c>
      <c r="O135" s="514">
        <v>0.30582416000000001</v>
      </c>
      <c r="P135" s="515">
        <v>68578505.549999997</v>
      </c>
      <c r="Q135" s="515">
        <v>-4484832.4000000004</v>
      </c>
      <c r="R135" s="515">
        <v>57749555.450000003</v>
      </c>
      <c r="S135" s="504" t="str">
        <f t="shared" si="2"/>
        <v>40</v>
      </c>
    </row>
    <row r="136" spans="1:20" ht="15" x14ac:dyDescent="0.25">
      <c r="A136" s="513" t="s">
        <v>402</v>
      </c>
      <c r="B136" s="513" t="s">
        <v>1163</v>
      </c>
      <c r="C136" s="513" t="s">
        <v>449</v>
      </c>
      <c r="D136" s="513" t="s">
        <v>359</v>
      </c>
      <c r="E136" s="514">
        <v>75</v>
      </c>
      <c r="F136" s="514">
        <v>-0.05</v>
      </c>
      <c r="G136" s="514">
        <v>2045</v>
      </c>
      <c r="H136" s="515">
        <v>85481215.180000007</v>
      </c>
      <c r="I136" s="514">
        <v>14.904382350000001</v>
      </c>
      <c r="J136" s="515">
        <v>1274044714.8099999</v>
      </c>
      <c r="K136" s="514">
        <v>37.92</v>
      </c>
      <c r="L136" s="515">
        <v>3241447679.6300001</v>
      </c>
      <c r="M136" s="514">
        <v>25.5</v>
      </c>
      <c r="N136" s="515">
        <v>2179770987.0900002</v>
      </c>
      <c r="O136" s="514">
        <v>0.34385930999999997</v>
      </c>
      <c r="P136" s="515">
        <v>29393511.289999999</v>
      </c>
      <c r="Q136" s="515">
        <v>-4274060.76</v>
      </c>
      <c r="R136" s="515">
        <v>3727193.28</v>
      </c>
      <c r="S136" s="504" t="str">
        <f t="shared" si="2"/>
        <v>40</v>
      </c>
    </row>
    <row r="137" spans="1:20" ht="15" x14ac:dyDescent="0.25">
      <c r="A137" s="513" t="s">
        <v>402</v>
      </c>
      <c r="B137" s="513" t="s">
        <v>1163</v>
      </c>
      <c r="C137" s="513" t="s">
        <v>450</v>
      </c>
      <c r="D137" s="513" t="s">
        <v>405</v>
      </c>
      <c r="E137" s="514">
        <v>35</v>
      </c>
      <c r="F137" s="514">
        <v>-0.05</v>
      </c>
      <c r="G137" s="514">
        <v>2045</v>
      </c>
      <c r="H137" s="515">
        <v>53840251.719999999</v>
      </c>
      <c r="I137" s="514">
        <v>10.0250979</v>
      </c>
      <c r="J137" s="515">
        <v>539753794.21000004</v>
      </c>
      <c r="K137" s="514">
        <v>30.87</v>
      </c>
      <c r="L137" s="515">
        <v>1662048570.5999999</v>
      </c>
      <c r="M137" s="514">
        <v>21.998646000000001</v>
      </c>
      <c r="N137" s="515">
        <v>1184412638.1400001</v>
      </c>
      <c r="O137" s="514">
        <v>0.30167389</v>
      </c>
      <c r="P137" s="515">
        <v>16242198.08</v>
      </c>
      <c r="Q137" s="515">
        <v>-2692012.59</v>
      </c>
      <c r="R137" s="515">
        <v>2059563.79</v>
      </c>
      <c r="S137" s="504" t="str">
        <f t="shared" si="2"/>
        <v>40</v>
      </c>
    </row>
    <row r="138" spans="1:20" ht="15" x14ac:dyDescent="0.25">
      <c r="A138" s="513" t="s">
        <v>402</v>
      </c>
      <c r="B138" s="513" t="s">
        <v>1163</v>
      </c>
      <c r="C138" s="513" t="s">
        <v>451</v>
      </c>
      <c r="D138" s="513" t="s">
        <v>407</v>
      </c>
      <c r="E138" s="514">
        <v>20</v>
      </c>
      <c r="F138" s="514">
        <v>-0.05</v>
      </c>
      <c r="G138" s="514">
        <v>2045</v>
      </c>
      <c r="H138" s="515">
        <v>43106238.859999999</v>
      </c>
      <c r="I138" s="514">
        <v>7.2485340200000001</v>
      </c>
      <c r="J138" s="515">
        <v>312457038.75999999</v>
      </c>
      <c r="K138" s="514">
        <v>20</v>
      </c>
      <c r="L138" s="515">
        <v>862124777.20000005</v>
      </c>
      <c r="M138" s="514">
        <v>13.074043</v>
      </c>
      <c r="N138" s="515">
        <v>563572820.41999996</v>
      </c>
      <c r="O138" s="514">
        <v>0.36869394</v>
      </c>
      <c r="P138" s="515">
        <v>15893009.02</v>
      </c>
      <c r="Q138" s="515">
        <v>-2155311.94</v>
      </c>
      <c r="R138" s="515">
        <v>2015285.47</v>
      </c>
      <c r="S138" s="504" t="str">
        <f t="shared" si="2"/>
        <v>40</v>
      </c>
    </row>
    <row r="139" spans="1:20" ht="15" x14ac:dyDescent="0.25">
      <c r="A139" s="513" t="s">
        <v>402</v>
      </c>
      <c r="B139" s="513" t="s">
        <v>1163</v>
      </c>
      <c r="C139" s="513" t="s">
        <v>452</v>
      </c>
      <c r="D139" s="513" t="s">
        <v>123</v>
      </c>
      <c r="E139" s="514"/>
      <c r="F139" s="514">
        <v>-0.05</v>
      </c>
      <c r="G139" s="514">
        <v>2045</v>
      </c>
      <c r="H139" s="515">
        <v>182427705.75999999</v>
      </c>
      <c r="I139" s="514">
        <v>11.65533239</v>
      </c>
      <c r="J139" s="515">
        <v>2126255547.78</v>
      </c>
      <c r="K139" s="514">
        <v>31.60496375</v>
      </c>
      <c r="L139" s="515">
        <v>5765621027.4200001</v>
      </c>
      <c r="M139" s="514">
        <v>21.530482060000001</v>
      </c>
      <c r="N139" s="515">
        <v>3927756445.6500001</v>
      </c>
      <c r="O139" s="514">
        <v>0.33727727000000002</v>
      </c>
      <c r="P139" s="515">
        <v>61528718.390000001</v>
      </c>
      <c r="Q139" s="515">
        <v>-9121385.2899999991</v>
      </c>
      <c r="R139" s="515">
        <v>7802042.54</v>
      </c>
      <c r="S139" s="504" t="str">
        <f t="shared" si="2"/>
        <v>40</v>
      </c>
    </row>
    <row r="140" spans="1:20" ht="15" x14ac:dyDescent="0.25">
      <c r="A140" s="513" t="s">
        <v>402</v>
      </c>
      <c r="B140" s="513" t="s">
        <v>1163</v>
      </c>
      <c r="C140" s="513" t="s">
        <v>493</v>
      </c>
      <c r="D140" s="513" t="s">
        <v>359</v>
      </c>
      <c r="E140" s="514">
        <v>75</v>
      </c>
      <c r="F140" s="514">
        <v>-0.06</v>
      </c>
      <c r="G140" s="514">
        <v>2045</v>
      </c>
      <c r="H140" s="515">
        <v>4444877.3099999996</v>
      </c>
      <c r="I140" s="514">
        <v>35.739673959999998</v>
      </c>
      <c r="J140" s="515">
        <v>158858465.87</v>
      </c>
      <c r="K140" s="514">
        <v>56.27</v>
      </c>
      <c r="L140" s="515">
        <v>250113246.22999999</v>
      </c>
      <c r="M140" s="514">
        <v>25.5</v>
      </c>
      <c r="N140" s="515">
        <v>113344371.41</v>
      </c>
      <c r="O140" s="514">
        <v>0.57960582999999999</v>
      </c>
      <c r="P140" s="515">
        <v>2576276.79</v>
      </c>
      <c r="Q140" s="515">
        <v>-266692.64</v>
      </c>
      <c r="R140" s="515">
        <v>1897592.14</v>
      </c>
      <c r="S140" s="504" t="str">
        <f t="shared" si="2"/>
        <v>40</v>
      </c>
    </row>
    <row r="141" spans="1:20" ht="15" x14ac:dyDescent="0.25">
      <c r="A141" s="513" t="s">
        <v>402</v>
      </c>
      <c r="B141" s="513" t="s">
        <v>1163</v>
      </c>
      <c r="C141" s="513" t="s">
        <v>494</v>
      </c>
      <c r="D141" s="513" t="s">
        <v>405</v>
      </c>
      <c r="E141" s="514">
        <v>35</v>
      </c>
      <c r="F141" s="514">
        <v>-0.06</v>
      </c>
      <c r="G141" s="514">
        <v>2045</v>
      </c>
      <c r="H141" s="515">
        <v>4205160.8099999996</v>
      </c>
      <c r="I141" s="514">
        <v>8.0407729700000008</v>
      </c>
      <c r="J141" s="515">
        <v>33812743.380000003</v>
      </c>
      <c r="K141" s="514">
        <v>30.1</v>
      </c>
      <c r="L141" s="515">
        <v>126575340.38</v>
      </c>
      <c r="M141" s="514">
        <v>22.982119000000001</v>
      </c>
      <c r="N141" s="515">
        <v>96643506.150000006</v>
      </c>
      <c r="O141" s="514">
        <v>0.25077588000000001</v>
      </c>
      <c r="P141" s="515">
        <v>1054552.8899999999</v>
      </c>
      <c r="Q141" s="515">
        <v>-252309.65</v>
      </c>
      <c r="R141" s="515">
        <v>776745.45</v>
      </c>
      <c r="S141" s="504" t="str">
        <f t="shared" si="2"/>
        <v>40</v>
      </c>
    </row>
    <row r="142" spans="1:20" ht="15" x14ac:dyDescent="0.25">
      <c r="A142" s="513" t="s">
        <v>402</v>
      </c>
      <c r="B142" s="513" t="s">
        <v>1163</v>
      </c>
      <c r="C142" s="513" t="s">
        <v>495</v>
      </c>
      <c r="D142" s="513" t="s">
        <v>407</v>
      </c>
      <c r="E142" s="514">
        <v>20</v>
      </c>
      <c r="F142" s="514">
        <v>-0.06</v>
      </c>
      <c r="G142" s="514">
        <v>2045</v>
      </c>
      <c r="H142" s="515">
        <v>160831.07</v>
      </c>
      <c r="I142" s="514">
        <v>3.6045489499999999</v>
      </c>
      <c r="J142" s="515">
        <v>579723.47</v>
      </c>
      <c r="K142" s="514">
        <v>20</v>
      </c>
      <c r="L142" s="515">
        <v>3216621.4</v>
      </c>
      <c r="M142" s="514">
        <v>16.346035000000001</v>
      </c>
      <c r="N142" s="515">
        <v>2628950.2999999998</v>
      </c>
      <c r="O142" s="514">
        <v>0.19366016</v>
      </c>
      <c r="P142" s="515">
        <v>31146.57</v>
      </c>
      <c r="Q142" s="515">
        <v>-9649.86</v>
      </c>
      <c r="R142" s="515">
        <v>22941.439999999999</v>
      </c>
      <c r="S142" s="504" t="str">
        <f t="shared" si="2"/>
        <v>40</v>
      </c>
    </row>
    <row r="143" spans="1:20" ht="15" x14ac:dyDescent="0.25">
      <c r="A143" s="513" t="s">
        <v>402</v>
      </c>
      <c r="B143" s="513" t="s">
        <v>1163</v>
      </c>
      <c r="C143" s="513" t="s">
        <v>496</v>
      </c>
      <c r="D143" s="513" t="s">
        <v>123</v>
      </c>
      <c r="E143" s="514"/>
      <c r="F143" s="514">
        <v>-0.06</v>
      </c>
      <c r="G143" s="514">
        <v>2045</v>
      </c>
      <c r="H143" s="515">
        <v>8810869.1899999995</v>
      </c>
      <c r="I143" s="514">
        <v>21.933242740000001</v>
      </c>
      <c r="J143" s="515">
        <v>193250932.71000001</v>
      </c>
      <c r="K143" s="514">
        <v>43.117790059999997</v>
      </c>
      <c r="L143" s="515">
        <v>379905208.00999999</v>
      </c>
      <c r="M143" s="514">
        <v>24.131197870000001</v>
      </c>
      <c r="N143" s="515">
        <v>212616827.84999999</v>
      </c>
      <c r="O143" s="514">
        <v>0.41562031999999999</v>
      </c>
      <c r="P143" s="515">
        <v>3661976.25</v>
      </c>
      <c r="Q143" s="515">
        <v>-528652.15</v>
      </c>
      <c r="R143" s="515">
        <v>2697279.03</v>
      </c>
      <c r="S143" s="504" t="str">
        <f t="shared" si="2"/>
        <v>40</v>
      </c>
      <c r="T143" s="394"/>
    </row>
    <row r="144" spans="1:20" ht="15" x14ac:dyDescent="0.25">
      <c r="A144" s="513" t="s">
        <v>402</v>
      </c>
      <c r="B144" s="513" t="s">
        <v>1163</v>
      </c>
      <c r="C144" s="513" t="s">
        <v>513</v>
      </c>
      <c r="D144" s="513" t="s">
        <v>359</v>
      </c>
      <c r="E144" s="514">
        <v>75</v>
      </c>
      <c r="F144" s="514">
        <v>-0.05</v>
      </c>
      <c r="G144" s="514">
        <v>2045</v>
      </c>
      <c r="H144" s="515">
        <v>16365330.199999999</v>
      </c>
      <c r="I144" s="514">
        <v>14.92812234</v>
      </c>
      <c r="J144" s="515">
        <v>244303651.34</v>
      </c>
      <c r="K144" s="514">
        <v>38.6</v>
      </c>
      <c r="L144" s="515">
        <v>631701745.72000003</v>
      </c>
      <c r="M144" s="514">
        <v>25.5</v>
      </c>
      <c r="N144" s="515">
        <v>417315920.10000002</v>
      </c>
      <c r="O144" s="514">
        <v>0.35628330000000002</v>
      </c>
      <c r="P144" s="515">
        <v>5830693.8300000001</v>
      </c>
      <c r="Q144" s="515">
        <v>-818266.51</v>
      </c>
      <c r="R144" s="515">
        <v>5054142.6900000004</v>
      </c>
      <c r="S144" s="504" t="str">
        <f t="shared" si="2"/>
        <v>40</v>
      </c>
      <c r="T144" s="394"/>
    </row>
    <row r="145" spans="1:20" ht="15" x14ac:dyDescent="0.25">
      <c r="A145" s="513" t="s">
        <v>402</v>
      </c>
      <c r="B145" s="513" t="s">
        <v>1163</v>
      </c>
      <c r="C145" s="513" t="s">
        <v>514</v>
      </c>
      <c r="D145" s="513" t="s">
        <v>405</v>
      </c>
      <c r="E145" s="514">
        <v>35</v>
      </c>
      <c r="F145" s="514">
        <v>-0.05</v>
      </c>
      <c r="G145" s="514">
        <v>2045</v>
      </c>
      <c r="H145" s="515">
        <v>19358451.18</v>
      </c>
      <c r="I145" s="514">
        <v>9.3657510300000002</v>
      </c>
      <c r="J145" s="515">
        <v>181306434.13</v>
      </c>
      <c r="K145" s="514">
        <v>31.05</v>
      </c>
      <c r="L145" s="515">
        <v>601079909.13999999</v>
      </c>
      <c r="M145" s="514">
        <v>22.479852999999999</v>
      </c>
      <c r="N145" s="515">
        <v>435175136.82999998</v>
      </c>
      <c r="O145" s="514">
        <v>0.28986283000000002</v>
      </c>
      <c r="P145" s="515">
        <v>5611295.4199999999</v>
      </c>
      <c r="Q145" s="515">
        <v>-967922.56</v>
      </c>
      <c r="R145" s="515">
        <v>4863964.4800000004</v>
      </c>
      <c r="S145" s="504" t="str">
        <f t="shared" si="2"/>
        <v>40</v>
      </c>
      <c r="T145" s="394"/>
    </row>
    <row r="146" spans="1:20" ht="15" x14ac:dyDescent="0.25">
      <c r="A146" s="513" t="s">
        <v>402</v>
      </c>
      <c r="B146" s="513" t="s">
        <v>1163</v>
      </c>
      <c r="C146" s="513" t="s">
        <v>515</v>
      </c>
      <c r="D146" s="513" t="s">
        <v>407</v>
      </c>
      <c r="E146" s="514">
        <v>20</v>
      </c>
      <c r="F146" s="514">
        <v>-0.05</v>
      </c>
      <c r="G146" s="514">
        <v>2045</v>
      </c>
      <c r="H146" s="515">
        <v>7593510.6100000003</v>
      </c>
      <c r="I146" s="514">
        <v>7.1024682500000003</v>
      </c>
      <c r="J146" s="515">
        <v>53932668.039999999</v>
      </c>
      <c r="K146" s="514">
        <v>20</v>
      </c>
      <c r="L146" s="515">
        <v>151870212.19999999</v>
      </c>
      <c r="M146" s="514">
        <v>13.260335</v>
      </c>
      <c r="N146" s="515">
        <v>100692494.51000001</v>
      </c>
      <c r="O146" s="514">
        <v>0.35413697</v>
      </c>
      <c r="P146" s="515">
        <v>2689142.83</v>
      </c>
      <c r="Q146" s="515">
        <v>-379675.53</v>
      </c>
      <c r="R146" s="515">
        <v>2330993.87</v>
      </c>
      <c r="S146" s="504" t="str">
        <f t="shared" si="2"/>
        <v>40</v>
      </c>
      <c r="T146" s="394"/>
    </row>
    <row r="147" spans="1:20" ht="15" x14ac:dyDescent="0.25">
      <c r="A147" s="513" t="s">
        <v>402</v>
      </c>
      <c r="B147" s="513" t="s">
        <v>1163</v>
      </c>
      <c r="C147" s="513" t="s">
        <v>516</v>
      </c>
      <c r="D147" s="513" t="s">
        <v>123</v>
      </c>
      <c r="E147" s="514"/>
      <c r="F147" s="514">
        <v>-0.05</v>
      </c>
      <c r="G147" s="514">
        <v>2045</v>
      </c>
      <c r="H147" s="515">
        <v>43317291.990000002</v>
      </c>
      <c r="I147" s="514">
        <v>11.07046935</v>
      </c>
      <c r="J147" s="515">
        <v>479542753.51999998</v>
      </c>
      <c r="K147" s="514">
        <v>31.96533771</v>
      </c>
      <c r="L147" s="515">
        <v>1384651867.0599999</v>
      </c>
      <c r="M147" s="514">
        <v>22.004689299999999</v>
      </c>
      <c r="N147" s="515">
        <v>953183551.45000005</v>
      </c>
      <c r="O147" s="514">
        <v>0.32622381</v>
      </c>
      <c r="P147" s="515">
        <v>14131132.08</v>
      </c>
      <c r="Q147" s="515">
        <v>-2165864.6</v>
      </c>
      <c r="R147" s="515">
        <v>12249101.039999999</v>
      </c>
      <c r="S147" s="504" t="str">
        <f t="shared" si="2"/>
        <v>40</v>
      </c>
      <c r="T147" s="394"/>
    </row>
    <row r="148" spans="1:20" ht="15" x14ac:dyDescent="0.25">
      <c r="A148" s="513" t="s">
        <v>402</v>
      </c>
      <c r="B148" s="513" t="s">
        <v>1163</v>
      </c>
      <c r="C148" s="513" t="s">
        <v>557</v>
      </c>
      <c r="D148" s="513" t="s">
        <v>359</v>
      </c>
      <c r="E148" s="514">
        <v>75</v>
      </c>
      <c r="F148" s="514">
        <v>-0.02</v>
      </c>
      <c r="G148" s="514">
        <v>2045</v>
      </c>
      <c r="H148" s="515">
        <v>10520058.99</v>
      </c>
      <c r="I148" s="514">
        <v>11.37287832</v>
      </c>
      <c r="J148" s="515">
        <v>119643350.8</v>
      </c>
      <c r="K148" s="514">
        <v>35.49</v>
      </c>
      <c r="L148" s="515">
        <v>373356893.56</v>
      </c>
      <c r="M148" s="514">
        <v>25.5</v>
      </c>
      <c r="N148" s="515">
        <v>268261504.25</v>
      </c>
      <c r="O148" s="514">
        <v>0.28713906</v>
      </c>
      <c r="P148" s="515">
        <v>3020719.86</v>
      </c>
      <c r="Q148" s="515">
        <v>-210401.18</v>
      </c>
      <c r="R148" s="515">
        <v>3065008.49</v>
      </c>
      <c r="S148" s="504" t="str">
        <f t="shared" si="2"/>
        <v>40</v>
      </c>
      <c r="T148" s="394"/>
    </row>
    <row r="149" spans="1:20" ht="15" x14ac:dyDescent="0.25">
      <c r="A149" s="513" t="s">
        <v>402</v>
      </c>
      <c r="B149" s="513" t="s">
        <v>1163</v>
      </c>
      <c r="C149" s="513" t="s">
        <v>558</v>
      </c>
      <c r="D149" s="513" t="s">
        <v>405</v>
      </c>
      <c r="E149" s="514">
        <v>35</v>
      </c>
      <c r="F149" s="514">
        <v>-0.02</v>
      </c>
      <c r="G149" s="514">
        <v>2045</v>
      </c>
      <c r="H149" s="515">
        <v>7547653.2800000003</v>
      </c>
      <c r="I149" s="514">
        <v>7.8023280599999998</v>
      </c>
      <c r="J149" s="515">
        <v>58889266.939999998</v>
      </c>
      <c r="K149" s="514">
        <v>31.12</v>
      </c>
      <c r="L149" s="515">
        <v>234882970.06999999</v>
      </c>
      <c r="M149" s="514">
        <v>23.445056999999998</v>
      </c>
      <c r="N149" s="515">
        <v>176955161.37</v>
      </c>
      <c r="O149" s="514">
        <v>0.25149421999999999</v>
      </c>
      <c r="P149" s="515">
        <v>1898191.2</v>
      </c>
      <c r="Q149" s="515">
        <v>-150953.07</v>
      </c>
      <c r="R149" s="515">
        <v>1926021.75</v>
      </c>
      <c r="S149" s="504" t="str">
        <f t="shared" si="2"/>
        <v>40</v>
      </c>
      <c r="T149" s="394"/>
    </row>
    <row r="150" spans="1:20" ht="15" x14ac:dyDescent="0.25">
      <c r="A150" s="513" t="s">
        <v>402</v>
      </c>
      <c r="B150" s="513" t="s">
        <v>1163</v>
      </c>
      <c r="C150" s="513" t="s">
        <v>559</v>
      </c>
      <c r="D150" s="513" t="s">
        <v>407</v>
      </c>
      <c r="E150" s="514">
        <v>20</v>
      </c>
      <c r="F150" s="514">
        <v>-0.02</v>
      </c>
      <c r="G150" s="514">
        <v>2045</v>
      </c>
      <c r="H150" s="515">
        <v>6797805.2599999998</v>
      </c>
      <c r="I150" s="514">
        <v>8.9812951600000002</v>
      </c>
      <c r="J150" s="515">
        <v>61053095.479999997</v>
      </c>
      <c r="K150" s="514">
        <v>20</v>
      </c>
      <c r="L150" s="515">
        <v>135956105.19999999</v>
      </c>
      <c r="M150" s="514">
        <v>13.392893000000001</v>
      </c>
      <c r="N150" s="515">
        <v>91042278.480000004</v>
      </c>
      <c r="O150" s="514">
        <v>0.37014585</v>
      </c>
      <c r="P150" s="515">
        <v>2516179.4</v>
      </c>
      <c r="Q150" s="515">
        <v>-135956.10999999999</v>
      </c>
      <c r="R150" s="515">
        <v>2553070.66</v>
      </c>
      <c r="S150" s="504" t="str">
        <f t="shared" si="2"/>
        <v>40</v>
      </c>
      <c r="T150" s="394"/>
    </row>
    <row r="151" spans="1:20" ht="15" x14ac:dyDescent="0.25">
      <c r="A151" s="513" t="s">
        <v>402</v>
      </c>
      <c r="B151" s="513" t="s">
        <v>1163</v>
      </c>
      <c r="C151" s="513" t="s">
        <v>560</v>
      </c>
      <c r="D151" s="513" t="s">
        <v>123</v>
      </c>
      <c r="E151" s="514"/>
      <c r="F151" s="514">
        <v>-0.02</v>
      </c>
      <c r="G151" s="514">
        <v>2045</v>
      </c>
      <c r="H151" s="515">
        <v>24865517.530000001</v>
      </c>
      <c r="I151" s="514">
        <v>9.6352594699999994</v>
      </c>
      <c r="J151" s="515">
        <v>239585713.22</v>
      </c>
      <c r="K151" s="514">
        <v>29.928834899999998</v>
      </c>
      <c r="L151" s="515">
        <v>744195968.83000004</v>
      </c>
      <c r="M151" s="514">
        <v>21.56636971</v>
      </c>
      <c r="N151" s="515">
        <v>536258944.08999997</v>
      </c>
      <c r="O151" s="514">
        <v>0.29901209000000001</v>
      </c>
      <c r="P151" s="515">
        <v>7435090.46</v>
      </c>
      <c r="Q151" s="515">
        <v>-497310.35</v>
      </c>
      <c r="R151" s="515">
        <v>7544100.9000000004</v>
      </c>
      <c r="S151" s="504" t="str">
        <f t="shared" si="2"/>
        <v>40</v>
      </c>
    </row>
    <row r="152" spans="1:20" ht="15" x14ac:dyDescent="0.25">
      <c r="A152" s="513" t="s">
        <v>402</v>
      </c>
      <c r="B152" s="513" t="s">
        <v>1163</v>
      </c>
      <c r="C152" s="513" t="s">
        <v>409</v>
      </c>
      <c r="D152" s="513" t="s">
        <v>359</v>
      </c>
      <c r="E152" s="514">
        <v>65</v>
      </c>
      <c r="F152" s="514">
        <v>-0.02</v>
      </c>
      <c r="G152" s="514">
        <v>2035</v>
      </c>
      <c r="H152" s="515">
        <v>6640049.54</v>
      </c>
      <c r="I152" s="514">
        <v>44.732187449999998</v>
      </c>
      <c r="J152" s="515">
        <v>297023940.69999999</v>
      </c>
      <c r="K152" s="514">
        <v>56.75</v>
      </c>
      <c r="L152" s="515">
        <v>376822811.39999998</v>
      </c>
      <c r="M152" s="514">
        <v>15.5</v>
      </c>
      <c r="N152" s="515">
        <v>102920767.87</v>
      </c>
      <c r="O152" s="514">
        <v>0.74140746000000002</v>
      </c>
      <c r="P152" s="515">
        <v>4922982.26</v>
      </c>
      <c r="Q152" s="515">
        <v>-132800.99</v>
      </c>
      <c r="R152" s="515">
        <v>4059377.46</v>
      </c>
      <c r="S152" s="504" t="str">
        <f t="shared" si="2"/>
        <v>41</v>
      </c>
    </row>
    <row r="153" spans="1:20" ht="15" x14ac:dyDescent="0.25">
      <c r="A153" s="513" t="s">
        <v>402</v>
      </c>
      <c r="B153" s="513" t="s">
        <v>1163</v>
      </c>
      <c r="C153" s="513" t="s">
        <v>410</v>
      </c>
      <c r="D153" s="513" t="s">
        <v>405</v>
      </c>
      <c r="E153" s="514">
        <v>35</v>
      </c>
      <c r="F153" s="514">
        <v>-0.02</v>
      </c>
      <c r="G153" s="514">
        <v>2035</v>
      </c>
      <c r="H153" s="515">
        <v>467144.25</v>
      </c>
      <c r="I153" s="514">
        <v>18.147151470000001</v>
      </c>
      <c r="J153" s="515">
        <v>8477337.4700000007</v>
      </c>
      <c r="K153" s="514">
        <v>27.09</v>
      </c>
      <c r="L153" s="515">
        <v>12654937.73</v>
      </c>
      <c r="M153" s="514">
        <v>12.685242000000001</v>
      </c>
      <c r="N153" s="515">
        <v>5925837.8600000003</v>
      </c>
      <c r="O153" s="514">
        <v>0.54235765999999996</v>
      </c>
      <c r="P153" s="515">
        <v>253359.26</v>
      </c>
      <c r="Q153" s="515">
        <v>-9342.89</v>
      </c>
      <c r="R153" s="515">
        <v>208914.19</v>
      </c>
      <c r="S153" s="504" t="str">
        <f t="shared" si="2"/>
        <v>41</v>
      </c>
    </row>
    <row r="154" spans="1:20" ht="15" x14ac:dyDescent="0.25">
      <c r="A154" s="513" t="s">
        <v>402</v>
      </c>
      <c r="B154" s="513" t="s">
        <v>1163</v>
      </c>
      <c r="C154" s="513" t="s">
        <v>411</v>
      </c>
      <c r="D154" s="513" t="s">
        <v>407</v>
      </c>
      <c r="E154" s="514">
        <v>20</v>
      </c>
      <c r="F154" s="514">
        <v>-0.02</v>
      </c>
      <c r="G154" s="514">
        <v>2035</v>
      </c>
      <c r="H154" s="515">
        <v>179932.45</v>
      </c>
      <c r="I154" s="514">
        <v>19.08844122</v>
      </c>
      <c r="J154" s="515">
        <v>3434630</v>
      </c>
      <c r="K154" s="514">
        <v>19.190000000000001</v>
      </c>
      <c r="L154" s="515">
        <v>3452903.72</v>
      </c>
      <c r="M154" s="514">
        <v>6.0307870000000001</v>
      </c>
      <c r="N154" s="515">
        <v>1085134.28</v>
      </c>
      <c r="O154" s="514">
        <v>0.70305101000000003</v>
      </c>
      <c r="P154" s="515">
        <v>126501.69</v>
      </c>
      <c r="Q154" s="515">
        <v>-3598.65</v>
      </c>
      <c r="R154" s="515">
        <v>104310.38</v>
      </c>
      <c r="S154" s="504" t="str">
        <f t="shared" si="2"/>
        <v>41</v>
      </c>
    </row>
    <row r="155" spans="1:20" ht="15" x14ac:dyDescent="0.25">
      <c r="A155" s="513" t="s">
        <v>402</v>
      </c>
      <c r="B155" s="513" t="s">
        <v>1163</v>
      </c>
      <c r="C155" s="513" t="s">
        <v>412</v>
      </c>
      <c r="D155" s="513" t="s">
        <v>123</v>
      </c>
      <c r="E155" s="514"/>
      <c r="F155" s="514">
        <v>-0.02</v>
      </c>
      <c r="G155" s="514">
        <v>2035</v>
      </c>
      <c r="H155" s="515">
        <v>7287126.2400000002</v>
      </c>
      <c r="I155" s="514">
        <v>42.39475178</v>
      </c>
      <c r="J155" s="515">
        <v>308935908.16000003</v>
      </c>
      <c r="K155" s="514">
        <v>53.92120843</v>
      </c>
      <c r="L155" s="515">
        <v>392930652.83999997</v>
      </c>
      <c r="M155" s="514">
        <v>15.08574662</v>
      </c>
      <c r="N155" s="515">
        <v>109931740.01000001</v>
      </c>
      <c r="O155" s="514">
        <v>0.72770020000000002</v>
      </c>
      <c r="P155" s="515">
        <v>5302843.21</v>
      </c>
      <c r="Q155" s="515">
        <v>-145742.51999999999</v>
      </c>
      <c r="R155" s="515">
        <v>4372602.03</v>
      </c>
      <c r="S155" s="504" t="str">
        <f t="shared" si="2"/>
        <v>41</v>
      </c>
    </row>
    <row r="156" spans="1:20" ht="15" x14ac:dyDescent="0.25">
      <c r="A156" s="513" t="s">
        <v>402</v>
      </c>
      <c r="B156" s="513" t="s">
        <v>1163</v>
      </c>
      <c r="C156" s="513" t="s">
        <v>453</v>
      </c>
      <c r="D156" s="513" t="s">
        <v>359</v>
      </c>
      <c r="E156" s="514">
        <v>65</v>
      </c>
      <c r="F156" s="514">
        <v>-0.05</v>
      </c>
      <c r="G156" s="514">
        <v>2035</v>
      </c>
      <c r="H156" s="515">
        <v>33249414.289999999</v>
      </c>
      <c r="I156" s="514">
        <v>24.884464210000001</v>
      </c>
      <c r="J156" s="515">
        <v>827393860.02999997</v>
      </c>
      <c r="K156" s="514">
        <v>33.68</v>
      </c>
      <c r="L156" s="515">
        <v>1119840273.29</v>
      </c>
      <c r="M156" s="514">
        <v>15.5</v>
      </c>
      <c r="N156" s="515">
        <v>515365921.5</v>
      </c>
      <c r="O156" s="514">
        <v>0.56677633000000005</v>
      </c>
      <c r="P156" s="515">
        <v>18844981.109999999</v>
      </c>
      <c r="Q156" s="515">
        <v>-1662470.71</v>
      </c>
      <c r="R156" s="515">
        <v>11578866.66</v>
      </c>
      <c r="S156" s="504" t="str">
        <f t="shared" si="2"/>
        <v>41</v>
      </c>
    </row>
    <row r="157" spans="1:20" ht="15" x14ac:dyDescent="0.25">
      <c r="A157" s="513" t="s">
        <v>402</v>
      </c>
      <c r="B157" s="513" t="s">
        <v>1163</v>
      </c>
      <c r="C157" s="513" t="s">
        <v>454</v>
      </c>
      <c r="D157" s="513" t="s">
        <v>405</v>
      </c>
      <c r="E157" s="514">
        <v>35</v>
      </c>
      <c r="F157" s="514">
        <v>-0.05</v>
      </c>
      <c r="G157" s="514">
        <v>2035</v>
      </c>
      <c r="H157" s="515">
        <v>60479072.890000001</v>
      </c>
      <c r="I157" s="514">
        <v>14.055057700000001</v>
      </c>
      <c r="J157" s="515">
        <v>850036859.14999998</v>
      </c>
      <c r="K157" s="514">
        <v>26.28</v>
      </c>
      <c r="L157" s="515">
        <v>1589390035.55</v>
      </c>
      <c r="M157" s="514">
        <v>14.137328</v>
      </c>
      <c r="N157" s="515">
        <v>855012490.58000004</v>
      </c>
      <c r="O157" s="514">
        <v>0.48512105</v>
      </c>
      <c r="P157" s="515">
        <v>29339671.25</v>
      </c>
      <c r="Q157" s="515">
        <v>-3023953.64</v>
      </c>
      <c r="R157" s="515">
        <v>18027088.449999999</v>
      </c>
      <c r="S157" s="504" t="str">
        <f t="shared" si="2"/>
        <v>41</v>
      </c>
    </row>
    <row r="158" spans="1:20" ht="15" x14ac:dyDescent="0.25">
      <c r="A158" s="513" t="s">
        <v>402</v>
      </c>
      <c r="B158" s="513" t="s">
        <v>1163</v>
      </c>
      <c r="C158" s="513" t="s">
        <v>455</v>
      </c>
      <c r="D158" s="513" t="s">
        <v>407</v>
      </c>
      <c r="E158" s="514">
        <v>20</v>
      </c>
      <c r="F158" s="514">
        <v>-0.05</v>
      </c>
      <c r="G158" s="514">
        <v>2035</v>
      </c>
      <c r="H158" s="515">
        <v>9282430.0199999996</v>
      </c>
      <c r="I158" s="514">
        <v>13.529801259999999</v>
      </c>
      <c r="J158" s="515">
        <v>125589433.41</v>
      </c>
      <c r="K158" s="514">
        <v>19.440000000000001</v>
      </c>
      <c r="L158" s="515">
        <v>180450439.59</v>
      </c>
      <c r="M158" s="514">
        <v>9.1025569999999991</v>
      </c>
      <c r="N158" s="515">
        <v>84493848.359999999</v>
      </c>
      <c r="O158" s="514">
        <v>0.57752225000000001</v>
      </c>
      <c r="P158" s="515">
        <v>5360809.83</v>
      </c>
      <c r="Q158" s="515">
        <v>-464121.5</v>
      </c>
      <c r="R158" s="515">
        <v>3293826.72</v>
      </c>
      <c r="S158" s="504" t="str">
        <f t="shared" si="2"/>
        <v>41</v>
      </c>
    </row>
    <row r="159" spans="1:20" ht="15" x14ac:dyDescent="0.25">
      <c r="A159" s="513" t="s">
        <v>402</v>
      </c>
      <c r="B159" s="513" t="s">
        <v>1163</v>
      </c>
      <c r="C159" s="513" t="s">
        <v>456</v>
      </c>
      <c r="D159" s="513" t="s">
        <v>123</v>
      </c>
      <c r="E159" s="514"/>
      <c r="F159" s="514">
        <v>-0.05</v>
      </c>
      <c r="G159" s="514">
        <v>2035</v>
      </c>
      <c r="H159" s="515">
        <v>103010917.2</v>
      </c>
      <c r="I159" s="514">
        <v>17.503194820000001</v>
      </c>
      <c r="J159" s="515">
        <v>1803020152.5799999</v>
      </c>
      <c r="K159" s="514">
        <v>28.052179580000001</v>
      </c>
      <c r="L159" s="515">
        <v>2889680748.4299998</v>
      </c>
      <c r="M159" s="514">
        <v>14.123476419999999</v>
      </c>
      <c r="N159" s="515">
        <v>1454872260.4300001</v>
      </c>
      <c r="O159" s="514">
        <v>0.51980375999999995</v>
      </c>
      <c r="P159" s="515">
        <v>53545462.189999998</v>
      </c>
      <c r="Q159" s="515">
        <v>-5150545.8600000003</v>
      </c>
      <c r="R159" s="515">
        <v>32899781.829999998</v>
      </c>
      <c r="S159" s="504" t="str">
        <f t="shared" si="2"/>
        <v>41</v>
      </c>
    </row>
    <row r="160" spans="1:20" ht="15" x14ac:dyDescent="0.25">
      <c r="A160" s="513" t="s">
        <v>402</v>
      </c>
      <c r="B160" s="513" t="s">
        <v>1163</v>
      </c>
      <c r="C160" s="513" t="s">
        <v>497</v>
      </c>
      <c r="D160" s="513" t="s">
        <v>359</v>
      </c>
      <c r="E160" s="514">
        <v>65</v>
      </c>
      <c r="F160" s="514">
        <v>-0.06</v>
      </c>
      <c r="G160" s="514">
        <v>2035</v>
      </c>
      <c r="H160" s="515">
        <v>8413844.0299999993</v>
      </c>
      <c r="I160" s="514">
        <v>39.190065799999999</v>
      </c>
      <c r="J160" s="515">
        <v>329739101.13</v>
      </c>
      <c r="K160" s="514">
        <v>44.23</v>
      </c>
      <c r="L160" s="515">
        <v>372144321.44999999</v>
      </c>
      <c r="M160" s="514">
        <v>15.5</v>
      </c>
      <c r="N160" s="515">
        <v>130414582.47</v>
      </c>
      <c r="O160" s="514">
        <v>0.68856300000000004</v>
      </c>
      <c r="P160" s="515">
        <v>5793461.7000000002</v>
      </c>
      <c r="Q160" s="515">
        <v>-504830.64</v>
      </c>
      <c r="R160" s="515">
        <v>3449876.16</v>
      </c>
      <c r="S160" s="504" t="str">
        <f t="shared" si="2"/>
        <v>41</v>
      </c>
    </row>
    <row r="161" spans="1:20" ht="15" x14ac:dyDescent="0.25">
      <c r="A161" s="513" t="s">
        <v>402</v>
      </c>
      <c r="B161" s="513" t="s">
        <v>1163</v>
      </c>
      <c r="C161" s="513" t="s">
        <v>498</v>
      </c>
      <c r="D161" s="513" t="s">
        <v>405</v>
      </c>
      <c r="E161" s="514">
        <v>35</v>
      </c>
      <c r="F161" s="514">
        <v>-0.06</v>
      </c>
      <c r="G161" s="514">
        <v>2035</v>
      </c>
      <c r="H161" s="515">
        <v>24406549.640000001</v>
      </c>
      <c r="I161" s="514">
        <v>18.939898039999999</v>
      </c>
      <c r="J161" s="515">
        <v>462257561.67000002</v>
      </c>
      <c r="K161" s="514">
        <v>26.66</v>
      </c>
      <c r="L161" s="515">
        <v>650678613.39999998</v>
      </c>
      <c r="M161" s="514">
        <v>12.620723999999999</v>
      </c>
      <c r="N161" s="515">
        <v>308028326.80000001</v>
      </c>
      <c r="O161" s="514">
        <v>0.55823117</v>
      </c>
      <c r="P161" s="515">
        <v>13624496.66</v>
      </c>
      <c r="Q161" s="515">
        <v>-1464392.98</v>
      </c>
      <c r="R161" s="515">
        <v>8113081.3700000001</v>
      </c>
      <c r="S161" s="504" t="str">
        <f t="shared" si="2"/>
        <v>41</v>
      </c>
    </row>
    <row r="162" spans="1:20" ht="15" x14ac:dyDescent="0.25">
      <c r="A162" s="513" t="s">
        <v>402</v>
      </c>
      <c r="B162" s="513" t="s">
        <v>1163</v>
      </c>
      <c r="C162" s="513" t="s">
        <v>499</v>
      </c>
      <c r="D162" s="513" t="s">
        <v>407</v>
      </c>
      <c r="E162" s="514">
        <v>20</v>
      </c>
      <c r="F162" s="514">
        <v>-0.06</v>
      </c>
      <c r="G162" s="514">
        <v>2035</v>
      </c>
      <c r="H162" s="515">
        <v>17663347.789999999</v>
      </c>
      <c r="I162" s="514">
        <v>5.6816445900000003</v>
      </c>
      <c r="J162" s="515">
        <v>100356864.44</v>
      </c>
      <c r="K162" s="514">
        <v>18.46</v>
      </c>
      <c r="L162" s="515">
        <v>326065400.19999999</v>
      </c>
      <c r="M162" s="514">
        <v>12.814208000000001</v>
      </c>
      <c r="N162" s="515">
        <v>226341812.56</v>
      </c>
      <c r="O162" s="514">
        <v>0.32497704999999999</v>
      </c>
      <c r="P162" s="515">
        <v>5740182.5899999999</v>
      </c>
      <c r="Q162" s="515">
        <v>-1059800.8700000001</v>
      </c>
      <c r="R162" s="515">
        <v>3418149.64</v>
      </c>
      <c r="S162" s="504" t="str">
        <f t="shared" si="2"/>
        <v>41</v>
      </c>
    </row>
    <row r="163" spans="1:20" ht="15" x14ac:dyDescent="0.25">
      <c r="A163" s="513" t="s">
        <v>402</v>
      </c>
      <c r="B163" s="513" t="s">
        <v>1163</v>
      </c>
      <c r="C163" s="513" t="s">
        <v>500</v>
      </c>
      <c r="D163" s="513" t="s">
        <v>123</v>
      </c>
      <c r="E163" s="514"/>
      <c r="F163" s="514">
        <v>-0.06</v>
      </c>
      <c r="G163" s="514">
        <v>2035</v>
      </c>
      <c r="H163" s="515">
        <v>50483741.460000001</v>
      </c>
      <c r="I163" s="514">
        <v>17.676057709999998</v>
      </c>
      <c r="J163" s="515">
        <v>892353527.23000002</v>
      </c>
      <c r="K163" s="514">
        <v>26.719262400000002</v>
      </c>
      <c r="L163" s="515">
        <v>1348888335.05</v>
      </c>
      <c r="M163" s="514">
        <v>13.16829345</v>
      </c>
      <c r="N163" s="515">
        <v>664784721.82000005</v>
      </c>
      <c r="O163" s="514">
        <v>0.49834145000000002</v>
      </c>
      <c r="P163" s="515">
        <v>25158140.949999999</v>
      </c>
      <c r="Q163" s="515">
        <v>-3029024.49</v>
      </c>
      <c r="R163" s="515">
        <v>14981107.17</v>
      </c>
      <c r="S163" s="504" t="str">
        <f t="shared" si="2"/>
        <v>41</v>
      </c>
      <c r="T163" s="394"/>
    </row>
    <row r="164" spans="1:20" ht="15" x14ac:dyDescent="0.25">
      <c r="A164" s="513" t="s">
        <v>402</v>
      </c>
      <c r="B164" s="513" t="s">
        <v>1163</v>
      </c>
      <c r="C164" s="513" t="s">
        <v>517</v>
      </c>
      <c r="D164" s="513" t="s">
        <v>359</v>
      </c>
      <c r="E164" s="514">
        <v>65</v>
      </c>
      <c r="F164" s="514">
        <v>-0.05</v>
      </c>
      <c r="G164" s="514">
        <v>2035</v>
      </c>
      <c r="H164" s="515">
        <v>2864281.54</v>
      </c>
      <c r="I164" s="514">
        <v>40.951819059999998</v>
      </c>
      <c r="J164" s="515">
        <v>117297539.34999999</v>
      </c>
      <c r="K164" s="514">
        <v>50.14</v>
      </c>
      <c r="L164" s="515">
        <v>143615076.41999999</v>
      </c>
      <c r="M164" s="514">
        <v>15.5</v>
      </c>
      <c r="N164" s="515">
        <v>44396363.869999997</v>
      </c>
      <c r="O164" s="514">
        <v>0.72540377</v>
      </c>
      <c r="P164" s="515">
        <v>2077760.63</v>
      </c>
      <c r="Q164" s="515">
        <v>-143214.07999999999</v>
      </c>
      <c r="R164" s="515">
        <v>1776255.32</v>
      </c>
      <c r="S164" s="504" t="str">
        <f t="shared" si="2"/>
        <v>41</v>
      </c>
      <c r="T164" s="394"/>
    </row>
    <row r="165" spans="1:20" ht="15" x14ac:dyDescent="0.25">
      <c r="A165" s="513" t="s">
        <v>402</v>
      </c>
      <c r="B165" s="513" t="s">
        <v>1163</v>
      </c>
      <c r="C165" s="513" t="s">
        <v>518</v>
      </c>
      <c r="D165" s="513" t="s">
        <v>405</v>
      </c>
      <c r="E165" s="514">
        <v>35</v>
      </c>
      <c r="F165" s="514">
        <v>-0.05</v>
      </c>
      <c r="G165" s="514">
        <v>2035</v>
      </c>
      <c r="H165" s="515">
        <v>10573475.560000001</v>
      </c>
      <c r="I165" s="514">
        <v>17.958249169999998</v>
      </c>
      <c r="J165" s="515">
        <v>189881108.69999999</v>
      </c>
      <c r="K165" s="514">
        <v>27</v>
      </c>
      <c r="L165" s="515">
        <v>285483840.12</v>
      </c>
      <c r="M165" s="514">
        <v>13.073582999999999</v>
      </c>
      <c r="N165" s="515">
        <v>138233210.33000001</v>
      </c>
      <c r="O165" s="514">
        <v>0.54160280000000005</v>
      </c>
      <c r="P165" s="515">
        <v>5726623.9699999997</v>
      </c>
      <c r="Q165" s="515">
        <v>-528673.78</v>
      </c>
      <c r="R165" s="515">
        <v>4895629.51</v>
      </c>
      <c r="S165" s="504" t="str">
        <f t="shared" si="2"/>
        <v>41</v>
      </c>
      <c r="T165" s="394"/>
    </row>
    <row r="166" spans="1:20" ht="15" x14ac:dyDescent="0.25">
      <c r="A166" s="513" t="s">
        <v>402</v>
      </c>
      <c r="B166" s="513" t="s">
        <v>1163</v>
      </c>
      <c r="C166" s="513" t="s">
        <v>519</v>
      </c>
      <c r="D166" s="513" t="s">
        <v>407</v>
      </c>
      <c r="E166" s="514">
        <v>20</v>
      </c>
      <c r="F166" s="514">
        <v>-0.05</v>
      </c>
      <c r="G166" s="514">
        <v>2035</v>
      </c>
      <c r="H166" s="515">
        <v>3580876.92</v>
      </c>
      <c r="I166" s="514">
        <v>7.6921256500000004</v>
      </c>
      <c r="J166" s="515">
        <v>27544555.210000001</v>
      </c>
      <c r="K166" s="514">
        <v>18.809999999999999</v>
      </c>
      <c r="L166" s="515">
        <v>67356294.870000005</v>
      </c>
      <c r="M166" s="514">
        <v>11.861890000000001</v>
      </c>
      <c r="N166" s="515">
        <v>42475968.130000003</v>
      </c>
      <c r="O166" s="514">
        <v>0.39275728999999998</v>
      </c>
      <c r="P166" s="515">
        <v>1406415.51</v>
      </c>
      <c r="Q166" s="515">
        <v>-179043.85</v>
      </c>
      <c r="R166" s="515">
        <v>1202329.56</v>
      </c>
      <c r="S166" s="504" t="str">
        <f t="shared" si="2"/>
        <v>41</v>
      </c>
      <c r="T166" s="394"/>
    </row>
    <row r="167" spans="1:20" ht="15" x14ac:dyDescent="0.25">
      <c r="A167" s="513" t="s">
        <v>402</v>
      </c>
      <c r="B167" s="513" t="s">
        <v>1163</v>
      </c>
      <c r="C167" s="513" t="s">
        <v>520</v>
      </c>
      <c r="D167" s="513" t="s">
        <v>123</v>
      </c>
      <c r="E167" s="514"/>
      <c r="F167" s="514">
        <v>-0.05</v>
      </c>
      <c r="G167" s="514">
        <v>2035</v>
      </c>
      <c r="H167" s="515">
        <v>17018634.02</v>
      </c>
      <c r="I167" s="514">
        <v>19.668041680000002</v>
      </c>
      <c r="J167" s="515">
        <v>334723203.25999999</v>
      </c>
      <c r="K167" s="514">
        <v>29.171272550000001</v>
      </c>
      <c r="L167" s="515">
        <v>496455211.39999998</v>
      </c>
      <c r="M167" s="514">
        <v>13.22700412</v>
      </c>
      <c r="N167" s="515">
        <v>225105542.33000001</v>
      </c>
      <c r="O167" s="514">
        <v>0.54121852999999998</v>
      </c>
      <c r="P167" s="515">
        <v>9210800.1099999994</v>
      </c>
      <c r="Q167" s="515">
        <v>-850931.7</v>
      </c>
      <c r="R167" s="515">
        <v>7874214.3899999997</v>
      </c>
      <c r="S167" s="504" t="str">
        <f t="shared" si="2"/>
        <v>41</v>
      </c>
      <c r="T167" s="394"/>
    </row>
    <row r="168" spans="1:20" ht="15" x14ac:dyDescent="0.25">
      <c r="A168" s="513" t="s">
        <v>402</v>
      </c>
      <c r="B168" s="513" t="s">
        <v>1163</v>
      </c>
      <c r="C168" s="513" t="s">
        <v>561</v>
      </c>
      <c r="D168" s="513" t="s">
        <v>359</v>
      </c>
      <c r="E168" s="514">
        <v>65</v>
      </c>
      <c r="F168" s="514">
        <v>-0.02</v>
      </c>
      <c r="G168" s="514">
        <v>2035</v>
      </c>
      <c r="H168" s="515">
        <v>436609.61</v>
      </c>
      <c r="I168" s="514">
        <v>49.247643279999998</v>
      </c>
      <c r="J168" s="515">
        <v>21501994.329999998</v>
      </c>
      <c r="K168" s="514">
        <v>64.72</v>
      </c>
      <c r="L168" s="515">
        <v>28257373.960000001</v>
      </c>
      <c r="M168" s="514">
        <v>15.5</v>
      </c>
      <c r="N168" s="515">
        <v>6767448.96</v>
      </c>
      <c r="O168" s="514">
        <v>0.77570291999999996</v>
      </c>
      <c r="P168" s="515">
        <v>338679.35</v>
      </c>
      <c r="Q168" s="515">
        <v>-8732.19</v>
      </c>
      <c r="R168" s="515">
        <v>293938.40000000002</v>
      </c>
      <c r="S168" s="504" t="str">
        <f t="shared" si="2"/>
        <v>41</v>
      </c>
      <c r="T168" s="394"/>
    </row>
    <row r="169" spans="1:20" ht="15" x14ac:dyDescent="0.25">
      <c r="A169" s="513" t="s">
        <v>402</v>
      </c>
      <c r="B169" s="513" t="s">
        <v>1163</v>
      </c>
      <c r="C169" s="513" t="s">
        <v>562</v>
      </c>
      <c r="D169" s="513" t="s">
        <v>405</v>
      </c>
      <c r="E169" s="514">
        <v>35</v>
      </c>
      <c r="F169" s="514">
        <v>-0.02</v>
      </c>
      <c r="G169" s="514">
        <v>2035</v>
      </c>
      <c r="H169" s="515">
        <v>296040.96000000002</v>
      </c>
      <c r="I169" s="514">
        <v>11.30599786</v>
      </c>
      <c r="J169" s="515">
        <v>3347038.46</v>
      </c>
      <c r="K169" s="514">
        <v>25.55</v>
      </c>
      <c r="L169" s="515">
        <v>7563846.5300000003</v>
      </c>
      <c r="M169" s="514">
        <v>14.908156</v>
      </c>
      <c r="N169" s="515">
        <v>4413424.8099999996</v>
      </c>
      <c r="O169" s="514">
        <v>0.42479281000000002</v>
      </c>
      <c r="P169" s="515">
        <v>125756.07</v>
      </c>
      <c r="Q169" s="515">
        <v>-5920.82</v>
      </c>
      <c r="R169" s="515">
        <v>109143.17</v>
      </c>
      <c r="S169" s="504" t="str">
        <f t="shared" si="2"/>
        <v>41</v>
      </c>
      <c r="T169" s="394"/>
    </row>
    <row r="170" spans="1:20" ht="15" x14ac:dyDescent="0.25">
      <c r="A170" s="513" t="s">
        <v>402</v>
      </c>
      <c r="B170" s="513" t="s">
        <v>1163</v>
      </c>
      <c r="C170" s="513" t="s">
        <v>563</v>
      </c>
      <c r="D170" s="513" t="s">
        <v>407</v>
      </c>
      <c r="E170" s="514">
        <v>20</v>
      </c>
      <c r="F170" s="514">
        <v>-0.02</v>
      </c>
      <c r="G170" s="514">
        <v>2035</v>
      </c>
      <c r="H170" s="515">
        <v>237133.13</v>
      </c>
      <c r="I170" s="514">
        <v>9.5</v>
      </c>
      <c r="J170" s="515">
        <v>2252764.7400000002</v>
      </c>
      <c r="K170" s="514">
        <v>20</v>
      </c>
      <c r="L170" s="515">
        <v>4742662.5999999996</v>
      </c>
      <c r="M170" s="514">
        <v>10.268020999999999</v>
      </c>
      <c r="N170" s="515">
        <v>2434887.96</v>
      </c>
      <c r="O170" s="514">
        <v>0.49633090000000002</v>
      </c>
      <c r="P170" s="515">
        <v>117696.5</v>
      </c>
      <c r="Q170" s="515">
        <v>-4742.66</v>
      </c>
      <c r="R170" s="515">
        <v>102148.3</v>
      </c>
      <c r="S170" s="504" t="str">
        <f t="shared" si="2"/>
        <v>41</v>
      </c>
      <c r="T170" s="394"/>
    </row>
    <row r="171" spans="1:20" ht="15" x14ac:dyDescent="0.25">
      <c r="A171" s="513" t="s">
        <v>402</v>
      </c>
      <c r="B171" s="513" t="s">
        <v>1163</v>
      </c>
      <c r="C171" s="513" t="s">
        <v>564</v>
      </c>
      <c r="D171" s="513" t="s">
        <v>123</v>
      </c>
      <c r="E171" s="514"/>
      <c r="F171" s="514">
        <v>-0.02</v>
      </c>
      <c r="G171" s="514">
        <v>2035</v>
      </c>
      <c r="H171" s="515">
        <v>969783.7</v>
      </c>
      <c r="I171" s="514">
        <v>27.946229160000001</v>
      </c>
      <c r="J171" s="515">
        <v>27101797.52</v>
      </c>
      <c r="K171" s="514">
        <v>41.827763330000003</v>
      </c>
      <c r="L171" s="515">
        <v>40563883.090000004</v>
      </c>
      <c r="M171" s="514">
        <v>14.039998539999999</v>
      </c>
      <c r="N171" s="515">
        <v>13615761.73</v>
      </c>
      <c r="O171" s="514">
        <v>0.60026984999999999</v>
      </c>
      <c r="P171" s="515">
        <v>582131.92000000004</v>
      </c>
      <c r="Q171" s="515">
        <v>-19395.669999999998</v>
      </c>
      <c r="R171" s="515">
        <v>505229.87</v>
      </c>
      <c r="S171" s="504" t="str">
        <f t="shared" si="2"/>
        <v>41</v>
      </c>
    </row>
    <row r="172" spans="1:20" ht="15" x14ac:dyDescent="0.25">
      <c r="A172" s="513" t="s">
        <v>402</v>
      </c>
      <c r="B172" s="513" t="s">
        <v>1163</v>
      </c>
      <c r="C172" s="513" t="s">
        <v>413</v>
      </c>
      <c r="D172" s="513" t="s">
        <v>359</v>
      </c>
      <c r="E172" s="514">
        <v>65</v>
      </c>
      <c r="F172" s="514">
        <v>-0.02</v>
      </c>
      <c r="G172" s="514">
        <v>2038</v>
      </c>
      <c r="H172" s="515">
        <v>6499171.7599999998</v>
      </c>
      <c r="I172" s="514">
        <v>41.70562666</v>
      </c>
      <c r="J172" s="515">
        <v>271052031.02999997</v>
      </c>
      <c r="K172" s="514">
        <v>59.04</v>
      </c>
      <c r="L172" s="515">
        <v>383711100.70999998</v>
      </c>
      <c r="M172" s="514">
        <v>18.5</v>
      </c>
      <c r="N172" s="515">
        <v>120234677.56</v>
      </c>
      <c r="O172" s="514">
        <v>0.70041027</v>
      </c>
      <c r="P172" s="515">
        <v>4552086.6399999997</v>
      </c>
      <c r="Q172" s="515">
        <v>-129983.44</v>
      </c>
      <c r="R172" s="515">
        <v>3753136.26</v>
      </c>
      <c r="S172" s="504" t="str">
        <f t="shared" si="2"/>
        <v>42</v>
      </c>
    </row>
    <row r="173" spans="1:20" ht="15" x14ac:dyDescent="0.25">
      <c r="A173" s="513" t="s">
        <v>402</v>
      </c>
      <c r="B173" s="513" t="s">
        <v>1163</v>
      </c>
      <c r="C173" s="513" t="s">
        <v>414</v>
      </c>
      <c r="D173" s="513" t="s">
        <v>405</v>
      </c>
      <c r="E173" s="514">
        <v>35</v>
      </c>
      <c r="F173" s="514">
        <v>-0.02</v>
      </c>
      <c r="G173" s="514">
        <v>2038</v>
      </c>
      <c r="H173" s="515">
        <v>455204.54</v>
      </c>
      <c r="I173" s="514">
        <v>10.75885098</v>
      </c>
      <c r="J173" s="515">
        <v>4897477.8099999996</v>
      </c>
      <c r="K173" s="514">
        <v>22.92</v>
      </c>
      <c r="L173" s="515">
        <v>10433288.060000001</v>
      </c>
      <c r="M173" s="514">
        <v>16.625748000000002</v>
      </c>
      <c r="N173" s="515">
        <v>7568115.9699999997</v>
      </c>
      <c r="O173" s="514">
        <v>0.28021252000000002</v>
      </c>
      <c r="P173" s="515">
        <v>127554.01</v>
      </c>
      <c r="Q173" s="515">
        <v>-9104.09</v>
      </c>
      <c r="R173" s="515">
        <v>105166.62</v>
      </c>
      <c r="S173" s="504" t="str">
        <f t="shared" si="2"/>
        <v>42</v>
      </c>
    </row>
    <row r="174" spans="1:20" ht="15" x14ac:dyDescent="0.25">
      <c r="A174" s="513" t="s">
        <v>402</v>
      </c>
      <c r="B174" s="513" t="s">
        <v>1163</v>
      </c>
      <c r="C174" s="513" t="s">
        <v>415</v>
      </c>
      <c r="D174" s="513" t="s">
        <v>407</v>
      </c>
      <c r="E174" s="514">
        <v>20</v>
      </c>
      <c r="F174" s="514">
        <v>-0.02</v>
      </c>
      <c r="G174" s="514">
        <v>2038</v>
      </c>
      <c r="H174" s="515">
        <v>93433.59</v>
      </c>
      <c r="I174" s="514">
        <v>16.887203039999999</v>
      </c>
      <c r="J174" s="515">
        <v>1577832.01</v>
      </c>
      <c r="K174" s="514">
        <v>19.309999999999999</v>
      </c>
      <c r="L174" s="515">
        <v>1804202.62</v>
      </c>
      <c r="M174" s="514">
        <v>12.050431</v>
      </c>
      <c r="N174" s="515">
        <v>1125915.03</v>
      </c>
      <c r="O174" s="514">
        <v>0.53535822</v>
      </c>
      <c r="P174" s="515">
        <v>50020.44</v>
      </c>
      <c r="Q174" s="515">
        <v>-1868.67</v>
      </c>
      <c r="R174" s="515">
        <v>41241.21</v>
      </c>
      <c r="S174" s="504" t="str">
        <f t="shared" si="2"/>
        <v>42</v>
      </c>
    </row>
    <row r="175" spans="1:20" ht="15" x14ac:dyDescent="0.25">
      <c r="A175" s="513" t="s">
        <v>402</v>
      </c>
      <c r="B175" s="513" t="s">
        <v>1163</v>
      </c>
      <c r="C175" s="513" t="s">
        <v>416</v>
      </c>
      <c r="D175" s="513" t="s">
        <v>123</v>
      </c>
      <c r="E175" s="514"/>
      <c r="F175" s="514">
        <v>-0.02</v>
      </c>
      <c r="G175" s="514">
        <v>2038</v>
      </c>
      <c r="H175" s="515">
        <v>7047809.8899999997</v>
      </c>
      <c r="I175" s="514">
        <v>39.37781313</v>
      </c>
      <c r="J175" s="515">
        <v>277527340.85000002</v>
      </c>
      <c r="K175" s="514">
        <v>56.180373420000002</v>
      </c>
      <c r="L175" s="515">
        <v>395948591.38999999</v>
      </c>
      <c r="M175" s="514">
        <v>18.293443010000001</v>
      </c>
      <c r="N175" s="515">
        <v>128928708.56</v>
      </c>
      <c r="O175" s="514">
        <v>0.67108239000000003</v>
      </c>
      <c r="P175" s="515">
        <v>4729661.09</v>
      </c>
      <c r="Q175" s="515">
        <v>-140956.20000000001</v>
      </c>
      <c r="R175" s="515">
        <v>3899544.09</v>
      </c>
      <c r="S175" s="504" t="str">
        <f t="shared" si="2"/>
        <v>42</v>
      </c>
    </row>
    <row r="176" spans="1:20" ht="15" x14ac:dyDescent="0.25">
      <c r="A176" s="513" t="s">
        <v>402</v>
      </c>
      <c r="B176" s="513" t="s">
        <v>1163</v>
      </c>
      <c r="C176" s="513" t="s">
        <v>457</v>
      </c>
      <c r="D176" s="513" t="s">
        <v>359</v>
      </c>
      <c r="E176" s="514">
        <v>65</v>
      </c>
      <c r="F176" s="514">
        <v>-0.05</v>
      </c>
      <c r="G176" s="514">
        <v>2038</v>
      </c>
      <c r="H176" s="515">
        <v>22908353.690000001</v>
      </c>
      <c r="I176" s="514">
        <v>28.194556469999998</v>
      </c>
      <c r="J176" s="515">
        <v>645890871.86000001</v>
      </c>
      <c r="K176" s="514">
        <v>39.47</v>
      </c>
      <c r="L176" s="515">
        <v>904192720.13999999</v>
      </c>
      <c r="M176" s="514">
        <v>18.5</v>
      </c>
      <c r="N176" s="515">
        <v>423804543.26999998</v>
      </c>
      <c r="O176" s="514">
        <v>0.55791356000000003</v>
      </c>
      <c r="P176" s="515">
        <v>12780881.08</v>
      </c>
      <c r="Q176" s="515">
        <v>-1145417.68</v>
      </c>
      <c r="R176" s="515">
        <v>8633702</v>
      </c>
      <c r="S176" s="504" t="str">
        <f t="shared" si="2"/>
        <v>42</v>
      </c>
    </row>
    <row r="177" spans="1:20" ht="15" x14ac:dyDescent="0.25">
      <c r="A177" s="513" t="s">
        <v>402</v>
      </c>
      <c r="B177" s="513" t="s">
        <v>1163</v>
      </c>
      <c r="C177" s="513" t="s">
        <v>458</v>
      </c>
      <c r="D177" s="513" t="s">
        <v>405</v>
      </c>
      <c r="E177" s="514">
        <v>35</v>
      </c>
      <c r="F177" s="514">
        <v>-0.05</v>
      </c>
      <c r="G177" s="514">
        <v>2038</v>
      </c>
      <c r="H177" s="515">
        <v>57509648.149999999</v>
      </c>
      <c r="I177" s="514">
        <v>13.804571299999999</v>
      </c>
      <c r="J177" s="515">
        <v>793896038.33000004</v>
      </c>
      <c r="K177" s="514">
        <v>29.44</v>
      </c>
      <c r="L177" s="515">
        <v>1693084041.54</v>
      </c>
      <c r="M177" s="514">
        <v>16.597998</v>
      </c>
      <c r="N177" s="515">
        <v>954545024.97000003</v>
      </c>
      <c r="O177" s="514">
        <v>0.45809833999999999</v>
      </c>
      <c r="P177" s="515">
        <v>26345074.350000001</v>
      </c>
      <c r="Q177" s="515">
        <v>-2875482.41</v>
      </c>
      <c r="R177" s="515">
        <v>17796544.68</v>
      </c>
      <c r="S177" s="504" t="str">
        <f t="shared" si="2"/>
        <v>42</v>
      </c>
    </row>
    <row r="178" spans="1:20" ht="15" x14ac:dyDescent="0.25">
      <c r="A178" s="513" t="s">
        <v>402</v>
      </c>
      <c r="B178" s="513" t="s">
        <v>1163</v>
      </c>
      <c r="C178" s="513" t="s">
        <v>459</v>
      </c>
      <c r="D178" s="513" t="s">
        <v>407</v>
      </c>
      <c r="E178" s="514">
        <v>20</v>
      </c>
      <c r="F178" s="514">
        <v>-0.05</v>
      </c>
      <c r="G178" s="514">
        <v>2038</v>
      </c>
      <c r="H178" s="515">
        <v>5676072.9400000004</v>
      </c>
      <c r="I178" s="514">
        <v>11.82291405</v>
      </c>
      <c r="J178" s="515">
        <v>67107722.530000001</v>
      </c>
      <c r="K178" s="514">
        <v>19.91</v>
      </c>
      <c r="L178" s="515">
        <v>113010612.23999999</v>
      </c>
      <c r="M178" s="514">
        <v>9.7497299999999996</v>
      </c>
      <c r="N178" s="515">
        <v>55340178.630000003</v>
      </c>
      <c r="O178" s="514">
        <v>0.54337886999999996</v>
      </c>
      <c r="P178" s="515">
        <v>3084258.08</v>
      </c>
      <c r="Q178" s="515">
        <v>-283803.65000000002</v>
      </c>
      <c r="R178" s="515">
        <v>2083468.66</v>
      </c>
      <c r="S178" s="504" t="str">
        <f t="shared" si="2"/>
        <v>42</v>
      </c>
    </row>
    <row r="179" spans="1:20" ht="15" x14ac:dyDescent="0.25">
      <c r="A179" s="513" t="s">
        <v>402</v>
      </c>
      <c r="B179" s="513" t="s">
        <v>1163</v>
      </c>
      <c r="C179" s="513" t="s">
        <v>460</v>
      </c>
      <c r="D179" s="513" t="s">
        <v>123</v>
      </c>
      <c r="E179" s="514"/>
      <c r="F179" s="514">
        <v>-0.05</v>
      </c>
      <c r="G179" s="514">
        <v>2038</v>
      </c>
      <c r="H179" s="515">
        <v>86094074.780000001</v>
      </c>
      <c r="I179" s="514">
        <v>17.502884330000001</v>
      </c>
      <c r="J179" s="515">
        <v>1506894632.71</v>
      </c>
      <c r="K179" s="514">
        <v>31.480533139999999</v>
      </c>
      <c r="L179" s="515">
        <v>2710287373.9200001</v>
      </c>
      <c r="M179" s="514">
        <v>16.652594860000001</v>
      </c>
      <c r="N179" s="515">
        <v>1433689746.8599999</v>
      </c>
      <c r="O179" s="514">
        <v>0.49028011999999999</v>
      </c>
      <c r="P179" s="515">
        <v>42210213.509999998</v>
      </c>
      <c r="Q179" s="515">
        <v>-4304703.74</v>
      </c>
      <c r="R179" s="515">
        <v>28513715.34</v>
      </c>
      <c r="S179" s="504" t="str">
        <f t="shared" si="2"/>
        <v>42</v>
      </c>
    </row>
    <row r="180" spans="1:20" ht="15" x14ac:dyDescent="0.25">
      <c r="A180" s="513" t="s">
        <v>402</v>
      </c>
      <c r="B180" s="513" t="s">
        <v>1163</v>
      </c>
      <c r="C180" s="513" t="s">
        <v>501</v>
      </c>
      <c r="D180" s="513" t="s">
        <v>359</v>
      </c>
      <c r="E180" s="514">
        <v>65</v>
      </c>
      <c r="F180" s="514">
        <v>-0.06</v>
      </c>
      <c r="G180" s="514">
        <v>2038</v>
      </c>
      <c r="H180" s="515">
        <v>15280310.33</v>
      </c>
      <c r="I180" s="514">
        <v>27.60875733</v>
      </c>
      <c r="J180" s="515">
        <v>421870379.75999999</v>
      </c>
      <c r="K180" s="514">
        <v>38.119999999999997</v>
      </c>
      <c r="L180" s="515">
        <v>582485429.77999997</v>
      </c>
      <c r="M180" s="514">
        <v>18.5</v>
      </c>
      <c r="N180" s="515">
        <v>282685741.11000001</v>
      </c>
      <c r="O180" s="514">
        <v>0.54562834000000004</v>
      </c>
      <c r="P180" s="515">
        <v>8337370.3899999997</v>
      </c>
      <c r="Q180" s="515">
        <v>-916818.62</v>
      </c>
      <c r="R180" s="515">
        <v>7326777.25</v>
      </c>
      <c r="S180" s="504" t="str">
        <f t="shared" si="2"/>
        <v>42</v>
      </c>
    </row>
    <row r="181" spans="1:20" ht="15" x14ac:dyDescent="0.25">
      <c r="A181" s="513" t="s">
        <v>402</v>
      </c>
      <c r="B181" s="513" t="s">
        <v>1163</v>
      </c>
      <c r="C181" s="513" t="s">
        <v>502</v>
      </c>
      <c r="D181" s="513" t="s">
        <v>405</v>
      </c>
      <c r="E181" s="514">
        <v>35</v>
      </c>
      <c r="F181" s="514">
        <v>-0.06</v>
      </c>
      <c r="G181" s="514">
        <v>2038</v>
      </c>
      <c r="H181" s="515">
        <v>20078633.170000002</v>
      </c>
      <c r="I181" s="514">
        <v>16.206143860000001</v>
      </c>
      <c r="J181" s="515">
        <v>325397217.70999998</v>
      </c>
      <c r="K181" s="514">
        <v>28</v>
      </c>
      <c r="L181" s="515">
        <v>562201728.75999999</v>
      </c>
      <c r="M181" s="514">
        <v>15.3504</v>
      </c>
      <c r="N181" s="515">
        <v>308215050.61000001</v>
      </c>
      <c r="O181" s="514">
        <v>0.4788694</v>
      </c>
      <c r="P181" s="515">
        <v>9615042.9700000007</v>
      </c>
      <c r="Q181" s="515">
        <v>-1204717.99</v>
      </c>
      <c r="R181" s="515">
        <v>8449580</v>
      </c>
      <c r="S181" s="504" t="str">
        <f t="shared" si="2"/>
        <v>42</v>
      </c>
    </row>
    <row r="182" spans="1:20" ht="15" x14ac:dyDescent="0.25">
      <c r="A182" s="513" t="s">
        <v>402</v>
      </c>
      <c r="B182" s="513" t="s">
        <v>1163</v>
      </c>
      <c r="C182" s="513" t="s">
        <v>503</v>
      </c>
      <c r="D182" s="513" t="s">
        <v>407</v>
      </c>
      <c r="E182" s="514">
        <v>20</v>
      </c>
      <c r="F182" s="514">
        <v>-0.06</v>
      </c>
      <c r="G182" s="514">
        <v>2038</v>
      </c>
      <c r="H182" s="515">
        <v>15432232.42</v>
      </c>
      <c r="I182" s="514">
        <v>11.62602519</v>
      </c>
      <c r="J182" s="515">
        <v>179415522.81999999</v>
      </c>
      <c r="K182" s="514">
        <v>19.989999999999998</v>
      </c>
      <c r="L182" s="515">
        <v>308490326.07999998</v>
      </c>
      <c r="M182" s="514">
        <v>9.7098049999999994</v>
      </c>
      <c r="N182" s="515">
        <v>149843967.50999999</v>
      </c>
      <c r="O182" s="514">
        <v>0.54544334000000005</v>
      </c>
      <c r="P182" s="515">
        <v>8417408.4000000004</v>
      </c>
      <c r="Q182" s="515">
        <v>-925933.95</v>
      </c>
      <c r="R182" s="515">
        <v>7397113.6699999999</v>
      </c>
      <c r="S182" s="504" t="str">
        <f t="shared" si="2"/>
        <v>42</v>
      </c>
    </row>
    <row r="183" spans="1:20" ht="15" x14ac:dyDescent="0.25">
      <c r="A183" s="513" t="s">
        <v>402</v>
      </c>
      <c r="B183" s="513" t="s">
        <v>1163</v>
      </c>
      <c r="C183" s="513" t="s">
        <v>504</v>
      </c>
      <c r="D183" s="513" t="s">
        <v>123</v>
      </c>
      <c r="E183" s="514"/>
      <c r="F183" s="514">
        <v>-0.06</v>
      </c>
      <c r="G183" s="514">
        <v>2038</v>
      </c>
      <c r="H183" s="515">
        <v>50791175.920000002</v>
      </c>
      <c r="I183" s="514">
        <v>18.244962900000001</v>
      </c>
      <c r="J183" s="515">
        <v>926683120.27999997</v>
      </c>
      <c r="K183" s="514">
        <v>28.610825760000001</v>
      </c>
      <c r="L183" s="515">
        <v>1453177484.6199999</v>
      </c>
      <c r="M183" s="514">
        <v>14.584123050000001</v>
      </c>
      <c r="N183" s="515">
        <v>740744759.23000002</v>
      </c>
      <c r="O183" s="514">
        <v>0.51918116000000003</v>
      </c>
      <c r="P183" s="515">
        <v>26369821.760000002</v>
      </c>
      <c r="Q183" s="515">
        <v>-3047470.56</v>
      </c>
      <c r="R183" s="515">
        <v>23173470.920000002</v>
      </c>
      <c r="S183" s="504" t="str">
        <f t="shared" si="2"/>
        <v>42</v>
      </c>
    </row>
    <row r="184" spans="1:20" ht="15" x14ac:dyDescent="0.25">
      <c r="A184" s="513" t="s">
        <v>402</v>
      </c>
      <c r="B184" s="513" t="s">
        <v>1163</v>
      </c>
      <c r="C184" s="513" t="s">
        <v>521</v>
      </c>
      <c r="D184" s="513" t="s">
        <v>359</v>
      </c>
      <c r="E184" s="514">
        <v>65</v>
      </c>
      <c r="F184" s="514">
        <v>-0.05</v>
      </c>
      <c r="G184" s="514">
        <v>2038</v>
      </c>
      <c r="H184" s="515">
        <v>2156510.69</v>
      </c>
      <c r="I184" s="514">
        <v>38.600202930000002</v>
      </c>
      <c r="J184" s="515">
        <v>83241750.269999996</v>
      </c>
      <c r="K184" s="514">
        <v>51.3</v>
      </c>
      <c r="L184" s="515">
        <v>110628998.40000001</v>
      </c>
      <c r="M184" s="514">
        <v>18.5</v>
      </c>
      <c r="N184" s="515">
        <v>39895447.770000003</v>
      </c>
      <c r="O184" s="514">
        <v>0.67132711</v>
      </c>
      <c r="P184" s="515">
        <v>1447724.08</v>
      </c>
      <c r="Q184" s="515">
        <v>-107825.53</v>
      </c>
      <c r="R184" s="515">
        <v>1104991.6200000001</v>
      </c>
      <c r="S184" s="504" t="str">
        <f t="shared" si="2"/>
        <v>42</v>
      </c>
    </row>
    <row r="185" spans="1:20" ht="15" x14ac:dyDescent="0.25">
      <c r="A185" s="513" t="s">
        <v>402</v>
      </c>
      <c r="B185" s="513" t="s">
        <v>1163</v>
      </c>
      <c r="C185" s="513" t="s">
        <v>522</v>
      </c>
      <c r="D185" s="513" t="s">
        <v>405</v>
      </c>
      <c r="E185" s="514">
        <v>35</v>
      </c>
      <c r="F185" s="514">
        <v>-0.05</v>
      </c>
      <c r="G185" s="514">
        <v>2038</v>
      </c>
      <c r="H185" s="515">
        <v>7993322.4100000001</v>
      </c>
      <c r="I185" s="514">
        <v>18.370243869999999</v>
      </c>
      <c r="J185" s="515">
        <v>146839282.02000001</v>
      </c>
      <c r="K185" s="514">
        <v>27.87</v>
      </c>
      <c r="L185" s="515">
        <v>222773895.56999999</v>
      </c>
      <c r="M185" s="514">
        <v>14.369527</v>
      </c>
      <c r="N185" s="515">
        <v>114860262.19</v>
      </c>
      <c r="O185" s="514">
        <v>0.50858431999999998</v>
      </c>
      <c r="P185" s="515">
        <v>4065278.48</v>
      </c>
      <c r="Q185" s="515">
        <v>-399666.12</v>
      </c>
      <c r="R185" s="515">
        <v>3102869.32</v>
      </c>
      <c r="S185" s="504" t="str">
        <f t="shared" si="2"/>
        <v>42</v>
      </c>
    </row>
    <row r="186" spans="1:20" ht="15" x14ac:dyDescent="0.25">
      <c r="A186" s="513" t="s">
        <v>402</v>
      </c>
      <c r="B186" s="513" t="s">
        <v>1163</v>
      </c>
      <c r="C186" s="513" t="s">
        <v>523</v>
      </c>
      <c r="D186" s="513" t="s">
        <v>407</v>
      </c>
      <c r="E186" s="514">
        <v>20</v>
      </c>
      <c r="F186" s="514">
        <v>-0.05</v>
      </c>
      <c r="G186" s="514">
        <v>2038</v>
      </c>
      <c r="H186" s="515">
        <v>8720225.2699999996</v>
      </c>
      <c r="I186" s="514">
        <v>8.0731098699999997</v>
      </c>
      <c r="J186" s="515">
        <v>70399336.709999993</v>
      </c>
      <c r="K186" s="514">
        <v>19.68</v>
      </c>
      <c r="L186" s="515">
        <v>171614033.31</v>
      </c>
      <c r="M186" s="514">
        <v>11.827126</v>
      </c>
      <c r="N186" s="515">
        <v>103135203.02</v>
      </c>
      <c r="O186" s="514">
        <v>0.41887601000000002</v>
      </c>
      <c r="P186" s="515">
        <v>3652693.14</v>
      </c>
      <c r="Q186" s="515">
        <v>-436011.26</v>
      </c>
      <c r="R186" s="515">
        <v>2787958.94</v>
      </c>
      <c r="S186" s="504" t="str">
        <f t="shared" si="2"/>
        <v>42</v>
      </c>
      <c r="T186" s="394"/>
    </row>
    <row r="187" spans="1:20" ht="15" x14ac:dyDescent="0.25">
      <c r="A187" s="513" t="s">
        <v>402</v>
      </c>
      <c r="B187" s="513" t="s">
        <v>1163</v>
      </c>
      <c r="C187" s="513" t="s">
        <v>524</v>
      </c>
      <c r="D187" s="513" t="s">
        <v>123</v>
      </c>
      <c r="E187" s="514"/>
      <c r="F187" s="514">
        <v>-0.05</v>
      </c>
      <c r="G187" s="514">
        <v>2038</v>
      </c>
      <c r="H187" s="515">
        <v>18870058.370000001</v>
      </c>
      <c r="I187" s="514">
        <v>15.92365869</v>
      </c>
      <c r="J187" s="515">
        <v>300480368.99000001</v>
      </c>
      <c r="K187" s="514">
        <v>26.76287044</v>
      </c>
      <c r="L187" s="515">
        <v>505016927.27999997</v>
      </c>
      <c r="M187" s="514">
        <v>13.66667277</v>
      </c>
      <c r="N187" s="515">
        <v>257890912.97</v>
      </c>
      <c r="O187" s="514">
        <v>0.48572694</v>
      </c>
      <c r="P187" s="515">
        <v>9165695.6999999993</v>
      </c>
      <c r="Q187" s="515">
        <v>-943502.92</v>
      </c>
      <c r="R187" s="515">
        <v>6995819.8799999999</v>
      </c>
      <c r="S187" s="504" t="str">
        <f t="shared" si="2"/>
        <v>42</v>
      </c>
      <c r="T187" s="394"/>
    </row>
    <row r="188" spans="1:20" ht="15" x14ac:dyDescent="0.25">
      <c r="A188" s="513" t="s">
        <v>402</v>
      </c>
      <c r="B188" s="513" t="s">
        <v>1163</v>
      </c>
      <c r="C188" s="513" t="s">
        <v>565</v>
      </c>
      <c r="D188" s="513" t="s">
        <v>359</v>
      </c>
      <c r="E188" s="514">
        <v>65</v>
      </c>
      <c r="F188" s="514">
        <v>-0.02</v>
      </c>
      <c r="G188" s="514">
        <v>2038</v>
      </c>
      <c r="H188" s="515">
        <v>195450.09</v>
      </c>
      <c r="I188" s="514">
        <v>44.07668692</v>
      </c>
      <c r="J188" s="515">
        <v>8614792.4299999997</v>
      </c>
      <c r="K188" s="514">
        <v>59.8</v>
      </c>
      <c r="L188" s="515">
        <v>11687915.380000001</v>
      </c>
      <c r="M188" s="514">
        <v>18.5</v>
      </c>
      <c r="N188" s="515">
        <v>3615826.67</v>
      </c>
      <c r="O188" s="514">
        <v>0.70442371999999998</v>
      </c>
      <c r="P188" s="515">
        <v>137679.67999999999</v>
      </c>
      <c r="Q188" s="515">
        <v>-3909</v>
      </c>
      <c r="R188" s="515">
        <v>156140.12</v>
      </c>
      <c r="S188" s="504" t="str">
        <f t="shared" si="2"/>
        <v>42</v>
      </c>
      <c r="T188" s="394"/>
    </row>
    <row r="189" spans="1:20" ht="15" x14ac:dyDescent="0.25">
      <c r="A189" s="513" t="s">
        <v>402</v>
      </c>
      <c r="B189" s="513" t="s">
        <v>1163</v>
      </c>
      <c r="C189" s="513" t="s">
        <v>566</v>
      </c>
      <c r="D189" s="513" t="s">
        <v>405</v>
      </c>
      <c r="E189" s="514">
        <v>35</v>
      </c>
      <c r="F189" s="514">
        <v>-0.02</v>
      </c>
      <c r="G189" s="514">
        <v>2038</v>
      </c>
      <c r="H189" s="515">
        <v>335584.25</v>
      </c>
      <c r="I189" s="514">
        <v>29.617114409999999</v>
      </c>
      <c r="J189" s="515">
        <v>9939037.1300000008</v>
      </c>
      <c r="K189" s="514">
        <v>35</v>
      </c>
      <c r="L189" s="515">
        <v>11745448.75</v>
      </c>
      <c r="M189" s="514">
        <v>7.7126700000000001</v>
      </c>
      <c r="N189" s="515">
        <v>2588250.58</v>
      </c>
      <c r="O189" s="514">
        <v>0.79523076999999998</v>
      </c>
      <c r="P189" s="515">
        <v>266866.92</v>
      </c>
      <c r="Q189" s="515">
        <v>-6711.69</v>
      </c>
      <c r="R189" s="515">
        <v>302649.11</v>
      </c>
      <c r="S189" s="504" t="str">
        <f t="shared" si="2"/>
        <v>42</v>
      </c>
    </row>
    <row r="190" spans="1:20" ht="15" x14ac:dyDescent="0.25">
      <c r="A190" s="513" t="s">
        <v>402</v>
      </c>
      <c r="B190" s="513" t="s">
        <v>1163</v>
      </c>
      <c r="C190" s="513" t="s">
        <v>567</v>
      </c>
      <c r="D190" s="513" t="s">
        <v>407</v>
      </c>
      <c r="E190" s="514">
        <v>20</v>
      </c>
      <c r="F190" s="514">
        <v>-0.02</v>
      </c>
      <c r="G190" s="514">
        <v>2038</v>
      </c>
      <c r="H190" s="515">
        <v>15916.05</v>
      </c>
      <c r="I190" s="514">
        <v>11.5</v>
      </c>
      <c r="J190" s="515">
        <v>183034.58</v>
      </c>
      <c r="K190" s="514">
        <v>20</v>
      </c>
      <c r="L190" s="515">
        <v>318321</v>
      </c>
      <c r="M190" s="514">
        <v>8.9033169999999995</v>
      </c>
      <c r="N190" s="515">
        <v>141705.64000000001</v>
      </c>
      <c r="O190" s="514">
        <v>0.56593062000000005</v>
      </c>
      <c r="P190" s="515">
        <v>9007.3799999999992</v>
      </c>
      <c r="Q190" s="515">
        <v>-318.32</v>
      </c>
      <c r="R190" s="515">
        <v>10215.11</v>
      </c>
      <c r="S190" s="504" t="str">
        <f t="shared" si="2"/>
        <v>42</v>
      </c>
    </row>
    <row r="191" spans="1:20" ht="15" x14ac:dyDescent="0.25">
      <c r="A191" s="513" t="s">
        <v>402</v>
      </c>
      <c r="B191" s="513" t="s">
        <v>1163</v>
      </c>
      <c r="C191" s="513" t="s">
        <v>568</v>
      </c>
      <c r="D191" s="513" t="s">
        <v>123</v>
      </c>
      <c r="E191" s="514"/>
      <c r="F191" s="514">
        <v>-0.02</v>
      </c>
      <c r="G191" s="514">
        <v>2038</v>
      </c>
      <c r="H191" s="515">
        <v>546950.39</v>
      </c>
      <c r="I191" s="514">
        <v>34.256971870000001</v>
      </c>
      <c r="J191" s="515">
        <v>18736864.129999999</v>
      </c>
      <c r="K191" s="514">
        <v>43.425666319999998</v>
      </c>
      <c r="L191" s="515">
        <v>23751685.129999999</v>
      </c>
      <c r="M191" s="514">
        <v>11.602117850000001</v>
      </c>
      <c r="N191" s="515">
        <v>6345782.8799999999</v>
      </c>
      <c r="O191" s="514">
        <v>0.75610876000000005</v>
      </c>
      <c r="P191" s="515">
        <v>413553.98</v>
      </c>
      <c r="Q191" s="515">
        <v>-10939.01</v>
      </c>
      <c r="R191" s="515">
        <v>469004.34</v>
      </c>
      <c r="S191" s="504" t="str">
        <f t="shared" si="2"/>
        <v>42</v>
      </c>
    </row>
    <row r="192" spans="1:20" ht="15" x14ac:dyDescent="0.25">
      <c r="A192" s="513" t="s">
        <v>402</v>
      </c>
      <c r="B192" s="513" t="s">
        <v>1163</v>
      </c>
      <c r="C192" s="513" t="s">
        <v>417</v>
      </c>
      <c r="D192" s="513" t="s">
        <v>359</v>
      </c>
      <c r="E192" s="514">
        <v>65</v>
      </c>
      <c r="F192" s="514">
        <v>-0.02</v>
      </c>
      <c r="G192" s="514">
        <v>2041</v>
      </c>
      <c r="H192" s="515">
        <v>13973836.109999999</v>
      </c>
      <c r="I192" s="514">
        <v>42.771848830000003</v>
      </c>
      <c r="J192" s="515">
        <v>597686805.71000004</v>
      </c>
      <c r="K192" s="514">
        <v>63.79</v>
      </c>
      <c r="L192" s="515">
        <v>891391005.46000004</v>
      </c>
      <c r="M192" s="514">
        <v>21.5</v>
      </c>
      <c r="N192" s="515">
        <v>300437476.37</v>
      </c>
      <c r="O192" s="514">
        <v>0.67622179000000004</v>
      </c>
      <c r="P192" s="515">
        <v>9449412.4700000007</v>
      </c>
      <c r="Q192" s="515">
        <v>-279476.71999999997</v>
      </c>
      <c r="R192" s="515">
        <v>9354813.3300000001</v>
      </c>
      <c r="S192" s="504" t="str">
        <f t="shared" si="2"/>
        <v>43</v>
      </c>
    </row>
    <row r="193" spans="1:20" ht="15" x14ac:dyDescent="0.25">
      <c r="A193" s="513" t="s">
        <v>402</v>
      </c>
      <c r="B193" s="513" t="s">
        <v>1163</v>
      </c>
      <c r="C193" s="513" t="s">
        <v>418</v>
      </c>
      <c r="D193" s="513" t="s">
        <v>405</v>
      </c>
      <c r="E193" s="514">
        <v>35</v>
      </c>
      <c r="F193" s="514">
        <v>-0.02</v>
      </c>
      <c r="G193" s="514">
        <v>2041</v>
      </c>
      <c r="H193" s="515">
        <v>899700.76</v>
      </c>
      <c r="I193" s="514">
        <v>24.008718900000002</v>
      </c>
      <c r="J193" s="515">
        <v>21600662.640000001</v>
      </c>
      <c r="K193" s="514">
        <v>28.81</v>
      </c>
      <c r="L193" s="515">
        <v>25920378.899999999</v>
      </c>
      <c r="M193" s="514">
        <v>13.22537</v>
      </c>
      <c r="N193" s="515">
        <v>11898875.439999999</v>
      </c>
      <c r="O193" s="514">
        <v>0.55172849000000002</v>
      </c>
      <c r="P193" s="515">
        <v>496390.54</v>
      </c>
      <c r="Q193" s="515">
        <v>-17994.02</v>
      </c>
      <c r="R193" s="515">
        <v>491421.12</v>
      </c>
      <c r="S193" s="504" t="str">
        <f t="shared" si="2"/>
        <v>43</v>
      </c>
      <c r="T193" s="394"/>
    </row>
    <row r="194" spans="1:20" ht="15" x14ac:dyDescent="0.25">
      <c r="A194" s="513" t="s">
        <v>402</v>
      </c>
      <c r="B194" s="513" t="s">
        <v>1163</v>
      </c>
      <c r="C194" s="513" t="s">
        <v>419</v>
      </c>
      <c r="D194" s="513" t="s">
        <v>407</v>
      </c>
      <c r="E194" s="514">
        <v>20</v>
      </c>
      <c r="F194" s="514">
        <v>-0.02</v>
      </c>
      <c r="G194" s="514">
        <v>2041</v>
      </c>
      <c r="H194" s="515">
        <v>452141.39</v>
      </c>
      <c r="I194" s="514">
        <v>12.44632732</v>
      </c>
      <c r="J194" s="515">
        <v>5627499.7400000002</v>
      </c>
      <c r="K194" s="514">
        <v>19.72</v>
      </c>
      <c r="L194" s="515">
        <v>8916228.2100000009</v>
      </c>
      <c r="M194" s="514">
        <v>11.25939</v>
      </c>
      <c r="N194" s="515">
        <v>5090836.25</v>
      </c>
      <c r="O194" s="514">
        <v>0.44669352000000001</v>
      </c>
      <c r="P194" s="515">
        <v>201968.63</v>
      </c>
      <c r="Q194" s="515">
        <v>-9042.83</v>
      </c>
      <c r="R194" s="515">
        <v>199946.7</v>
      </c>
      <c r="S194" s="504" t="str">
        <f t="shared" ref="S194:S257" si="3">MID(C194,5,2)</f>
        <v>43</v>
      </c>
      <c r="T194" s="394"/>
    </row>
    <row r="195" spans="1:20" ht="15" x14ac:dyDescent="0.25">
      <c r="A195" s="513" t="s">
        <v>402</v>
      </c>
      <c r="B195" s="513" t="s">
        <v>1163</v>
      </c>
      <c r="C195" s="513" t="s">
        <v>420</v>
      </c>
      <c r="D195" s="513" t="s">
        <v>123</v>
      </c>
      <c r="E195" s="514"/>
      <c r="F195" s="514">
        <v>-0.02</v>
      </c>
      <c r="G195" s="514">
        <v>2041</v>
      </c>
      <c r="H195" s="515">
        <v>15325678.26</v>
      </c>
      <c r="I195" s="514">
        <v>40.77568102</v>
      </c>
      <c r="J195" s="515">
        <v>624914968.08000004</v>
      </c>
      <c r="K195" s="514">
        <v>60.436321110000002</v>
      </c>
      <c r="L195" s="515">
        <v>926227612.55999994</v>
      </c>
      <c r="M195" s="514">
        <v>20.71211353</v>
      </c>
      <c r="N195" s="515">
        <v>317427188.05000001</v>
      </c>
      <c r="O195" s="514">
        <v>0.66214176000000002</v>
      </c>
      <c r="P195" s="515">
        <v>10147771.640000001</v>
      </c>
      <c r="Q195" s="515">
        <v>-306513.57</v>
      </c>
      <c r="R195" s="515">
        <v>10046181.15</v>
      </c>
      <c r="S195" s="504" t="str">
        <f t="shared" si="3"/>
        <v>43</v>
      </c>
      <c r="T195" s="394"/>
    </row>
    <row r="196" spans="1:20" ht="15" x14ac:dyDescent="0.25">
      <c r="A196" s="513" t="s">
        <v>402</v>
      </c>
      <c r="B196" s="513" t="s">
        <v>1163</v>
      </c>
      <c r="C196" s="513" t="s">
        <v>461</v>
      </c>
      <c r="D196" s="513" t="s">
        <v>359</v>
      </c>
      <c r="E196" s="514">
        <v>65</v>
      </c>
      <c r="F196" s="514">
        <v>-0.05</v>
      </c>
      <c r="G196" s="514">
        <v>2041</v>
      </c>
      <c r="H196" s="515">
        <v>60885830.810000002</v>
      </c>
      <c r="I196" s="514">
        <v>28.807025670000002</v>
      </c>
      <c r="J196" s="515">
        <v>1753939690.8900001</v>
      </c>
      <c r="K196" s="514">
        <v>43.63</v>
      </c>
      <c r="L196" s="515">
        <v>2656448798.2399998</v>
      </c>
      <c r="M196" s="514">
        <v>21.5</v>
      </c>
      <c r="N196" s="515">
        <v>1309045362.4200001</v>
      </c>
      <c r="O196" s="514">
        <v>0.53252213999999998</v>
      </c>
      <c r="P196" s="515">
        <v>32423053.170000002</v>
      </c>
      <c r="Q196" s="515">
        <v>-3044291.54</v>
      </c>
      <c r="R196" s="515">
        <v>24773111.390000001</v>
      </c>
      <c r="S196" s="504" t="str">
        <f t="shared" si="3"/>
        <v>43</v>
      </c>
      <c r="T196" s="394"/>
    </row>
    <row r="197" spans="1:20" ht="15" x14ac:dyDescent="0.25">
      <c r="A197" s="513" t="s">
        <v>402</v>
      </c>
      <c r="B197" s="513" t="s">
        <v>1163</v>
      </c>
      <c r="C197" s="513" t="s">
        <v>462</v>
      </c>
      <c r="D197" s="513" t="s">
        <v>405</v>
      </c>
      <c r="E197" s="514">
        <v>35</v>
      </c>
      <c r="F197" s="514">
        <v>-0.05</v>
      </c>
      <c r="G197" s="514">
        <v>2041</v>
      </c>
      <c r="H197" s="515">
        <v>93749549.640000001</v>
      </c>
      <c r="I197" s="514">
        <v>13.07739351</v>
      </c>
      <c r="J197" s="515">
        <v>1225999751.8900001</v>
      </c>
      <c r="K197" s="514">
        <v>30.62</v>
      </c>
      <c r="L197" s="515">
        <v>2870611209.98</v>
      </c>
      <c r="M197" s="514">
        <v>18.622240999999999</v>
      </c>
      <c r="N197" s="515">
        <v>1745826707.04</v>
      </c>
      <c r="O197" s="514">
        <v>0.41137918000000001</v>
      </c>
      <c r="P197" s="515">
        <v>38566613.18</v>
      </c>
      <c r="Q197" s="515">
        <v>-4687477.4800000004</v>
      </c>
      <c r="R197" s="515">
        <v>29467151.02</v>
      </c>
      <c r="S197" s="504" t="str">
        <f t="shared" si="3"/>
        <v>43</v>
      </c>
      <c r="T197" s="394"/>
    </row>
    <row r="198" spans="1:20" ht="15" x14ac:dyDescent="0.25">
      <c r="A198" s="513" t="s">
        <v>402</v>
      </c>
      <c r="B198" s="513" t="s">
        <v>1163</v>
      </c>
      <c r="C198" s="513" t="s">
        <v>463</v>
      </c>
      <c r="D198" s="513" t="s">
        <v>407</v>
      </c>
      <c r="E198" s="514">
        <v>20</v>
      </c>
      <c r="F198" s="514">
        <v>-0.05</v>
      </c>
      <c r="G198" s="514">
        <v>2041</v>
      </c>
      <c r="H198" s="515">
        <v>7338948.0800000001</v>
      </c>
      <c r="I198" s="514">
        <v>13.45588834</v>
      </c>
      <c r="J198" s="515">
        <v>98752065.900000006</v>
      </c>
      <c r="K198" s="514">
        <v>19.98</v>
      </c>
      <c r="L198" s="515">
        <v>146632182.63999999</v>
      </c>
      <c r="M198" s="514">
        <v>10.217051</v>
      </c>
      <c r="N198" s="515">
        <v>74982406.819999993</v>
      </c>
      <c r="O198" s="514">
        <v>0.55820625999999995</v>
      </c>
      <c r="P198" s="515">
        <v>4096646.75</v>
      </c>
      <c r="Q198" s="515">
        <v>-366947.4</v>
      </c>
      <c r="R198" s="515">
        <v>3130078.03</v>
      </c>
      <c r="S198" s="504" t="str">
        <f t="shared" si="3"/>
        <v>43</v>
      </c>
      <c r="T198" s="394"/>
    </row>
    <row r="199" spans="1:20" ht="15" x14ac:dyDescent="0.25">
      <c r="A199" s="513" t="s">
        <v>402</v>
      </c>
      <c r="B199" s="513" t="s">
        <v>1163</v>
      </c>
      <c r="C199" s="513" t="s">
        <v>464</v>
      </c>
      <c r="D199" s="513" t="s">
        <v>123</v>
      </c>
      <c r="E199" s="514"/>
      <c r="F199" s="514">
        <v>-0.05</v>
      </c>
      <c r="G199" s="514">
        <v>2041</v>
      </c>
      <c r="H199" s="515">
        <v>161974328.53</v>
      </c>
      <c r="I199" s="514">
        <v>19.00728058</v>
      </c>
      <c r="J199" s="515">
        <v>3078691508.6799998</v>
      </c>
      <c r="K199" s="514">
        <v>35.028342100000003</v>
      </c>
      <c r="L199" s="515">
        <v>5673692190.8599997</v>
      </c>
      <c r="M199" s="514">
        <v>19.323151419999999</v>
      </c>
      <c r="N199" s="515">
        <v>3129854476.27</v>
      </c>
      <c r="O199" s="514">
        <v>0.46356922</v>
      </c>
      <c r="P199" s="515">
        <v>75086313.099999994</v>
      </c>
      <c r="Q199" s="515">
        <v>-8098716.4299999997</v>
      </c>
      <c r="R199" s="515">
        <v>57370340.439999998</v>
      </c>
      <c r="S199" s="504" t="str">
        <f t="shared" si="3"/>
        <v>43</v>
      </c>
      <c r="T199" s="394"/>
    </row>
    <row r="200" spans="1:20" ht="15" x14ac:dyDescent="0.25">
      <c r="A200" s="513" t="s">
        <v>402</v>
      </c>
      <c r="B200" s="513" t="s">
        <v>1163</v>
      </c>
      <c r="C200" s="513" t="s">
        <v>505</v>
      </c>
      <c r="D200" s="513" t="s">
        <v>359</v>
      </c>
      <c r="E200" s="514">
        <v>65</v>
      </c>
      <c r="F200" s="514">
        <v>-0.06</v>
      </c>
      <c r="G200" s="514">
        <v>2041</v>
      </c>
      <c r="H200" s="515">
        <v>15216161.130000001</v>
      </c>
      <c r="I200" s="514">
        <v>37.638043799999998</v>
      </c>
      <c r="J200" s="515">
        <v>572706539.05999994</v>
      </c>
      <c r="K200" s="514">
        <v>54.39</v>
      </c>
      <c r="L200" s="515">
        <v>827607003.86000001</v>
      </c>
      <c r="M200" s="514">
        <v>21.5</v>
      </c>
      <c r="N200" s="515">
        <v>327147464.30000001</v>
      </c>
      <c r="O200" s="514">
        <v>0.64100999999999997</v>
      </c>
      <c r="P200" s="515">
        <v>9753711.4399999995</v>
      </c>
      <c r="Q200" s="515">
        <v>-912969.67</v>
      </c>
      <c r="R200" s="515">
        <v>7699526.4900000002</v>
      </c>
      <c r="S200" s="504" t="str">
        <f t="shared" si="3"/>
        <v>43</v>
      </c>
      <c r="T200" s="394"/>
    </row>
    <row r="201" spans="1:20" ht="15" x14ac:dyDescent="0.25">
      <c r="A201" s="513" t="s">
        <v>402</v>
      </c>
      <c r="B201" s="513" t="s">
        <v>1163</v>
      </c>
      <c r="C201" s="513" t="s">
        <v>506</v>
      </c>
      <c r="D201" s="513" t="s">
        <v>405</v>
      </c>
      <c r="E201" s="514">
        <v>35</v>
      </c>
      <c r="F201" s="514">
        <v>-0.06</v>
      </c>
      <c r="G201" s="514">
        <v>2041</v>
      </c>
      <c r="H201" s="515">
        <v>27439567.199999999</v>
      </c>
      <c r="I201" s="514">
        <v>21.747927560000001</v>
      </c>
      <c r="J201" s="515">
        <v>596753719.70000005</v>
      </c>
      <c r="K201" s="514">
        <v>31.75</v>
      </c>
      <c r="L201" s="515">
        <v>871206258.60000002</v>
      </c>
      <c r="M201" s="514">
        <v>14.654025000000001</v>
      </c>
      <c r="N201" s="515">
        <v>402100103.74000001</v>
      </c>
      <c r="O201" s="514">
        <v>0.57076523000000001</v>
      </c>
      <c r="P201" s="515">
        <v>15661551.02</v>
      </c>
      <c r="Q201" s="515">
        <v>-1646374.03</v>
      </c>
      <c r="R201" s="515">
        <v>12363142.76</v>
      </c>
      <c r="S201" s="504" t="str">
        <f t="shared" si="3"/>
        <v>43</v>
      </c>
    </row>
    <row r="202" spans="1:20" ht="15" x14ac:dyDescent="0.25">
      <c r="A202" s="513" t="s">
        <v>402</v>
      </c>
      <c r="B202" s="513" t="s">
        <v>1163</v>
      </c>
      <c r="C202" s="513" t="s">
        <v>507</v>
      </c>
      <c r="D202" s="513" t="s">
        <v>407</v>
      </c>
      <c r="E202" s="514">
        <v>20</v>
      </c>
      <c r="F202" s="514">
        <v>-0.06</v>
      </c>
      <c r="G202" s="514">
        <v>2041</v>
      </c>
      <c r="H202" s="515">
        <v>9280695.1099999994</v>
      </c>
      <c r="I202" s="514">
        <v>6.7246830400000004</v>
      </c>
      <c r="J202" s="515">
        <v>62409733.020000003</v>
      </c>
      <c r="K202" s="514">
        <v>19.989999999999998</v>
      </c>
      <c r="L202" s="515">
        <v>185521095.25</v>
      </c>
      <c r="M202" s="514">
        <v>13.487962</v>
      </c>
      <c r="N202" s="515">
        <v>125177662.98</v>
      </c>
      <c r="O202" s="514">
        <v>0.35046532000000002</v>
      </c>
      <c r="P202" s="515">
        <v>3252561.79</v>
      </c>
      <c r="Q202" s="515">
        <v>-556841.71</v>
      </c>
      <c r="R202" s="515">
        <v>2567554.5</v>
      </c>
      <c r="S202" s="504" t="str">
        <f t="shared" si="3"/>
        <v>43</v>
      </c>
    </row>
    <row r="203" spans="1:20" ht="15" x14ac:dyDescent="0.25">
      <c r="A203" s="513" t="s">
        <v>402</v>
      </c>
      <c r="B203" s="513" t="s">
        <v>1163</v>
      </c>
      <c r="C203" s="513" t="s">
        <v>508</v>
      </c>
      <c r="D203" s="513" t="s">
        <v>123</v>
      </c>
      <c r="E203" s="514"/>
      <c r="F203" s="514">
        <v>-0.06</v>
      </c>
      <c r="G203" s="514">
        <v>2041</v>
      </c>
      <c r="H203" s="515">
        <v>51936423.439999998</v>
      </c>
      <c r="I203" s="514">
        <v>23.71880677</v>
      </c>
      <c r="J203" s="515">
        <v>1231869991.77</v>
      </c>
      <c r="K203" s="514">
        <v>36.281557970000001</v>
      </c>
      <c r="L203" s="515">
        <v>1884334357.71</v>
      </c>
      <c r="M203" s="514">
        <v>16.45136832</v>
      </c>
      <c r="N203" s="515">
        <v>854425231.00999999</v>
      </c>
      <c r="O203" s="514">
        <v>0.55197918000000001</v>
      </c>
      <c r="P203" s="515">
        <v>28667824.25</v>
      </c>
      <c r="Q203" s="515">
        <v>-3116185.41</v>
      </c>
      <c r="R203" s="515">
        <v>22630223.75</v>
      </c>
      <c r="S203" s="504" t="str">
        <f t="shared" si="3"/>
        <v>43</v>
      </c>
    </row>
    <row r="204" spans="1:20" ht="15" x14ac:dyDescent="0.25">
      <c r="A204" s="513" t="s">
        <v>402</v>
      </c>
      <c r="B204" s="513" t="s">
        <v>1163</v>
      </c>
      <c r="C204" s="513" t="s">
        <v>525</v>
      </c>
      <c r="D204" s="513" t="s">
        <v>359</v>
      </c>
      <c r="E204" s="514">
        <v>65</v>
      </c>
      <c r="F204" s="514">
        <v>-0.05</v>
      </c>
      <c r="G204" s="514">
        <v>2041</v>
      </c>
      <c r="H204" s="515">
        <v>6202137.6100000003</v>
      </c>
      <c r="I204" s="514">
        <v>40.268323209999998</v>
      </c>
      <c r="J204" s="515">
        <v>249749681.88999999</v>
      </c>
      <c r="K204" s="514">
        <v>59.1</v>
      </c>
      <c r="L204" s="515">
        <v>366546332.75</v>
      </c>
      <c r="M204" s="514">
        <v>21.5</v>
      </c>
      <c r="N204" s="515">
        <v>133345958.62</v>
      </c>
      <c r="O204" s="514">
        <v>0.66798933000000005</v>
      </c>
      <c r="P204" s="515">
        <v>4142961.73</v>
      </c>
      <c r="Q204" s="515">
        <v>-310106.88</v>
      </c>
      <c r="R204" s="515">
        <v>4084605.72</v>
      </c>
      <c r="S204" s="504" t="str">
        <f t="shared" si="3"/>
        <v>43</v>
      </c>
    </row>
    <row r="205" spans="1:20" ht="15" x14ac:dyDescent="0.25">
      <c r="A205" s="513" t="s">
        <v>402</v>
      </c>
      <c r="B205" s="513" t="s">
        <v>1163</v>
      </c>
      <c r="C205" s="513" t="s">
        <v>526</v>
      </c>
      <c r="D205" s="513" t="s">
        <v>405</v>
      </c>
      <c r="E205" s="514">
        <v>35</v>
      </c>
      <c r="F205" s="514">
        <v>-0.05</v>
      </c>
      <c r="G205" s="514">
        <v>2041</v>
      </c>
      <c r="H205" s="515">
        <v>9507385.5999999996</v>
      </c>
      <c r="I205" s="514">
        <v>24.255808890000001</v>
      </c>
      <c r="J205" s="515">
        <v>230609328.11000001</v>
      </c>
      <c r="K205" s="514">
        <v>30.88</v>
      </c>
      <c r="L205" s="515">
        <v>293588067.32999998</v>
      </c>
      <c r="M205" s="514">
        <v>13.148659</v>
      </c>
      <c r="N205" s="515">
        <v>125009371.23999999</v>
      </c>
      <c r="O205" s="514">
        <v>0.60287743999999999</v>
      </c>
      <c r="P205" s="515">
        <v>5731788.3099999996</v>
      </c>
      <c r="Q205" s="515">
        <v>-475369.28</v>
      </c>
      <c r="R205" s="515">
        <v>5651052.7599999998</v>
      </c>
      <c r="S205" s="504" t="str">
        <f t="shared" si="3"/>
        <v>43</v>
      </c>
    </row>
    <row r="206" spans="1:20" ht="15" x14ac:dyDescent="0.25">
      <c r="A206" s="513" t="s">
        <v>402</v>
      </c>
      <c r="B206" s="513" t="s">
        <v>1163</v>
      </c>
      <c r="C206" s="513" t="s">
        <v>527</v>
      </c>
      <c r="D206" s="513" t="s">
        <v>407</v>
      </c>
      <c r="E206" s="514">
        <v>20</v>
      </c>
      <c r="F206" s="514">
        <v>-0.05</v>
      </c>
      <c r="G206" s="514">
        <v>2041</v>
      </c>
      <c r="H206" s="515">
        <v>9164562.0500000007</v>
      </c>
      <c r="I206" s="514">
        <v>11.42451354</v>
      </c>
      <c r="J206" s="515">
        <v>104700663.23</v>
      </c>
      <c r="K206" s="514">
        <v>19.989999999999998</v>
      </c>
      <c r="L206" s="515">
        <v>183199595.38</v>
      </c>
      <c r="M206" s="514">
        <v>9.754766</v>
      </c>
      <c r="N206" s="515">
        <v>89398158.290000007</v>
      </c>
      <c r="O206" s="514">
        <v>0.54616925000000005</v>
      </c>
      <c r="P206" s="515">
        <v>5005401.9400000004</v>
      </c>
      <c r="Q206" s="515">
        <v>-458228.1</v>
      </c>
      <c r="R206" s="515">
        <v>4934897.97</v>
      </c>
      <c r="S206" s="504" t="str">
        <f t="shared" si="3"/>
        <v>43</v>
      </c>
    </row>
    <row r="207" spans="1:20" ht="15" x14ac:dyDescent="0.25">
      <c r="A207" s="513" t="s">
        <v>402</v>
      </c>
      <c r="B207" s="513" t="s">
        <v>1163</v>
      </c>
      <c r="C207" s="513" t="s">
        <v>528</v>
      </c>
      <c r="D207" s="513" t="s">
        <v>123</v>
      </c>
      <c r="E207" s="514"/>
      <c r="F207" s="514">
        <v>-0.05</v>
      </c>
      <c r="G207" s="514">
        <v>2041</v>
      </c>
      <c r="H207" s="515">
        <v>24874085.260000002</v>
      </c>
      <c r="I207" s="514">
        <v>23.52085181</v>
      </c>
      <c r="J207" s="515">
        <v>585059673.22000003</v>
      </c>
      <c r="K207" s="514">
        <v>33.90412096</v>
      </c>
      <c r="L207" s="515">
        <v>843333995.46000004</v>
      </c>
      <c r="M207" s="514">
        <v>13.980553840000001</v>
      </c>
      <c r="N207" s="515">
        <v>347753488.13999999</v>
      </c>
      <c r="O207" s="514">
        <v>0.59821906000000002</v>
      </c>
      <c r="P207" s="515">
        <v>14880151.98</v>
      </c>
      <c r="Q207" s="515">
        <v>-1243704.26</v>
      </c>
      <c r="R207" s="515">
        <v>14670556.449999999</v>
      </c>
      <c r="S207" s="504" t="str">
        <f t="shared" si="3"/>
        <v>43</v>
      </c>
    </row>
    <row r="208" spans="1:20" ht="15" x14ac:dyDescent="0.25">
      <c r="A208" s="513" t="s">
        <v>402</v>
      </c>
      <c r="B208" s="513" t="s">
        <v>1163</v>
      </c>
      <c r="C208" s="513" t="s">
        <v>569</v>
      </c>
      <c r="D208" s="513" t="s">
        <v>359</v>
      </c>
      <c r="E208" s="514">
        <v>65</v>
      </c>
      <c r="F208" s="514">
        <v>-0.02</v>
      </c>
      <c r="G208" s="514">
        <v>2041</v>
      </c>
      <c r="H208" s="515">
        <v>699601.44</v>
      </c>
      <c r="I208" s="514">
        <v>40.434550649999998</v>
      </c>
      <c r="J208" s="515">
        <v>28288069.859999999</v>
      </c>
      <c r="K208" s="514">
        <v>60.26</v>
      </c>
      <c r="L208" s="515">
        <v>42157982.770000003</v>
      </c>
      <c r="M208" s="514">
        <v>21.5</v>
      </c>
      <c r="N208" s="515">
        <v>15041430.960000001</v>
      </c>
      <c r="O208" s="514">
        <v>0.65606379000000004</v>
      </c>
      <c r="P208" s="515">
        <v>458983.17</v>
      </c>
      <c r="Q208" s="515">
        <v>-13992.03</v>
      </c>
      <c r="R208" s="515">
        <v>383228.3</v>
      </c>
      <c r="S208" s="504" t="str">
        <f t="shared" si="3"/>
        <v>43</v>
      </c>
    </row>
    <row r="209" spans="1:20" ht="15" x14ac:dyDescent="0.25">
      <c r="A209" s="513" t="s">
        <v>402</v>
      </c>
      <c r="B209" s="513" t="s">
        <v>1163</v>
      </c>
      <c r="C209" s="513" t="s">
        <v>570</v>
      </c>
      <c r="D209" s="513" t="s">
        <v>405</v>
      </c>
      <c r="E209" s="514">
        <v>35</v>
      </c>
      <c r="F209" s="514">
        <v>-0.02</v>
      </c>
      <c r="G209" s="514">
        <v>2041</v>
      </c>
      <c r="H209" s="515">
        <v>439711.82</v>
      </c>
      <c r="I209" s="514">
        <v>13.091566589999999</v>
      </c>
      <c r="J209" s="515">
        <v>5756516.5700000003</v>
      </c>
      <c r="K209" s="514">
        <v>31.74</v>
      </c>
      <c r="L209" s="515">
        <v>13956453.17</v>
      </c>
      <c r="M209" s="514">
        <v>19.054348999999998</v>
      </c>
      <c r="N209" s="515">
        <v>8378422.4800000004</v>
      </c>
      <c r="O209" s="514">
        <v>0.40761125999999998</v>
      </c>
      <c r="P209" s="515">
        <v>179231.49</v>
      </c>
      <c r="Q209" s="515">
        <v>-8794.24</v>
      </c>
      <c r="R209" s="515">
        <v>149649.45000000001</v>
      </c>
      <c r="S209" s="504" t="str">
        <f t="shared" si="3"/>
        <v>43</v>
      </c>
    </row>
    <row r="210" spans="1:20" ht="15" x14ac:dyDescent="0.25">
      <c r="A210" s="513" t="s">
        <v>402</v>
      </c>
      <c r="B210" s="513" t="s">
        <v>1163</v>
      </c>
      <c r="C210" s="513" t="s">
        <v>571</v>
      </c>
      <c r="D210" s="513" t="s">
        <v>407</v>
      </c>
      <c r="E210" s="514">
        <v>20</v>
      </c>
      <c r="F210" s="514">
        <v>-0.02</v>
      </c>
      <c r="G210" s="514">
        <v>2041</v>
      </c>
      <c r="H210" s="515">
        <v>848939.54</v>
      </c>
      <c r="I210" s="514">
        <v>9.5203601800000008</v>
      </c>
      <c r="J210" s="515">
        <v>8082210.1900000004</v>
      </c>
      <c r="K210" s="514">
        <v>20</v>
      </c>
      <c r="L210" s="515">
        <v>16978790.800000001</v>
      </c>
      <c r="M210" s="514">
        <v>11.467533</v>
      </c>
      <c r="N210" s="515">
        <v>9735242.1899999995</v>
      </c>
      <c r="O210" s="514">
        <v>0.43515578999999999</v>
      </c>
      <c r="P210" s="515">
        <v>369420.96</v>
      </c>
      <c r="Q210" s="515">
        <v>-16978.79</v>
      </c>
      <c r="R210" s="515">
        <v>308448.27</v>
      </c>
      <c r="S210" s="504" t="str">
        <f t="shared" si="3"/>
        <v>43</v>
      </c>
    </row>
    <row r="211" spans="1:20" ht="15" x14ac:dyDescent="0.25">
      <c r="A211" s="513" t="s">
        <v>402</v>
      </c>
      <c r="B211" s="513" t="s">
        <v>1163</v>
      </c>
      <c r="C211" s="513" t="s">
        <v>572</v>
      </c>
      <c r="D211" s="513" t="s">
        <v>123</v>
      </c>
      <c r="E211" s="514"/>
      <c r="F211" s="514">
        <v>-0.02</v>
      </c>
      <c r="G211" s="514">
        <v>2041</v>
      </c>
      <c r="H211" s="515">
        <v>1988252.8</v>
      </c>
      <c r="I211" s="514">
        <v>21.187847250000001</v>
      </c>
      <c r="J211" s="515">
        <v>42126796.619999997</v>
      </c>
      <c r="K211" s="514">
        <v>36.762541839999997</v>
      </c>
      <c r="L211" s="515">
        <v>73093226.739999995</v>
      </c>
      <c r="M211" s="514">
        <v>16.675492989999999</v>
      </c>
      <c r="N211" s="515">
        <v>33155095.629999999</v>
      </c>
      <c r="O211" s="514">
        <v>0.50679452000000003</v>
      </c>
      <c r="P211" s="515">
        <v>1007635.62</v>
      </c>
      <c r="Q211" s="515">
        <v>-39765.06</v>
      </c>
      <c r="R211" s="515">
        <v>841326.02</v>
      </c>
      <c r="S211" s="504" t="str">
        <f t="shared" si="3"/>
        <v>43</v>
      </c>
    </row>
    <row r="212" spans="1:20" ht="15" x14ac:dyDescent="0.25">
      <c r="A212" s="513" t="s">
        <v>402</v>
      </c>
      <c r="B212" s="513" t="s">
        <v>1163</v>
      </c>
      <c r="C212" s="513" t="s">
        <v>421</v>
      </c>
      <c r="D212" s="513" t="s">
        <v>359</v>
      </c>
      <c r="E212" s="514">
        <v>60</v>
      </c>
      <c r="F212" s="514">
        <v>-0.02</v>
      </c>
      <c r="G212" s="514">
        <v>2045</v>
      </c>
      <c r="H212" s="515">
        <v>60172316.5</v>
      </c>
      <c r="I212" s="514">
        <v>33.593144639999998</v>
      </c>
      <c r="J212" s="515">
        <v>2021377331.55</v>
      </c>
      <c r="K212" s="514">
        <v>58.34</v>
      </c>
      <c r="L212" s="515">
        <v>3510452944.6100001</v>
      </c>
      <c r="M212" s="514">
        <v>25.5</v>
      </c>
      <c r="N212" s="515">
        <v>1534394070.75</v>
      </c>
      <c r="O212" s="514">
        <v>0.57418835999999995</v>
      </c>
      <c r="P212" s="515">
        <v>34550243.640000001</v>
      </c>
      <c r="Q212" s="515">
        <v>-1203446.33</v>
      </c>
      <c r="R212" s="515">
        <v>33142644.670000002</v>
      </c>
      <c r="S212" s="504" t="str">
        <f t="shared" si="3"/>
        <v>44</v>
      </c>
    </row>
    <row r="213" spans="1:20" ht="15" x14ac:dyDescent="0.25">
      <c r="A213" s="513" t="s">
        <v>402</v>
      </c>
      <c r="B213" s="513" t="s">
        <v>1163</v>
      </c>
      <c r="C213" s="513" t="s">
        <v>422</v>
      </c>
      <c r="D213" s="513" t="s">
        <v>405</v>
      </c>
      <c r="E213" s="514">
        <v>35</v>
      </c>
      <c r="F213" s="514">
        <v>-0.02</v>
      </c>
      <c r="G213" s="514">
        <v>2045</v>
      </c>
      <c r="H213" s="515">
        <v>2747937.15</v>
      </c>
      <c r="I213" s="514">
        <v>21.474254630000001</v>
      </c>
      <c r="J213" s="515">
        <v>59009902.060000002</v>
      </c>
      <c r="K213" s="514">
        <v>34.1</v>
      </c>
      <c r="L213" s="515">
        <v>93704656.819999993</v>
      </c>
      <c r="M213" s="514">
        <v>14.726637999999999</v>
      </c>
      <c r="N213" s="515">
        <v>40467875.649999999</v>
      </c>
      <c r="O213" s="514">
        <v>0.57943323999999996</v>
      </c>
      <c r="P213" s="515">
        <v>1592246.12</v>
      </c>
      <c r="Q213" s="515">
        <v>-54958.74</v>
      </c>
      <c r="R213" s="515">
        <v>1527377</v>
      </c>
      <c r="S213" s="504" t="str">
        <f t="shared" si="3"/>
        <v>44</v>
      </c>
    </row>
    <row r="214" spans="1:20" s="230" customFormat="1" ht="15" x14ac:dyDescent="0.25">
      <c r="A214" s="513" t="s">
        <v>402</v>
      </c>
      <c r="B214" s="513" t="s">
        <v>1163</v>
      </c>
      <c r="C214" s="513" t="s">
        <v>423</v>
      </c>
      <c r="D214" s="513" t="s">
        <v>407</v>
      </c>
      <c r="E214" s="514">
        <v>20</v>
      </c>
      <c r="F214" s="514">
        <v>-0.02</v>
      </c>
      <c r="G214" s="514">
        <v>2045</v>
      </c>
      <c r="H214" s="515">
        <v>443092.01</v>
      </c>
      <c r="I214" s="514">
        <v>33.765260169999998</v>
      </c>
      <c r="J214" s="515">
        <v>14961117</v>
      </c>
      <c r="K214" s="514">
        <v>20</v>
      </c>
      <c r="L214" s="515">
        <v>8861840.1999999993</v>
      </c>
      <c r="M214" s="514">
        <v>0.87643000000000004</v>
      </c>
      <c r="N214" s="515">
        <v>388339.13</v>
      </c>
      <c r="O214" s="514">
        <v>0.97530205999999997</v>
      </c>
      <c r="P214" s="515">
        <v>432148.55</v>
      </c>
      <c r="Q214" s="515">
        <v>-8861.84</v>
      </c>
      <c r="R214" s="515">
        <v>414542.54</v>
      </c>
      <c r="S214" s="504" t="str">
        <f t="shared" si="3"/>
        <v>44</v>
      </c>
      <c r="T214"/>
    </row>
    <row r="215" spans="1:20" ht="15" x14ac:dyDescent="0.25">
      <c r="A215" s="513" t="s">
        <v>402</v>
      </c>
      <c r="B215" s="513" t="s">
        <v>1163</v>
      </c>
      <c r="C215" s="513" t="s">
        <v>424</v>
      </c>
      <c r="D215" s="513" t="s">
        <v>123</v>
      </c>
      <c r="E215" s="514"/>
      <c r="F215" s="514">
        <v>-0.02</v>
      </c>
      <c r="G215" s="514">
        <v>2045</v>
      </c>
      <c r="H215" s="515">
        <v>63363345.659999996</v>
      </c>
      <c r="I215" s="514">
        <v>33.068777050000001</v>
      </c>
      <c r="J215" s="515">
        <v>2095348350.6099999</v>
      </c>
      <c r="K215" s="514">
        <v>57.02065451</v>
      </c>
      <c r="L215" s="515">
        <v>3613019441.6300001</v>
      </c>
      <c r="M215" s="514">
        <v>24.860592019999999</v>
      </c>
      <c r="N215" s="515">
        <v>1575250285.54</v>
      </c>
      <c r="O215" s="514">
        <v>0.57722076</v>
      </c>
      <c r="P215" s="515">
        <v>36574638.310000002</v>
      </c>
      <c r="Q215" s="515">
        <v>-1267266.9099999999</v>
      </c>
      <c r="R215" s="515">
        <v>35084564.210000001</v>
      </c>
      <c r="S215" s="504" t="str">
        <f t="shared" si="3"/>
        <v>44</v>
      </c>
    </row>
    <row r="216" spans="1:20" ht="15" x14ac:dyDescent="0.25">
      <c r="A216" s="513" t="s">
        <v>402</v>
      </c>
      <c r="B216" s="513" t="s">
        <v>1163</v>
      </c>
      <c r="C216" s="513" t="s">
        <v>465</v>
      </c>
      <c r="D216" s="513" t="s">
        <v>359</v>
      </c>
      <c r="E216" s="514">
        <v>60</v>
      </c>
      <c r="F216" s="514">
        <v>-0.05</v>
      </c>
      <c r="G216" s="514">
        <v>2045</v>
      </c>
      <c r="H216" s="515">
        <v>111468195.62</v>
      </c>
      <c r="I216" s="514">
        <v>29.280081599999999</v>
      </c>
      <c r="J216" s="515">
        <v>3263797863.9299998</v>
      </c>
      <c r="K216" s="514">
        <v>51.68</v>
      </c>
      <c r="L216" s="515">
        <v>5760676349.6400003</v>
      </c>
      <c r="M216" s="514">
        <v>25.5</v>
      </c>
      <c r="N216" s="515">
        <v>2842438988.3099999</v>
      </c>
      <c r="O216" s="514">
        <v>0.53186023999999998</v>
      </c>
      <c r="P216" s="515">
        <v>59285500.990000002</v>
      </c>
      <c r="Q216" s="515">
        <v>-5573409.7800000003</v>
      </c>
      <c r="R216" s="515">
        <v>45188022.780000001</v>
      </c>
      <c r="S216" s="504" t="str">
        <f t="shared" si="3"/>
        <v>44</v>
      </c>
    </row>
    <row r="217" spans="1:20" ht="15" x14ac:dyDescent="0.25">
      <c r="A217" s="513" t="s">
        <v>402</v>
      </c>
      <c r="B217" s="513" t="s">
        <v>1163</v>
      </c>
      <c r="C217" s="513" t="s">
        <v>466</v>
      </c>
      <c r="D217" s="513" t="s">
        <v>405</v>
      </c>
      <c r="E217" s="514">
        <v>35</v>
      </c>
      <c r="F217" s="514">
        <v>-0.05</v>
      </c>
      <c r="G217" s="514">
        <v>2045</v>
      </c>
      <c r="H217" s="515">
        <v>131021870.31</v>
      </c>
      <c r="I217" s="514">
        <v>21.286121080000001</v>
      </c>
      <c r="J217" s="515">
        <v>2788947395.8099999</v>
      </c>
      <c r="K217" s="514">
        <v>33.33</v>
      </c>
      <c r="L217" s="515">
        <v>4366958937.4300003</v>
      </c>
      <c r="M217" s="514">
        <v>14.74933</v>
      </c>
      <c r="N217" s="515">
        <v>1932484802.4200001</v>
      </c>
      <c r="O217" s="514">
        <v>0.58531200000000005</v>
      </c>
      <c r="P217" s="515">
        <v>76688673.560000002</v>
      </c>
      <c r="Q217" s="515">
        <v>-6551093.5199999996</v>
      </c>
      <c r="R217" s="515">
        <v>58452901.119999997</v>
      </c>
      <c r="S217" s="504" t="str">
        <f t="shared" si="3"/>
        <v>44</v>
      </c>
    </row>
    <row r="218" spans="1:20" ht="15" x14ac:dyDescent="0.25">
      <c r="A218" s="513" t="s">
        <v>402</v>
      </c>
      <c r="B218" s="513" t="s">
        <v>1163</v>
      </c>
      <c r="C218" s="513" t="s">
        <v>467</v>
      </c>
      <c r="D218" s="513" t="s">
        <v>407</v>
      </c>
      <c r="E218" s="514">
        <v>20</v>
      </c>
      <c r="F218" s="514">
        <v>-0.05</v>
      </c>
      <c r="G218" s="514">
        <v>2045</v>
      </c>
      <c r="H218" s="515">
        <v>13859191.02</v>
      </c>
      <c r="I218" s="514">
        <v>9.5507807200000006</v>
      </c>
      <c r="J218" s="515">
        <v>132366094.43000001</v>
      </c>
      <c r="K218" s="514">
        <v>20</v>
      </c>
      <c r="L218" s="515">
        <v>277183820.39999998</v>
      </c>
      <c r="M218" s="514">
        <v>12.350726</v>
      </c>
      <c r="N218" s="515">
        <v>171171070.87</v>
      </c>
      <c r="O218" s="514">
        <v>0.40158685999999999</v>
      </c>
      <c r="P218" s="515">
        <v>5565669.0300000003</v>
      </c>
      <c r="Q218" s="515">
        <v>-692959.55</v>
      </c>
      <c r="R218" s="515">
        <v>4242210.57</v>
      </c>
      <c r="S218" s="504" t="str">
        <f t="shared" si="3"/>
        <v>44</v>
      </c>
    </row>
    <row r="219" spans="1:20" ht="15" x14ac:dyDescent="0.25">
      <c r="A219" s="513" t="s">
        <v>402</v>
      </c>
      <c r="B219" s="513" t="s">
        <v>1163</v>
      </c>
      <c r="C219" s="513" t="s">
        <v>468</v>
      </c>
      <c r="D219" s="513" t="s">
        <v>123</v>
      </c>
      <c r="E219" s="514"/>
      <c r="F219" s="514">
        <v>-0.05</v>
      </c>
      <c r="G219" s="514">
        <v>2045</v>
      </c>
      <c r="H219" s="515">
        <v>256349256.94999999</v>
      </c>
      <c r="I219" s="514">
        <v>24.127674200000001</v>
      </c>
      <c r="J219" s="515">
        <v>6185111354.1599998</v>
      </c>
      <c r="K219" s="514">
        <v>40.588450430000002</v>
      </c>
      <c r="L219" s="515">
        <v>10404819107.469999</v>
      </c>
      <c r="M219" s="514">
        <v>19.294360050000002</v>
      </c>
      <c r="N219" s="515">
        <v>4946094861.6000004</v>
      </c>
      <c r="O219" s="514">
        <v>0.55213674000000001</v>
      </c>
      <c r="P219" s="515">
        <v>141539843.58000001</v>
      </c>
      <c r="Q219" s="515">
        <v>-12817462.85</v>
      </c>
      <c r="R219" s="515">
        <v>107883134.47</v>
      </c>
      <c r="S219" s="504" t="str">
        <f t="shared" si="3"/>
        <v>44</v>
      </c>
    </row>
    <row r="220" spans="1:20" ht="15" x14ac:dyDescent="0.25">
      <c r="A220" s="513" t="s">
        <v>402</v>
      </c>
      <c r="B220" s="513" t="s">
        <v>1163</v>
      </c>
      <c r="C220" s="513" t="s">
        <v>509</v>
      </c>
      <c r="D220" s="513" t="s">
        <v>359</v>
      </c>
      <c r="E220" s="514">
        <v>60</v>
      </c>
      <c r="F220" s="514">
        <v>-0.06</v>
      </c>
      <c r="G220" s="514">
        <v>2045</v>
      </c>
      <c r="H220" s="515">
        <v>42120171.659999996</v>
      </c>
      <c r="I220" s="514">
        <v>32.84296904</v>
      </c>
      <c r="J220" s="515">
        <v>1383351493.77</v>
      </c>
      <c r="K220" s="514">
        <v>57.03</v>
      </c>
      <c r="L220" s="515">
        <v>2402113389.77</v>
      </c>
      <c r="M220" s="514">
        <v>25.5</v>
      </c>
      <c r="N220" s="515">
        <v>1074064377.3299999</v>
      </c>
      <c r="O220" s="514">
        <v>0.58601665999999997</v>
      </c>
      <c r="P220" s="515">
        <v>24683122.34</v>
      </c>
      <c r="Q220" s="515">
        <v>-2527210.2999999998</v>
      </c>
      <c r="R220" s="515">
        <v>19345852.190000001</v>
      </c>
      <c r="S220" s="504" t="str">
        <f t="shared" si="3"/>
        <v>44</v>
      </c>
    </row>
    <row r="221" spans="1:20" ht="15" x14ac:dyDescent="0.25">
      <c r="A221" s="513" t="s">
        <v>402</v>
      </c>
      <c r="B221" s="513" t="s">
        <v>1163</v>
      </c>
      <c r="C221" s="513" t="s">
        <v>510</v>
      </c>
      <c r="D221" s="513" t="s">
        <v>405</v>
      </c>
      <c r="E221" s="514">
        <v>35</v>
      </c>
      <c r="F221" s="514">
        <v>-0.06</v>
      </c>
      <c r="G221" s="514">
        <v>2045</v>
      </c>
      <c r="H221" s="515">
        <v>51226746.100000001</v>
      </c>
      <c r="I221" s="514">
        <v>23.278517999999998</v>
      </c>
      <c r="J221" s="515">
        <v>1192482730.9400001</v>
      </c>
      <c r="K221" s="514">
        <v>33.64</v>
      </c>
      <c r="L221" s="515">
        <v>1723267738.8</v>
      </c>
      <c r="M221" s="514">
        <v>13.371366</v>
      </c>
      <c r="N221" s="515">
        <v>684971571.09000003</v>
      </c>
      <c r="O221" s="514">
        <v>0.63868851999999998</v>
      </c>
      <c r="P221" s="515">
        <v>32717934.77</v>
      </c>
      <c r="Q221" s="515">
        <v>-3073604.77</v>
      </c>
      <c r="R221" s="515">
        <v>25643284.559999999</v>
      </c>
      <c r="S221" s="504" t="str">
        <f t="shared" si="3"/>
        <v>44</v>
      </c>
    </row>
    <row r="222" spans="1:20" ht="15" x14ac:dyDescent="0.25">
      <c r="A222" s="513" t="s">
        <v>402</v>
      </c>
      <c r="B222" s="513" t="s">
        <v>1163</v>
      </c>
      <c r="C222" s="513" t="s">
        <v>511</v>
      </c>
      <c r="D222" s="513" t="s">
        <v>407</v>
      </c>
      <c r="E222" s="514">
        <v>20</v>
      </c>
      <c r="F222" s="514">
        <v>-0.06</v>
      </c>
      <c r="G222" s="514">
        <v>2045</v>
      </c>
      <c r="H222" s="515">
        <v>4434166.74</v>
      </c>
      <c r="I222" s="514">
        <v>13.455814739999999</v>
      </c>
      <c r="J222" s="515">
        <v>59665326.200000003</v>
      </c>
      <c r="K222" s="514">
        <v>20</v>
      </c>
      <c r="L222" s="515">
        <v>88683334.799999997</v>
      </c>
      <c r="M222" s="514">
        <v>10.058947</v>
      </c>
      <c r="N222" s="515">
        <v>44603048.229999997</v>
      </c>
      <c r="O222" s="514">
        <v>0.52687580000000001</v>
      </c>
      <c r="P222" s="515">
        <v>2336255.17</v>
      </c>
      <c r="Q222" s="515">
        <v>-266050</v>
      </c>
      <c r="R222" s="515">
        <v>1831083.06</v>
      </c>
      <c r="S222" s="504" t="str">
        <f t="shared" si="3"/>
        <v>44</v>
      </c>
    </row>
    <row r="223" spans="1:20" ht="15" x14ac:dyDescent="0.25">
      <c r="A223" s="513" t="s">
        <v>402</v>
      </c>
      <c r="B223" s="513" t="s">
        <v>1163</v>
      </c>
      <c r="C223" s="513" t="s">
        <v>512</v>
      </c>
      <c r="D223" s="513" t="s">
        <v>123</v>
      </c>
      <c r="E223" s="514"/>
      <c r="F223" s="514">
        <v>-0.06</v>
      </c>
      <c r="G223" s="514">
        <v>2045</v>
      </c>
      <c r="H223" s="515">
        <v>97781084.5</v>
      </c>
      <c r="I223" s="514">
        <v>26.953061160000001</v>
      </c>
      <c r="J223" s="515">
        <v>2635499550.9099998</v>
      </c>
      <c r="K223" s="514">
        <v>43.096929070000002</v>
      </c>
      <c r="L223" s="515">
        <v>4214064463.3699999</v>
      </c>
      <c r="M223" s="514">
        <v>18.445684109999998</v>
      </c>
      <c r="N223" s="515">
        <v>1803638996.6500001</v>
      </c>
      <c r="O223" s="514">
        <v>0.61092911999999999</v>
      </c>
      <c r="P223" s="515">
        <v>59737312.280000001</v>
      </c>
      <c r="Q223" s="515">
        <v>-5866865.0700000003</v>
      </c>
      <c r="R223" s="515">
        <v>46820219.810000002</v>
      </c>
      <c r="S223" s="504" t="str">
        <f t="shared" si="3"/>
        <v>44</v>
      </c>
    </row>
    <row r="224" spans="1:20" ht="15" x14ac:dyDescent="0.25">
      <c r="A224" s="513" t="s">
        <v>402</v>
      </c>
      <c r="B224" s="513" t="s">
        <v>1163</v>
      </c>
      <c r="C224" s="513" t="s">
        <v>529</v>
      </c>
      <c r="D224" s="513" t="s">
        <v>359</v>
      </c>
      <c r="E224" s="514">
        <v>60</v>
      </c>
      <c r="F224" s="514">
        <v>-0.05</v>
      </c>
      <c r="G224" s="514">
        <v>2045</v>
      </c>
      <c r="H224" s="515">
        <v>14873434.09</v>
      </c>
      <c r="I224" s="514">
        <v>33.742939739999997</v>
      </c>
      <c r="J224" s="515">
        <v>501873390.25</v>
      </c>
      <c r="K224" s="514">
        <v>58.63</v>
      </c>
      <c r="L224" s="515">
        <v>872029440.70000005</v>
      </c>
      <c r="M224" s="514">
        <v>25.5</v>
      </c>
      <c r="N224" s="515">
        <v>379272569.30000001</v>
      </c>
      <c r="O224" s="514">
        <v>0.59333539000000002</v>
      </c>
      <c r="P224" s="515">
        <v>8824934.7799999993</v>
      </c>
      <c r="Q224" s="515">
        <v>-743671.7</v>
      </c>
      <c r="R224" s="515">
        <v>8517855.9600000009</v>
      </c>
      <c r="S224" s="504" t="str">
        <f t="shared" si="3"/>
        <v>44</v>
      </c>
    </row>
    <row r="225" spans="1:20" ht="15" x14ac:dyDescent="0.25">
      <c r="A225" s="513" t="s">
        <v>402</v>
      </c>
      <c r="B225" s="513" t="s">
        <v>1163</v>
      </c>
      <c r="C225" s="513" t="s">
        <v>530</v>
      </c>
      <c r="D225" s="513" t="s">
        <v>405</v>
      </c>
      <c r="E225" s="514">
        <v>35</v>
      </c>
      <c r="F225" s="514">
        <v>-0.05</v>
      </c>
      <c r="G225" s="514">
        <v>2045</v>
      </c>
      <c r="H225" s="515">
        <v>15807323.529999999</v>
      </c>
      <c r="I225" s="514">
        <v>29.5437832</v>
      </c>
      <c r="J225" s="515">
        <v>467008139.29000002</v>
      </c>
      <c r="K225" s="514">
        <v>33.869999999999997</v>
      </c>
      <c r="L225" s="515">
        <v>535394047.95999998</v>
      </c>
      <c r="M225" s="514">
        <v>8.7894729999999992</v>
      </c>
      <c r="N225" s="515">
        <v>138938043.37</v>
      </c>
      <c r="O225" s="514">
        <v>0.77754009999999996</v>
      </c>
      <c r="P225" s="515">
        <v>12290827.91</v>
      </c>
      <c r="Q225" s="515">
        <v>-790366.18</v>
      </c>
      <c r="R225" s="515">
        <v>11863147.359999999</v>
      </c>
      <c r="S225" s="504" t="str">
        <f t="shared" si="3"/>
        <v>44</v>
      </c>
    </row>
    <row r="226" spans="1:20" ht="15" x14ac:dyDescent="0.25">
      <c r="A226" s="513" t="s">
        <v>402</v>
      </c>
      <c r="B226" s="513" t="s">
        <v>1163</v>
      </c>
      <c r="C226" s="513" t="s">
        <v>531</v>
      </c>
      <c r="D226" s="513" t="s">
        <v>407</v>
      </c>
      <c r="E226" s="514">
        <v>20</v>
      </c>
      <c r="F226" s="514">
        <v>-0.05</v>
      </c>
      <c r="G226" s="514">
        <v>2045</v>
      </c>
      <c r="H226" s="515">
        <v>14048302.27</v>
      </c>
      <c r="I226" s="514">
        <v>11.592899340000001</v>
      </c>
      <c r="J226" s="515">
        <v>162860554.13</v>
      </c>
      <c r="K226" s="514">
        <v>20</v>
      </c>
      <c r="L226" s="515">
        <v>280966045.39999998</v>
      </c>
      <c r="M226" s="514">
        <v>9.3356279999999998</v>
      </c>
      <c r="N226" s="515">
        <v>131149724.02</v>
      </c>
      <c r="O226" s="514">
        <v>0.55987953999999995</v>
      </c>
      <c r="P226" s="515">
        <v>7865356.96</v>
      </c>
      <c r="Q226" s="515">
        <v>-702415.11</v>
      </c>
      <c r="R226" s="515">
        <v>7591668.2999999998</v>
      </c>
      <c r="S226" s="504" t="str">
        <f t="shared" si="3"/>
        <v>44</v>
      </c>
    </row>
    <row r="227" spans="1:20" ht="15" x14ac:dyDescent="0.25">
      <c r="A227" s="513" t="s">
        <v>402</v>
      </c>
      <c r="B227" s="513" t="s">
        <v>1163</v>
      </c>
      <c r="C227" s="513" t="s">
        <v>532</v>
      </c>
      <c r="D227" s="513" t="s">
        <v>123</v>
      </c>
      <c r="E227" s="514"/>
      <c r="F227" s="514">
        <v>-0.05</v>
      </c>
      <c r="G227" s="514">
        <v>2045</v>
      </c>
      <c r="H227" s="515">
        <v>44729059.890000001</v>
      </c>
      <c r="I227" s="514">
        <v>25.302165670000001</v>
      </c>
      <c r="J227" s="515">
        <v>1131742083.6600001</v>
      </c>
      <c r="K227" s="514">
        <v>37.747038240000002</v>
      </c>
      <c r="L227" s="515">
        <v>1688389534.0599999</v>
      </c>
      <c r="M227" s="514">
        <v>14.517638829999999</v>
      </c>
      <c r="N227" s="515">
        <v>649360336.69000006</v>
      </c>
      <c r="O227" s="514">
        <v>0.64792596999999996</v>
      </c>
      <c r="P227" s="515">
        <v>28981119.649999999</v>
      </c>
      <c r="Q227" s="515">
        <v>-2236452.9900000002</v>
      </c>
      <c r="R227" s="515">
        <v>27972671.620000001</v>
      </c>
      <c r="S227" s="504" t="str">
        <f t="shared" si="3"/>
        <v>44</v>
      </c>
    </row>
    <row r="228" spans="1:20" ht="15" x14ac:dyDescent="0.25">
      <c r="A228" s="513" t="s">
        <v>402</v>
      </c>
      <c r="B228" s="513" t="s">
        <v>1163</v>
      </c>
      <c r="C228" s="513" t="s">
        <v>1052</v>
      </c>
      <c r="D228" s="513" t="s">
        <v>359</v>
      </c>
      <c r="E228" s="514">
        <v>60</v>
      </c>
      <c r="F228" s="514">
        <v>-0.02</v>
      </c>
      <c r="G228" s="514">
        <v>2045</v>
      </c>
      <c r="H228" s="515">
        <v>4181125.62</v>
      </c>
      <c r="I228" s="514">
        <v>33.41853862</v>
      </c>
      <c r="J228" s="515">
        <v>139727108.00999999</v>
      </c>
      <c r="K228" s="514">
        <v>58.18</v>
      </c>
      <c r="L228" s="515">
        <v>243257888.56999999</v>
      </c>
      <c r="M228" s="514">
        <v>25.5</v>
      </c>
      <c r="N228" s="515">
        <v>106618703.31</v>
      </c>
      <c r="O228" s="514">
        <v>0.57292008999999999</v>
      </c>
      <c r="P228" s="515">
        <v>2395450.85</v>
      </c>
      <c r="Q228" s="515">
        <v>-83622.509999999995</v>
      </c>
      <c r="R228" s="515">
        <v>2530902.8199999998</v>
      </c>
      <c r="S228" s="504" t="str">
        <f t="shared" si="3"/>
        <v>44</v>
      </c>
    </row>
    <row r="229" spans="1:20" ht="15" x14ac:dyDescent="0.25">
      <c r="A229" s="513" t="s">
        <v>402</v>
      </c>
      <c r="B229" s="513" t="s">
        <v>1163</v>
      </c>
      <c r="C229" s="513" t="s">
        <v>1053</v>
      </c>
      <c r="D229" s="513" t="s">
        <v>405</v>
      </c>
      <c r="E229" s="514">
        <v>35</v>
      </c>
      <c r="F229" s="514">
        <v>-0.02</v>
      </c>
      <c r="G229" s="514">
        <v>2045</v>
      </c>
      <c r="H229" s="515">
        <v>935957.83</v>
      </c>
      <c r="I229" s="514">
        <v>18.199869209999999</v>
      </c>
      <c r="J229" s="515">
        <v>17034310.100000001</v>
      </c>
      <c r="K229" s="514">
        <v>32.49</v>
      </c>
      <c r="L229" s="515">
        <v>30409269.899999999</v>
      </c>
      <c r="M229" s="514">
        <v>16.816701999999999</v>
      </c>
      <c r="N229" s="515">
        <v>15739723.91</v>
      </c>
      <c r="O229" s="514">
        <v>0.49212621000000001</v>
      </c>
      <c r="P229" s="515">
        <v>460609.38</v>
      </c>
      <c r="Q229" s="515">
        <v>-18719.16</v>
      </c>
      <c r="R229" s="515">
        <v>486654.77</v>
      </c>
      <c r="S229" s="504" t="str">
        <f t="shared" si="3"/>
        <v>44</v>
      </c>
    </row>
    <row r="230" spans="1:20" ht="15" x14ac:dyDescent="0.25">
      <c r="A230" s="513" t="s">
        <v>402</v>
      </c>
      <c r="B230" s="513" t="s">
        <v>1163</v>
      </c>
      <c r="C230" s="513" t="s">
        <v>1054</v>
      </c>
      <c r="D230" s="513" t="s">
        <v>407</v>
      </c>
      <c r="E230" s="514">
        <v>20</v>
      </c>
      <c r="F230" s="514">
        <v>-0.02</v>
      </c>
      <c r="G230" s="514">
        <v>2045</v>
      </c>
      <c r="H230" s="515">
        <v>748728.34</v>
      </c>
      <c r="I230" s="514">
        <v>33.944634829999998</v>
      </c>
      <c r="J230" s="515">
        <v>25415310.09</v>
      </c>
      <c r="K230" s="514">
        <v>20</v>
      </c>
      <c r="L230" s="515">
        <v>14974566.800000001</v>
      </c>
      <c r="M230" s="514">
        <v>0.86277400000000004</v>
      </c>
      <c r="N230" s="515">
        <v>645983.34</v>
      </c>
      <c r="O230" s="514">
        <v>0.97599853999999997</v>
      </c>
      <c r="P230" s="515">
        <v>730757.77</v>
      </c>
      <c r="Q230" s="515">
        <v>-14974.57</v>
      </c>
      <c r="R230" s="515">
        <v>772078.84</v>
      </c>
      <c r="S230" s="504" t="str">
        <f t="shared" si="3"/>
        <v>44</v>
      </c>
    </row>
    <row r="231" spans="1:20" ht="15" x14ac:dyDescent="0.25">
      <c r="A231" s="513" t="s">
        <v>402</v>
      </c>
      <c r="B231" s="513" t="s">
        <v>1163</v>
      </c>
      <c r="C231" s="513" t="s">
        <v>573</v>
      </c>
      <c r="D231" s="513" t="s">
        <v>123</v>
      </c>
      <c r="E231" s="514"/>
      <c r="F231" s="514">
        <v>-0.02</v>
      </c>
      <c r="G231" s="514">
        <v>2045</v>
      </c>
      <c r="H231" s="515">
        <v>5865811.79</v>
      </c>
      <c r="I231" s="514">
        <v>31.057376999999999</v>
      </c>
      <c r="J231" s="515">
        <v>182176728.19999999</v>
      </c>
      <c r="K231" s="514">
        <v>49.207464469999998</v>
      </c>
      <c r="L231" s="515">
        <v>288641725.26999998</v>
      </c>
      <c r="M231" s="514">
        <v>20.969716550000001</v>
      </c>
      <c r="N231" s="515">
        <v>123004410.56999999</v>
      </c>
      <c r="O231" s="514">
        <v>0.61147854000000001</v>
      </c>
      <c r="P231" s="515">
        <v>3586818</v>
      </c>
      <c r="Q231" s="515">
        <v>-117316.24</v>
      </c>
      <c r="R231" s="515">
        <v>3789636.43</v>
      </c>
      <c r="S231" s="504" t="str">
        <f t="shared" si="3"/>
        <v>44</v>
      </c>
    </row>
    <row r="232" spans="1:20" ht="15" x14ac:dyDescent="0.25">
      <c r="A232" s="516" t="s">
        <v>402</v>
      </c>
      <c r="B232" s="516" t="s">
        <v>1163</v>
      </c>
      <c r="C232" s="516" t="s">
        <v>614</v>
      </c>
      <c r="D232" s="516" t="s">
        <v>359</v>
      </c>
      <c r="E232" s="517">
        <v>40</v>
      </c>
      <c r="F232" s="517">
        <v>-0.02</v>
      </c>
      <c r="G232" s="517">
        <v>2049</v>
      </c>
      <c r="H232" s="518">
        <v>1377903.93</v>
      </c>
      <c r="I232" s="517">
        <v>10.5</v>
      </c>
      <c r="J232" s="518">
        <v>14467991.27</v>
      </c>
      <c r="K232" s="517">
        <v>40</v>
      </c>
      <c r="L232" s="518">
        <v>55116157.200000003</v>
      </c>
      <c r="M232" s="517">
        <v>29.5</v>
      </c>
      <c r="N232" s="518">
        <v>40648165.939999998</v>
      </c>
      <c r="O232" s="517">
        <v>0.26774999999999999</v>
      </c>
      <c r="P232" s="518">
        <v>368933.78</v>
      </c>
      <c r="Q232" s="518">
        <v>-27558.080000000002</v>
      </c>
      <c r="R232" s="518">
        <v>181352</v>
      </c>
      <c r="S232" s="504" t="str">
        <f t="shared" si="3"/>
        <v>44</v>
      </c>
      <c r="T232" s="309"/>
    </row>
    <row r="233" spans="1:20" ht="15" x14ac:dyDescent="0.25">
      <c r="A233" s="516" t="s">
        <v>402</v>
      </c>
      <c r="B233" s="516" t="s">
        <v>1163</v>
      </c>
      <c r="C233" s="516" t="s">
        <v>615</v>
      </c>
      <c r="D233" s="516" t="s">
        <v>405</v>
      </c>
      <c r="E233" s="517">
        <v>30</v>
      </c>
      <c r="F233" s="517">
        <v>-0.02</v>
      </c>
      <c r="G233" s="517">
        <v>2049</v>
      </c>
      <c r="H233" s="518">
        <v>1933179.16</v>
      </c>
      <c r="I233" s="517">
        <v>10.39974696</v>
      </c>
      <c r="J233" s="518">
        <v>20104574.100000001</v>
      </c>
      <c r="K233" s="517">
        <v>30</v>
      </c>
      <c r="L233" s="518">
        <v>57995374.799999997</v>
      </c>
      <c r="M233" s="517">
        <v>19.545589</v>
      </c>
      <c r="N233" s="518">
        <v>37785125.32</v>
      </c>
      <c r="O233" s="517">
        <v>0.35535136000000001</v>
      </c>
      <c r="P233" s="518">
        <v>686957.85</v>
      </c>
      <c r="Q233" s="518">
        <v>-38663.58</v>
      </c>
      <c r="R233" s="518">
        <v>337678.98</v>
      </c>
      <c r="S233" s="504" t="str">
        <f t="shared" si="3"/>
        <v>44</v>
      </c>
      <c r="T233" s="309"/>
    </row>
    <row r="234" spans="1:20" ht="15" x14ac:dyDescent="0.25">
      <c r="A234" s="516" t="s">
        <v>402</v>
      </c>
      <c r="B234" s="516" t="s">
        <v>1163</v>
      </c>
      <c r="C234" s="516" t="s">
        <v>617</v>
      </c>
      <c r="D234" s="516" t="s">
        <v>123</v>
      </c>
      <c r="E234" s="517"/>
      <c r="F234" s="517">
        <v>-0.02</v>
      </c>
      <c r="G234" s="517">
        <v>2049</v>
      </c>
      <c r="H234" s="518">
        <v>3311083.09</v>
      </c>
      <c r="I234" s="517">
        <v>10.441467166563919</v>
      </c>
      <c r="J234" s="518">
        <v>34572565.370000005</v>
      </c>
      <c r="K234" s="517">
        <v>34.16149003980447</v>
      </c>
      <c r="L234" s="518">
        <v>113111532</v>
      </c>
      <c r="M234" s="517">
        <v>23.688107222944982</v>
      </c>
      <c r="N234" s="518">
        <v>78433291.25999999</v>
      </c>
      <c r="O234" s="517">
        <v>0.31889614404089145</v>
      </c>
      <c r="P234" s="518">
        <v>1055891.6299999999</v>
      </c>
      <c r="Q234" s="518">
        <v>-66221.66</v>
      </c>
      <c r="R234" s="518">
        <v>519030.98</v>
      </c>
      <c r="S234" s="504" t="str">
        <f t="shared" si="3"/>
        <v>44</v>
      </c>
    </row>
    <row r="235" spans="1:20" ht="15" x14ac:dyDescent="0.25">
      <c r="A235" s="516" t="s">
        <v>402</v>
      </c>
      <c r="B235" s="516" t="s">
        <v>1163</v>
      </c>
      <c r="C235" s="516" t="s">
        <v>618</v>
      </c>
      <c r="D235" s="516" t="s">
        <v>359</v>
      </c>
      <c r="E235" s="517">
        <v>40</v>
      </c>
      <c r="F235" s="517">
        <v>-0.05</v>
      </c>
      <c r="G235" s="517">
        <v>2049</v>
      </c>
      <c r="H235" s="518">
        <v>2307722.5699999998</v>
      </c>
      <c r="I235" s="517">
        <v>10.5</v>
      </c>
      <c r="J235" s="518">
        <v>24231086.989999998</v>
      </c>
      <c r="K235" s="517">
        <v>40</v>
      </c>
      <c r="L235" s="518">
        <v>92308902.799999997</v>
      </c>
      <c r="M235" s="517">
        <v>29.5</v>
      </c>
      <c r="N235" s="518">
        <v>68077815.819999993</v>
      </c>
      <c r="O235" s="517">
        <v>0.27562500000000001</v>
      </c>
      <c r="P235" s="518">
        <v>636066.03</v>
      </c>
      <c r="Q235" s="518">
        <v>-115386.13</v>
      </c>
      <c r="R235" s="518">
        <v>652570.29</v>
      </c>
      <c r="S235" s="504" t="str">
        <f t="shared" si="3"/>
        <v>44</v>
      </c>
    </row>
    <row r="236" spans="1:20" ht="15" x14ac:dyDescent="0.25">
      <c r="A236" s="516" t="s">
        <v>402</v>
      </c>
      <c r="B236" s="516" t="s">
        <v>1163</v>
      </c>
      <c r="C236" s="516" t="s">
        <v>620</v>
      </c>
      <c r="D236" s="516" t="s">
        <v>407</v>
      </c>
      <c r="E236" s="517">
        <v>20</v>
      </c>
      <c r="F236" s="517">
        <v>-0.05</v>
      </c>
      <c r="G236" s="517">
        <v>2049</v>
      </c>
      <c r="H236" s="518">
        <v>45458.9</v>
      </c>
      <c r="I236" s="517">
        <v>5.6775223300000004</v>
      </c>
      <c r="J236" s="518">
        <v>258093.92</v>
      </c>
      <c r="K236" s="517">
        <v>20</v>
      </c>
      <c r="L236" s="518">
        <v>909178</v>
      </c>
      <c r="M236" s="517">
        <v>14.329784</v>
      </c>
      <c r="N236" s="518">
        <v>651416.22</v>
      </c>
      <c r="O236" s="517">
        <v>0.29768625999999998</v>
      </c>
      <c r="P236" s="518">
        <v>13532.49</v>
      </c>
      <c r="Q236" s="518">
        <v>-2272.9499999999998</v>
      </c>
      <c r="R236" s="518">
        <v>13774.45</v>
      </c>
      <c r="S236" s="504" t="str">
        <f t="shared" si="3"/>
        <v>44</v>
      </c>
    </row>
    <row r="237" spans="1:20" ht="15" x14ac:dyDescent="0.25">
      <c r="A237" s="516" t="s">
        <v>402</v>
      </c>
      <c r="B237" s="516" t="s">
        <v>1163</v>
      </c>
      <c r="C237" s="516" t="s">
        <v>621</v>
      </c>
      <c r="D237" s="516" t="s">
        <v>123</v>
      </c>
      <c r="E237" s="517"/>
      <c r="F237" s="517">
        <v>-0.05</v>
      </c>
      <c r="G237" s="517">
        <v>2049</v>
      </c>
      <c r="H237" s="518">
        <v>2353181.4699999997</v>
      </c>
      <c r="I237" s="517">
        <v>10.406839090909552</v>
      </c>
      <c r="J237" s="518">
        <v>24489180.91</v>
      </c>
      <c r="K237" s="517">
        <v>39.613638807040246</v>
      </c>
      <c r="L237" s="518">
        <v>93218080.799999997</v>
      </c>
      <c r="M237" s="517">
        <v>29.20694086546585</v>
      </c>
      <c r="N237" s="518">
        <v>68729232.039999992</v>
      </c>
      <c r="O237" s="517">
        <v>0.27605117934232248</v>
      </c>
      <c r="P237" s="518">
        <v>649598.52</v>
      </c>
      <c r="Q237" s="518">
        <v>-117659.08</v>
      </c>
      <c r="R237" s="518">
        <v>666344.74</v>
      </c>
      <c r="S237" s="504" t="str">
        <f t="shared" si="3"/>
        <v>44</v>
      </c>
    </row>
    <row r="238" spans="1:20" ht="15" x14ac:dyDescent="0.25">
      <c r="A238" s="513" t="s">
        <v>402</v>
      </c>
      <c r="B238" s="513" t="s">
        <v>1163</v>
      </c>
      <c r="C238" s="513" t="s">
        <v>622</v>
      </c>
      <c r="D238" s="513" t="s">
        <v>359</v>
      </c>
      <c r="E238" s="514">
        <v>40</v>
      </c>
      <c r="F238" s="514">
        <v>-7.0000000000000007E-2</v>
      </c>
      <c r="G238" s="514">
        <v>2049</v>
      </c>
      <c r="H238" s="515">
        <v>2108275</v>
      </c>
      <c r="I238" s="514">
        <v>10.103720989999999</v>
      </c>
      <c r="J238" s="515">
        <v>21301422.359999999</v>
      </c>
      <c r="K238" s="514">
        <v>39.51</v>
      </c>
      <c r="L238" s="515">
        <v>83297945.25</v>
      </c>
      <c r="M238" s="514">
        <v>29.5</v>
      </c>
      <c r="N238" s="515">
        <v>62194112.5</v>
      </c>
      <c r="O238" s="514">
        <v>0.27110851000000002</v>
      </c>
      <c r="P238" s="515">
        <v>571571.29</v>
      </c>
      <c r="Q238" s="515">
        <v>-147579.25</v>
      </c>
      <c r="R238" s="515">
        <v>684817.51</v>
      </c>
      <c r="S238" s="504" t="str">
        <f t="shared" si="3"/>
        <v>44</v>
      </c>
    </row>
    <row r="239" spans="1:20" ht="15" x14ac:dyDescent="0.25">
      <c r="A239" s="513" t="s">
        <v>402</v>
      </c>
      <c r="B239" s="513" t="s">
        <v>1163</v>
      </c>
      <c r="C239" s="513" t="s">
        <v>623</v>
      </c>
      <c r="D239" s="513" t="s">
        <v>405</v>
      </c>
      <c r="E239" s="514">
        <v>30</v>
      </c>
      <c r="F239" s="514">
        <v>-7.0000000000000007E-2</v>
      </c>
      <c r="G239" s="514">
        <v>2049</v>
      </c>
      <c r="H239" s="515">
        <v>16083891.66</v>
      </c>
      <c r="I239" s="514">
        <v>9.4834491199999995</v>
      </c>
      <c r="J239" s="515">
        <v>152530768.16999999</v>
      </c>
      <c r="K239" s="514">
        <v>29.8</v>
      </c>
      <c r="L239" s="515">
        <v>479299971.47000003</v>
      </c>
      <c r="M239" s="514">
        <v>20.310752000000001</v>
      </c>
      <c r="N239" s="515">
        <v>326675934.69999999</v>
      </c>
      <c r="O239" s="514">
        <v>0.34071432000000001</v>
      </c>
      <c r="P239" s="515">
        <v>5480012.1900000004</v>
      </c>
      <c r="Q239" s="515">
        <v>-1125872.42</v>
      </c>
      <c r="R239" s="515">
        <v>6565774.6500000004</v>
      </c>
      <c r="S239" s="504" t="str">
        <f t="shared" si="3"/>
        <v>44</v>
      </c>
      <c r="T239" s="394"/>
    </row>
    <row r="240" spans="1:20" ht="15" x14ac:dyDescent="0.25">
      <c r="A240" s="513" t="s">
        <v>402</v>
      </c>
      <c r="B240" s="513" t="s">
        <v>1163</v>
      </c>
      <c r="C240" s="513" t="s">
        <v>624</v>
      </c>
      <c r="D240" s="513" t="s">
        <v>407</v>
      </c>
      <c r="E240" s="514">
        <v>20</v>
      </c>
      <c r="F240" s="514">
        <v>-7.0000000000000007E-2</v>
      </c>
      <c r="G240" s="514">
        <v>2049</v>
      </c>
      <c r="H240" s="515">
        <v>1556639.37</v>
      </c>
      <c r="I240" s="514">
        <v>9.3636588100000004</v>
      </c>
      <c r="J240" s="515">
        <v>14575839.949999999</v>
      </c>
      <c r="K240" s="514">
        <v>20</v>
      </c>
      <c r="L240" s="515">
        <v>31132787.399999999</v>
      </c>
      <c r="M240" s="514">
        <v>10.860607999999999</v>
      </c>
      <c r="N240" s="515">
        <v>16906049.989999998</v>
      </c>
      <c r="O240" s="514">
        <v>0.48895745000000002</v>
      </c>
      <c r="P240" s="515">
        <v>761130.41</v>
      </c>
      <c r="Q240" s="515">
        <v>-108964.76</v>
      </c>
      <c r="R240" s="515">
        <v>911934.24</v>
      </c>
      <c r="S240" s="504" t="str">
        <f t="shared" si="3"/>
        <v>44</v>
      </c>
      <c r="T240" s="394"/>
    </row>
    <row r="241" spans="1:20" ht="15" x14ac:dyDescent="0.25">
      <c r="A241" s="513" t="s">
        <v>402</v>
      </c>
      <c r="B241" s="513" t="s">
        <v>1163</v>
      </c>
      <c r="C241" s="513" t="s">
        <v>625</v>
      </c>
      <c r="D241" s="513" t="s">
        <v>123</v>
      </c>
      <c r="E241" s="514"/>
      <c r="F241" s="514">
        <v>-7.0000000000000007E-2</v>
      </c>
      <c r="G241" s="514">
        <v>2049</v>
      </c>
      <c r="H241" s="515">
        <v>19748806.030000001</v>
      </c>
      <c r="I241" s="514">
        <v>9.5402238599999993</v>
      </c>
      <c r="J241" s="515">
        <v>188408030.47999999</v>
      </c>
      <c r="K241" s="514">
        <v>30.064131629999999</v>
      </c>
      <c r="L241" s="515">
        <v>593730704.12</v>
      </c>
      <c r="M241" s="514">
        <v>20.54686732</v>
      </c>
      <c r="N241" s="515">
        <v>405776097.19999999</v>
      </c>
      <c r="O241" s="514">
        <v>0.34496839000000001</v>
      </c>
      <c r="P241" s="515">
        <v>6812713.8899999997</v>
      </c>
      <c r="Q241" s="515">
        <v>-1382416.42</v>
      </c>
      <c r="R241" s="515">
        <v>8162526.4000000004</v>
      </c>
      <c r="S241" s="504" t="str">
        <f t="shared" si="3"/>
        <v>44</v>
      </c>
      <c r="T241" s="394"/>
    </row>
    <row r="242" spans="1:20" ht="15" x14ac:dyDescent="0.25">
      <c r="A242" s="513" t="s">
        <v>402</v>
      </c>
      <c r="B242" s="513" t="s">
        <v>1163</v>
      </c>
      <c r="C242" s="513" t="s">
        <v>626</v>
      </c>
      <c r="D242" s="513" t="s">
        <v>359</v>
      </c>
      <c r="E242" s="514">
        <v>40</v>
      </c>
      <c r="F242" s="514">
        <v>-0.05</v>
      </c>
      <c r="G242" s="514">
        <v>2049</v>
      </c>
      <c r="H242" s="515">
        <v>10760221.800000001</v>
      </c>
      <c r="I242" s="514">
        <v>10.489903610000001</v>
      </c>
      <c r="J242" s="515">
        <v>112873689.45999999</v>
      </c>
      <c r="K242" s="514">
        <v>39.99</v>
      </c>
      <c r="L242" s="515">
        <v>430301269.77999997</v>
      </c>
      <c r="M242" s="514">
        <v>29.5</v>
      </c>
      <c r="N242" s="515">
        <v>317426543.10000002</v>
      </c>
      <c r="O242" s="514">
        <v>0.27540782000000003</v>
      </c>
      <c r="P242" s="515">
        <v>2963449.25</v>
      </c>
      <c r="Q242" s="515">
        <v>-538011.09</v>
      </c>
      <c r="R242" s="515">
        <v>3189036.4</v>
      </c>
      <c r="S242" s="504" t="str">
        <f t="shared" si="3"/>
        <v>44</v>
      </c>
      <c r="T242" s="394"/>
    </row>
    <row r="243" spans="1:20" ht="15" x14ac:dyDescent="0.25">
      <c r="A243" s="513" t="s">
        <v>402</v>
      </c>
      <c r="B243" s="513" t="s">
        <v>1163</v>
      </c>
      <c r="C243" s="513" t="s">
        <v>627</v>
      </c>
      <c r="D243" s="513" t="s">
        <v>405</v>
      </c>
      <c r="E243" s="514">
        <v>30</v>
      </c>
      <c r="F243" s="514">
        <v>-0.05</v>
      </c>
      <c r="G243" s="514">
        <v>2049</v>
      </c>
      <c r="H243" s="515">
        <v>1915300.39</v>
      </c>
      <c r="I243" s="514">
        <v>10.32475966</v>
      </c>
      <c r="J243" s="515">
        <v>19775016.199999999</v>
      </c>
      <c r="K243" s="514">
        <v>29.97</v>
      </c>
      <c r="L243" s="515">
        <v>57401552.689999998</v>
      </c>
      <c r="M243" s="514">
        <v>19.605642</v>
      </c>
      <c r="N243" s="515">
        <v>37550693.770000003</v>
      </c>
      <c r="O243" s="514">
        <v>0.36316642999999998</v>
      </c>
      <c r="P243" s="515">
        <v>695572.81</v>
      </c>
      <c r="Q243" s="515">
        <v>-95765.02</v>
      </c>
      <c r="R243" s="515">
        <v>748522.02</v>
      </c>
      <c r="S243" s="504" t="str">
        <f t="shared" si="3"/>
        <v>44</v>
      </c>
      <c r="T243" s="394"/>
    </row>
    <row r="244" spans="1:20" ht="15" x14ac:dyDescent="0.25">
      <c r="A244" s="513" t="s">
        <v>402</v>
      </c>
      <c r="B244" s="513" t="s">
        <v>1163</v>
      </c>
      <c r="C244" s="513" t="s">
        <v>628</v>
      </c>
      <c r="D244" s="513" t="s">
        <v>407</v>
      </c>
      <c r="E244" s="514">
        <v>20</v>
      </c>
      <c r="F244" s="514">
        <v>-0.05</v>
      </c>
      <c r="G244" s="514">
        <v>2049</v>
      </c>
      <c r="H244" s="515">
        <v>2242878.4</v>
      </c>
      <c r="I244" s="514">
        <v>10.448367429999999</v>
      </c>
      <c r="J244" s="515">
        <v>23434417.620000001</v>
      </c>
      <c r="K244" s="514">
        <v>20</v>
      </c>
      <c r="L244" s="515">
        <v>44857568</v>
      </c>
      <c r="M244" s="514">
        <v>9.8177520000000005</v>
      </c>
      <c r="N244" s="515">
        <v>22020023.899999999</v>
      </c>
      <c r="O244" s="514">
        <v>0.53456802000000003</v>
      </c>
      <c r="P244" s="515">
        <v>1198971.06</v>
      </c>
      <c r="Q244" s="515">
        <v>-112143.92</v>
      </c>
      <c r="R244" s="515">
        <v>1290240.53</v>
      </c>
      <c r="S244" s="504" t="str">
        <f t="shared" si="3"/>
        <v>44</v>
      </c>
      <c r="T244" s="394"/>
    </row>
    <row r="245" spans="1:20" ht="15" x14ac:dyDescent="0.25">
      <c r="A245" s="513" t="s">
        <v>402</v>
      </c>
      <c r="B245" s="513" t="s">
        <v>1163</v>
      </c>
      <c r="C245" s="513" t="s">
        <v>629</v>
      </c>
      <c r="D245" s="513" t="s">
        <v>123</v>
      </c>
      <c r="E245" s="514"/>
      <c r="F245" s="514">
        <v>-0.05</v>
      </c>
      <c r="G245" s="514">
        <v>2049</v>
      </c>
      <c r="H245" s="515">
        <v>14918400.59</v>
      </c>
      <c r="I245" s="514">
        <v>10.46245691</v>
      </c>
      <c r="J245" s="515">
        <v>156083123.28</v>
      </c>
      <c r="K245" s="514">
        <v>35.698222960000003</v>
      </c>
      <c r="L245" s="515">
        <v>532560390.47000003</v>
      </c>
      <c r="M245" s="514">
        <v>25.270621909999999</v>
      </c>
      <c r="N245" s="515">
        <v>376997260.76999998</v>
      </c>
      <c r="O245" s="514">
        <v>0.32563766</v>
      </c>
      <c r="P245" s="515">
        <v>4857993.12</v>
      </c>
      <c r="Q245" s="515">
        <v>-745920.03</v>
      </c>
      <c r="R245" s="515">
        <v>5227798.95</v>
      </c>
      <c r="S245" s="504" t="str">
        <f t="shared" si="3"/>
        <v>44</v>
      </c>
      <c r="T245" s="394"/>
    </row>
    <row r="246" spans="1:20" ht="15" x14ac:dyDescent="0.25">
      <c r="A246" s="513" t="s">
        <v>402</v>
      </c>
      <c r="B246" s="513" t="s">
        <v>1163</v>
      </c>
      <c r="C246" s="513" t="s">
        <v>630</v>
      </c>
      <c r="D246" s="513" t="s">
        <v>359</v>
      </c>
      <c r="E246" s="514">
        <v>40</v>
      </c>
      <c r="F246" s="514">
        <v>-0.02</v>
      </c>
      <c r="G246" s="514">
        <v>2049</v>
      </c>
      <c r="H246" s="515">
        <v>206790.28</v>
      </c>
      <c r="I246" s="514">
        <v>10.12233288</v>
      </c>
      <c r="J246" s="515">
        <v>2093200.05</v>
      </c>
      <c r="K246" s="514">
        <v>39.6</v>
      </c>
      <c r="L246" s="515">
        <v>8188895.0899999999</v>
      </c>
      <c r="M246" s="514">
        <v>29.5</v>
      </c>
      <c r="N246" s="515">
        <v>6100313.2599999998</v>
      </c>
      <c r="O246" s="514">
        <v>0.26007160000000001</v>
      </c>
      <c r="P246" s="515">
        <v>53780.28</v>
      </c>
      <c r="Q246" s="515">
        <v>-4135.8100000000004</v>
      </c>
      <c r="R246" s="515">
        <v>55754.11</v>
      </c>
      <c r="S246" s="504" t="str">
        <f t="shared" si="3"/>
        <v>44</v>
      </c>
      <c r="T246" s="394"/>
    </row>
    <row r="247" spans="1:20" ht="15" x14ac:dyDescent="0.25">
      <c r="A247" s="513" t="s">
        <v>402</v>
      </c>
      <c r="B247" s="513" t="s">
        <v>1163</v>
      </c>
      <c r="C247" s="513" t="s">
        <v>631</v>
      </c>
      <c r="D247" s="513" t="s">
        <v>405</v>
      </c>
      <c r="E247" s="514">
        <v>30</v>
      </c>
      <c r="F247" s="514">
        <v>-0.02</v>
      </c>
      <c r="G247" s="514">
        <v>2049</v>
      </c>
      <c r="H247" s="515">
        <v>303874.43</v>
      </c>
      <c r="I247" s="514">
        <v>10.3998589</v>
      </c>
      <c r="J247" s="515">
        <v>3160251.2</v>
      </c>
      <c r="K247" s="514">
        <v>30</v>
      </c>
      <c r="L247" s="515">
        <v>9116232.9000000004</v>
      </c>
      <c r="M247" s="514">
        <v>19.547896999999999</v>
      </c>
      <c r="N247" s="515">
        <v>5940106.0599999996</v>
      </c>
      <c r="O247" s="514">
        <v>0.35537149000000001</v>
      </c>
      <c r="P247" s="515">
        <v>107988.31</v>
      </c>
      <c r="Q247" s="515">
        <v>-6077.49</v>
      </c>
      <c r="R247" s="515">
        <v>111951.67</v>
      </c>
      <c r="S247" s="504" t="str">
        <f t="shared" si="3"/>
        <v>44</v>
      </c>
    </row>
    <row r="248" spans="1:20" ht="15" x14ac:dyDescent="0.25">
      <c r="A248" s="513" t="s">
        <v>402</v>
      </c>
      <c r="B248" s="513" t="s">
        <v>1163</v>
      </c>
      <c r="C248" s="513" t="s">
        <v>632</v>
      </c>
      <c r="D248" s="513" t="s">
        <v>123</v>
      </c>
      <c r="E248" s="514"/>
      <c r="F248" s="514">
        <v>-0.02</v>
      </c>
      <c r="G248" s="514">
        <v>2049</v>
      </c>
      <c r="H248" s="515">
        <v>510664.71</v>
      </c>
      <c r="I248" s="514">
        <v>10.28747658</v>
      </c>
      <c r="J248" s="515">
        <v>5253451.25</v>
      </c>
      <c r="K248" s="514">
        <v>33.887456190000002</v>
      </c>
      <c r="L248" s="515">
        <v>17305127.989999998</v>
      </c>
      <c r="M248" s="514">
        <v>23.57793496</v>
      </c>
      <c r="N248" s="515">
        <v>12040419.32</v>
      </c>
      <c r="O248" s="514">
        <v>0.31678044</v>
      </c>
      <c r="P248" s="515">
        <v>161768.59</v>
      </c>
      <c r="Q248" s="515">
        <v>-10213.290000000001</v>
      </c>
      <c r="R248" s="515">
        <v>167705.78</v>
      </c>
      <c r="S248" s="504" t="str">
        <f t="shared" si="3"/>
        <v>44</v>
      </c>
    </row>
    <row r="249" spans="1:20" ht="15" x14ac:dyDescent="0.25">
      <c r="A249" s="513" t="s">
        <v>402</v>
      </c>
      <c r="B249" s="513" t="s">
        <v>1163</v>
      </c>
      <c r="C249" s="513" t="s">
        <v>425</v>
      </c>
      <c r="D249" s="513" t="s">
        <v>359</v>
      </c>
      <c r="E249" s="514">
        <v>60</v>
      </c>
      <c r="F249" s="514">
        <v>-0.02</v>
      </c>
      <c r="G249" s="514">
        <v>2045</v>
      </c>
      <c r="H249" s="515">
        <v>20106937.879999999</v>
      </c>
      <c r="I249" s="514">
        <v>32.076694430000003</v>
      </c>
      <c r="J249" s="515">
        <v>644964102.34000003</v>
      </c>
      <c r="K249" s="514">
        <v>55.26</v>
      </c>
      <c r="L249" s="515">
        <v>1111109387.25</v>
      </c>
      <c r="M249" s="514">
        <v>25.5</v>
      </c>
      <c r="N249" s="515">
        <v>512726915.94</v>
      </c>
      <c r="O249" s="514">
        <v>0.54934943000000003</v>
      </c>
      <c r="P249" s="515">
        <v>11045734.890000001</v>
      </c>
      <c r="Q249" s="515">
        <v>-402138.76</v>
      </c>
      <c r="R249" s="515">
        <v>10535941.26</v>
      </c>
      <c r="S249" s="504" t="str">
        <f t="shared" si="3"/>
        <v>45</v>
      </c>
    </row>
    <row r="250" spans="1:20" ht="15" x14ac:dyDescent="0.25">
      <c r="A250" s="513" t="s">
        <v>402</v>
      </c>
      <c r="B250" s="513" t="s">
        <v>1163</v>
      </c>
      <c r="C250" s="513" t="s">
        <v>426</v>
      </c>
      <c r="D250" s="513" t="s">
        <v>405</v>
      </c>
      <c r="E250" s="514">
        <v>35</v>
      </c>
      <c r="F250" s="514">
        <v>-0.02</v>
      </c>
      <c r="G250" s="514">
        <v>2045</v>
      </c>
      <c r="H250" s="515">
        <v>2906395.05</v>
      </c>
      <c r="I250" s="514">
        <v>17.037244879999999</v>
      </c>
      <c r="J250" s="515">
        <v>49516964.170000002</v>
      </c>
      <c r="K250" s="514">
        <v>31.87</v>
      </c>
      <c r="L250" s="515">
        <v>92626810.239999995</v>
      </c>
      <c r="M250" s="514">
        <v>17.417062999999999</v>
      </c>
      <c r="N250" s="515">
        <v>50620865.689999998</v>
      </c>
      <c r="O250" s="514">
        <v>0.46258253999999999</v>
      </c>
      <c r="P250" s="515">
        <v>1344447.61</v>
      </c>
      <c r="Q250" s="515">
        <v>-58127.9</v>
      </c>
      <c r="R250" s="515">
        <v>1282397.3400000001</v>
      </c>
      <c r="S250" s="504" t="str">
        <f t="shared" si="3"/>
        <v>45</v>
      </c>
    </row>
    <row r="251" spans="1:20" ht="15" x14ac:dyDescent="0.25">
      <c r="A251" s="513" t="s">
        <v>402</v>
      </c>
      <c r="B251" s="513" t="s">
        <v>1163</v>
      </c>
      <c r="C251" s="513" t="s">
        <v>427</v>
      </c>
      <c r="D251" s="513" t="s">
        <v>407</v>
      </c>
      <c r="E251" s="514">
        <v>20</v>
      </c>
      <c r="F251" s="514">
        <v>-0.02</v>
      </c>
      <c r="G251" s="514">
        <v>2045</v>
      </c>
      <c r="H251" s="515">
        <v>898585.8</v>
      </c>
      <c r="I251" s="514">
        <v>20.422842339999999</v>
      </c>
      <c r="J251" s="515">
        <v>18351676.120000001</v>
      </c>
      <c r="K251" s="514">
        <v>20</v>
      </c>
      <c r="L251" s="515">
        <v>17971716</v>
      </c>
      <c r="M251" s="514">
        <v>6.0229929999999996</v>
      </c>
      <c r="N251" s="515">
        <v>5412175.9800000004</v>
      </c>
      <c r="O251" s="514">
        <v>0.71282736000000002</v>
      </c>
      <c r="P251" s="515">
        <v>640536.54</v>
      </c>
      <c r="Q251" s="515">
        <v>-17971.72</v>
      </c>
      <c r="R251" s="515">
        <v>610973.87</v>
      </c>
      <c r="S251" s="504" t="str">
        <f t="shared" si="3"/>
        <v>45</v>
      </c>
    </row>
    <row r="252" spans="1:20" ht="15" x14ac:dyDescent="0.25">
      <c r="A252" s="513" t="s">
        <v>402</v>
      </c>
      <c r="B252" s="513" t="s">
        <v>1163</v>
      </c>
      <c r="C252" s="513" t="s">
        <v>428</v>
      </c>
      <c r="D252" s="513" t="s">
        <v>123</v>
      </c>
      <c r="E252" s="514"/>
      <c r="F252" s="514">
        <v>-0.02</v>
      </c>
      <c r="G252" s="514">
        <v>2045</v>
      </c>
      <c r="H252" s="515">
        <v>23911918.73</v>
      </c>
      <c r="I252" s="514">
        <v>29.810771379999998</v>
      </c>
      <c r="J252" s="515">
        <v>712832742.63999999</v>
      </c>
      <c r="K252" s="514">
        <v>51.092006759999997</v>
      </c>
      <c r="L252" s="515">
        <v>1221707913.49</v>
      </c>
      <c r="M252" s="514">
        <v>23.785626069999999</v>
      </c>
      <c r="N252" s="515">
        <v>568759957.61000001</v>
      </c>
      <c r="O252" s="514">
        <v>0.54494661</v>
      </c>
      <c r="P252" s="515">
        <v>13030719.039999999</v>
      </c>
      <c r="Q252" s="515">
        <v>-478238.37</v>
      </c>
      <c r="R252" s="515">
        <v>12429312.470000001</v>
      </c>
      <c r="S252" s="504" t="str">
        <f t="shared" si="3"/>
        <v>45</v>
      </c>
    </row>
    <row r="253" spans="1:20" ht="15" x14ac:dyDescent="0.25">
      <c r="A253" s="513" t="s">
        <v>402</v>
      </c>
      <c r="B253" s="513" t="s">
        <v>1163</v>
      </c>
      <c r="C253" s="513" t="s">
        <v>469</v>
      </c>
      <c r="D253" s="513" t="s">
        <v>359</v>
      </c>
      <c r="E253" s="514">
        <v>60</v>
      </c>
      <c r="F253" s="514">
        <v>-0.05</v>
      </c>
      <c r="G253" s="514">
        <v>2045</v>
      </c>
      <c r="H253" s="515">
        <v>95071409.140000001</v>
      </c>
      <c r="I253" s="514">
        <v>27.79670827</v>
      </c>
      <c r="J253" s="515">
        <v>2642672224.5599999</v>
      </c>
      <c r="K253" s="514">
        <v>49.76</v>
      </c>
      <c r="L253" s="515">
        <v>4730753318.8100004</v>
      </c>
      <c r="M253" s="514">
        <v>25.5</v>
      </c>
      <c r="N253" s="515">
        <v>2424320933.0700002</v>
      </c>
      <c r="O253" s="514">
        <v>0.51191405000000001</v>
      </c>
      <c r="P253" s="515">
        <v>48668390.009999998</v>
      </c>
      <c r="Q253" s="515">
        <v>-4753570.46</v>
      </c>
      <c r="R253" s="515">
        <v>36138403.710000001</v>
      </c>
      <c r="S253" s="504" t="str">
        <f t="shared" si="3"/>
        <v>45</v>
      </c>
    </row>
    <row r="254" spans="1:20" ht="15" x14ac:dyDescent="0.25">
      <c r="A254" s="513" t="s">
        <v>402</v>
      </c>
      <c r="B254" s="513" t="s">
        <v>1163</v>
      </c>
      <c r="C254" s="513" t="s">
        <v>470</v>
      </c>
      <c r="D254" s="513" t="s">
        <v>405</v>
      </c>
      <c r="E254" s="514">
        <v>35</v>
      </c>
      <c r="F254" s="514">
        <v>-0.05</v>
      </c>
      <c r="G254" s="514">
        <v>2045</v>
      </c>
      <c r="H254" s="515">
        <v>58266298.219999999</v>
      </c>
      <c r="I254" s="514">
        <v>16.929876409999999</v>
      </c>
      <c r="J254" s="515">
        <v>986441227.90999997</v>
      </c>
      <c r="K254" s="514">
        <v>32.46</v>
      </c>
      <c r="L254" s="515">
        <v>1891324040.22</v>
      </c>
      <c r="M254" s="514">
        <v>17.651633</v>
      </c>
      <c r="N254" s="515">
        <v>1028495312.45</v>
      </c>
      <c r="O254" s="514">
        <v>0.47903498999999999</v>
      </c>
      <c r="P254" s="515">
        <v>27911595.600000001</v>
      </c>
      <c r="Q254" s="515">
        <v>-2913314.91</v>
      </c>
      <c r="R254" s="515">
        <v>20725577.93</v>
      </c>
      <c r="S254" s="504" t="str">
        <f t="shared" si="3"/>
        <v>45</v>
      </c>
    </row>
    <row r="255" spans="1:20" ht="15" x14ac:dyDescent="0.25">
      <c r="A255" s="513" t="s">
        <v>402</v>
      </c>
      <c r="B255" s="513" t="s">
        <v>1163</v>
      </c>
      <c r="C255" s="513" t="s">
        <v>471</v>
      </c>
      <c r="D255" s="513" t="s">
        <v>407</v>
      </c>
      <c r="E255" s="514">
        <v>20</v>
      </c>
      <c r="F255" s="514">
        <v>-0.05</v>
      </c>
      <c r="G255" s="514">
        <v>2045</v>
      </c>
      <c r="H255" s="515">
        <v>5863354.1399999997</v>
      </c>
      <c r="I255" s="514">
        <v>17.658179149999999</v>
      </c>
      <c r="J255" s="515">
        <v>103536157.84999999</v>
      </c>
      <c r="K255" s="514">
        <v>20</v>
      </c>
      <c r="L255" s="515">
        <v>117267082.8</v>
      </c>
      <c r="M255" s="514">
        <v>6.5289929999999998</v>
      </c>
      <c r="N255" s="515">
        <v>38281798.140000001</v>
      </c>
      <c r="O255" s="514">
        <v>0.70722788000000003</v>
      </c>
      <c r="P255" s="515">
        <v>4146727.5</v>
      </c>
      <c r="Q255" s="515">
        <v>-293167.71000000002</v>
      </c>
      <c r="R255" s="515">
        <v>3079126.15</v>
      </c>
      <c r="S255" s="504" t="str">
        <f t="shared" si="3"/>
        <v>45</v>
      </c>
    </row>
    <row r="256" spans="1:20" ht="15" x14ac:dyDescent="0.25">
      <c r="A256" s="513" t="s">
        <v>402</v>
      </c>
      <c r="B256" s="513" t="s">
        <v>1163</v>
      </c>
      <c r="C256" s="513" t="s">
        <v>472</v>
      </c>
      <c r="D256" s="513" t="s">
        <v>123</v>
      </c>
      <c r="E256" s="514"/>
      <c r="F256" s="514">
        <v>-0.05</v>
      </c>
      <c r="G256" s="514">
        <v>2045</v>
      </c>
      <c r="H256" s="515">
        <v>159201061.5</v>
      </c>
      <c r="I256" s="514">
        <v>23.44613519</v>
      </c>
      <c r="J256" s="515">
        <v>3732649610.3200002</v>
      </c>
      <c r="K256" s="514">
        <v>42.332283330000003</v>
      </c>
      <c r="L256" s="515">
        <v>6739344441.8299999</v>
      </c>
      <c r="M256" s="514">
        <v>21.928861600000001</v>
      </c>
      <c r="N256" s="515">
        <v>3491098043.6500001</v>
      </c>
      <c r="O256" s="514">
        <v>0.50707396000000005</v>
      </c>
      <c r="P256" s="515">
        <v>80726713.109999999</v>
      </c>
      <c r="Q256" s="515">
        <v>-7960053.0800000001</v>
      </c>
      <c r="R256" s="515">
        <v>59943107.789999999</v>
      </c>
      <c r="S256" s="504" t="str">
        <f t="shared" si="3"/>
        <v>45</v>
      </c>
    </row>
    <row r="257" spans="1:19" ht="15" x14ac:dyDescent="0.25">
      <c r="A257" s="513" t="s">
        <v>402</v>
      </c>
      <c r="B257" s="513" t="s">
        <v>1163</v>
      </c>
      <c r="C257" s="513" t="s">
        <v>533</v>
      </c>
      <c r="D257" s="513" t="s">
        <v>359</v>
      </c>
      <c r="E257" s="514">
        <v>60</v>
      </c>
      <c r="F257" s="514">
        <v>-0.05</v>
      </c>
      <c r="G257" s="514">
        <v>2045</v>
      </c>
      <c r="H257" s="515">
        <v>11055210.689999999</v>
      </c>
      <c r="I257" s="514">
        <v>32.153596630000003</v>
      </c>
      <c r="J257" s="515">
        <v>355464785.13999999</v>
      </c>
      <c r="K257" s="514">
        <v>55.59</v>
      </c>
      <c r="L257" s="515">
        <v>614559162.25999999</v>
      </c>
      <c r="M257" s="514">
        <v>25.5</v>
      </c>
      <c r="N257" s="515">
        <v>281907872.60000002</v>
      </c>
      <c r="O257" s="514">
        <v>0.56832872999999995</v>
      </c>
      <c r="P257" s="515">
        <v>6282993.8600000003</v>
      </c>
      <c r="Q257" s="515">
        <v>-552760.53</v>
      </c>
      <c r="R257" s="515">
        <v>6687077.4000000004</v>
      </c>
      <c r="S257" s="504" t="str">
        <f t="shared" si="3"/>
        <v>45</v>
      </c>
    </row>
    <row r="258" spans="1:19" ht="15" x14ac:dyDescent="0.25">
      <c r="A258" s="513" t="s">
        <v>402</v>
      </c>
      <c r="B258" s="513" t="s">
        <v>1163</v>
      </c>
      <c r="C258" s="513" t="s">
        <v>534</v>
      </c>
      <c r="D258" s="513" t="s">
        <v>405</v>
      </c>
      <c r="E258" s="514">
        <v>35</v>
      </c>
      <c r="F258" s="514">
        <v>-0.05</v>
      </c>
      <c r="G258" s="514">
        <v>2045</v>
      </c>
      <c r="H258" s="515">
        <v>13719480.33</v>
      </c>
      <c r="I258" s="514">
        <v>20.163367139999998</v>
      </c>
      <c r="J258" s="515">
        <v>276630918.92000002</v>
      </c>
      <c r="K258" s="514">
        <v>33.36</v>
      </c>
      <c r="L258" s="515">
        <v>457681863.81</v>
      </c>
      <c r="M258" s="514">
        <v>15.591085</v>
      </c>
      <c r="N258" s="515">
        <v>213901583.97999999</v>
      </c>
      <c r="O258" s="514">
        <v>0.55929775000000004</v>
      </c>
      <c r="P258" s="515">
        <v>7673274.5300000003</v>
      </c>
      <c r="Q258" s="515">
        <v>-685974.02</v>
      </c>
      <c r="R258" s="515">
        <v>8166772.3700000001</v>
      </c>
      <c r="S258" s="504" t="str">
        <f t="shared" ref="S258:S321" si="4">MID(C258,5,2)</f>
        <v>45</v>
      </c>
    </row>
    <row r="259" spans="1:19" ht="15" x14ac:dyDescent="0.25">
      <c r="A259" s="513" t="s">
        <v>402</v>
      </c>
      <c r="B259" s="513" t="s">
        <v>1163</v>
      </c>
      <c r="C259" s="513" t="s">
        <v>535</v>
      </c>
      <c r="D259" s="513" t="s">
        <v>407</v>
      </c>
      <c r="E259" s="514">
        <v>20</v>
      </c>
      <c r="F259" s="514">
        <v>-0.05</v>
      </c>
      <c r="G259" s="514">
        <v>2045</v>
      </c>
      <c r="H259" s="515">
        <v>2153102.54</v>
      </c>
      <c r="I259" s="514">
        <v>7.7079563999999996</v>
      </c>
      <c r="J259" s="515">
        <v>16596020.5</v>
      </c>
      <c r="K259" s="514">
        <v>20</v>
      </c>
      <c r="L259" s="515">
        <v>43062050.799999997</v>
      </c>
      <c r="M259" s="514">
        <v>12.709194999999999</v>
      </c>
      <c r="N259" s="515">
        <v>27364200.039999999</v>
      </c>
      <c r="O259" s="514">
        <v>0.38276726</v>
      </c>
      <c r="P259" s="515">
        <v>824137.17</v>
      </c>
      <c r="Q259" s="515">
        <v>-107655.13</v>
      </c>
      <c r="R259" s="515">
        <v>877140.61</v>
      </c>
      <c r="S259" s="504" t="str">
        <f t="shared" si="4"/>
        <v>45</v>
      </c>
    </row>
    <row r="260" spans="1:19" ht="15" x14ac:dyDescent="0.25">
      <c r="A260" s="513" t="s">
        <v>402</v>
      </c>
      <c r="B260" s="513" t="s">
        <v>1163</v>
      </c>
      <c r="C260" s="513" t="s">
        <v>536</v>
      </c>
      <c r="D260" s="513" t="s">
        <v>123</v>
      </c>
      <c r="E260" s="514"/>
      <c r="F260" s="514">
        <v>-0.05</v>
      </c>
      <c r="G260" s="514">
        <v>2045</v>
      </c>
      <c r="H260" s="515">
        <v>26927793.559999999</v>
      </c>
      <c r="I260" s="514">
        <v>24.090043739999999</v>
      </c>
      <c r="J260" s="515">
        <v>648691724.54999995</v>
      </c>
      <c r="K260" s="514">
        <v>41.418286809999998</v>
      </c>
      <c r="L260" s="515">
        <v>1115303076.8699999</v>
      </c>
      <c r="M260" s="514">
        <v>19.42876068</v>
      </c>
      <c r="N260" s="515">
        <v>523173656.61000001</v>
      </c>
      <c r="O260" s="514">
        <v>0.54889032999999998</v>
      </c>
      <c r="P260" s="515">
        <v>14780405.560000001</v>
      </c>
      <c r="Q260" s="515">
        <v>-1346389.68</v>
      </c>
      <c r="R260" s="515">
        <v>15730990.380000001</v>
      </c>
      <c r="S260" s="504" t="str">
        <f t="shared" si="4"/>
        <v>45</v>
      </c>
    </row>
    <row r="261" spans="1:19" ht="15" x14ac:dyDescent="0.25">
      <c r="A261" s="513" t="s">
        <v>402</v>
      </c>
      <c r="B261" s="513" t="s">
        <v>1163</v>
      </c>
      <c r="C261" s="513" t="s">
        <v>574</v>
      </c>
      <c r="D261" s="513" t="s">
        <v>359</v>
      </c>
      <c r="E261" s="514">
        <v>60</v>
      </c>
      <c r="F261" s="514">
        <v>-0.02</v>
      </c>
      <c r="G261" s="514">
        <v>2045</v>
      </c>
      <c r="H261" s="515">
        <v>609605.34</v>
      </c>
      <c r="I261" s="514">
        <v>34.497700399999999</v>
      </c>
      <c r="J261" s="515">
        <v>21029982.379999999</v>
      </c>
      <c r="K261" s="514">
        <v>60</v>
      </c>
      <c r="L261" s="515">
        <v>36576320.399999999</v>
      </c>
      <c r="M261" s="514">
        <v>25.5</v>
      </c>
      <c r="N261" s="515">
        <v>15544936.17</v>
      </c>
      <c r="O261" s="514">
        <v>0.58648310000000003</v>
      </c>
      <c r="P261" s="515">
        <v>357523.23</v>
      </c>
      <c r="Q261" s="515">
        <v>-12192.11</v>
      </c>
      <c r="R261" s="515">
        <v>514611.42</v>
      </c>
      <c r="S261" s="504" t="str">
        <f t="shared" si="4"/>
        <v>45</v>
      </c>
    </row>
    <row r="262" spans="1:19" ht="15" x14ac:dyDescent="0.25">
      <c r="A262" s="513" t="s">
        <v>402</v>
      </c>
      <c r="B262" s="513" t="s">
        <v>1163</v>
      </c>
      <c r="C262" s="513" t="s">
        <v>575</v>
      </c>
      <c r="D262" s="513" t="s">
        <v>405</v>
      </c>
      <c r="E262" s="514">
        <v>35</v>
      </c>
      <c r="F262" s="514">
        <v>-0.02</v>
      </c>
      <c r="G262" s="514">
        <v>2045</v>
      </c>
      <c r="H262" s="515">
        <v>32447.5</v>
      </c>
      <c r="I262" s="514">
        <v>28.176779100000001</v>
      </c>
      <c r="J262" s="515">
        <v>914266.04</v>
      </c>
      <c r="K262" s="514">
        <v>34.42</v>
      </c>
      <c r="L262" s="515">
        <v>1116842.95</v>
      </c>
      <c r="M262" s="514">
        <v>9.8457989999999995</v>
      </c>
      <c r="N262" s="515">
        <v>319471.56</v>
      </c>
      <c r="O262" s="514">
        <v>0.72821049000000004</v>
      </c>
      <c r="P262" s="515">
        <v>23628.61</v>
      </c>
      <c r="Q262" s="515">
        <v>-648.95000000000005</v>
      </c>
      <c r="R262" s="515">
        <v>34010.519999999997</v>
      </c>
      <c r="S262" s="504" t="str">
        <f t="shared" si="4"/>
        <v>45</v>
      </c>
    </row>
    <row r="263" spans="1:19" ht="15" x14ac:dyDescent="0.25">
      <c r="A263" s="513" t="s">
        <v>402</v>
      </c>
      <c r="B263" s="513" t="s">
        <v>1163</v>
      </c>
      <c r="C263" s="513" t="s">
        <v>576</v>
      </c>
      <c r="D263" s="513" t="s">
        <v>407</v>
      </c>
      <c r="E263" s="514">
        <v>20</v>
      </c>
      <c r="F263" s="514">
        <v>-0.02</v>
      </c>
      <c r="G263" s="514">
        <v>2045</v>
      </c>
      <c r="H263" s="515">
        <v>47360.93</v>
      </c>
      <c r="I263" s="514">
        <v>27.269242500000001</v>
      </c>
      <c r="J263" s="515">
        <v>1291496.69</v>
      </c>
      <c r="K263" s="514">
        <v>20</v>
      </c>
      <c r="L263" s="515">
        <v>947218.6</v>
      </c>
      <c r="M263" s="514">
        <v>2.0094379999999998</v>
      </c>
      <c r="N263" s="515">
        <v>95168.85</v>
      </c>
      <c r="O263" s="514">
        <v>0.91751872000000001</v>
      </c>
      <c r="P263" s="515">
        <v>43454.54</v>
      </c>
      <c r="Q263" s="515">
        <v>-947.22</v>
      </c>
      <c r="R263" s="515">
        <v>62547.55</v>
      </c>
      <c r="S263" s="504" t="str">
        <f t="shared" si="4"/>
        <v>45</v>
      </c>
    </row>
    <row r="264" spans="1:19" ht="15" x14ac:dyDescent="0.25">
      <c r="A264" s="513" t="s">
        <v>402</v>
      </c>
      <c r="B264" s="513" t="s">
        <v>1163</v>
      </c>
      <c r="C264" s="513" t="s">
        <v>577</v>
      </c>
      <c r="D264" s="513" t="s">
        <v>123</v>
      </c>
      <c r="E264" s="514"/>
      <c r="F264" s="514">
        <v>-0.02</v>
      </c>
      <c r="G264" s="514">
        <v>2045</v>
      </c>
      <c r="H264" s="515">
        <v>689413.77</v>
      </c>
      <c r="I264" s="514">
        <v>33.7036278</v>
      </c>
      <c r="J264" s="515">
        <v>23235745.109999999</v>
      </c>
      <c r="K264" s="514">
        <v>56.048172569999998</v>
      </c>
      <c r="L264" s="515">
        <v>38640381.950000003</v>
      </c>
      <c r="M264" s="514">
        <v>23.149489150000001</v>
      </c>
      <c r="N264" s="515">
        <v>15959576.59</v>
      </c>
      <c r="O264" s="514">
        <v>0.61589483</v>
      </c>
      <c r="P264" s="515">
        <v>424606.38</v>
      </c>
      <c r="Q264" s="515">
        <v>-13788.28</v>
      </c>
      <c r="R264" s="515">
        <v>611169.49</v>
      </c>
      <c r="S264" s="504" t="str">
        <f t="shared" si="4"/>
        <v>45</v>
      </c>
    </row>
    <row r="265" spans="1:19" ht="15" x14ac:dyDescent="0.25">
      <c r="A265" s="513" t="s">
        <v>402</v>
      </c>
      <c r="B265" s="513" t="s">
        <v>1163</v>
      </c>
      <c r="C265" s="513" t="s">
        <v>429</v>
      </c>
      <c r="D265" s="513" t="s">
        <v>359</v>
      </c>
      <c r="E265" s="514">
        <v>65</v>
      </c>
      <c r="F265" s="514">
        <v>-0.02</v>
      </c>
      <c r="G265" s="514">
        <v>2038</v>
      </c>
      <c r="H265" s="515">
        <v>9550465.2100000009</v>
      </c>
      <c r="I265" s="514">
        <v>19.85338793</v>
      </c>
      <c r="J265" s="515">
        <v>189609090.69</v>
      </c>
      <c r="K265" s="514">
        <v>38.03</v>
      </c>
      <c r="L265" s="515">
        <v>363204191.94</v>
      </c>
      <c r="M265" s="514">
        <v>18.5</v>
      </c>
      <c r="N265" s="515">
        <v>176683606.38999999</v>
      </c>
      <c r="O265" s="514">
        <v>0.52378479</v>
      </c>
      <c r="P265" s="515">
        <v>5002388.4400000004</v>
      </c>
      <c r="Q265" s="515">
        <v>-191009.3</v>
      </c>
      <c r="R265" s="515">
        <v>4858926.2300000004</v>
      </c>
      <c r="S265" s="504" t="str">
        <f t="shared" si="4"/>
        <v>46</v>
      </c>
    </row>
    <row r="266" spans="1:19" ht="15" x14ac:dyDescent="0.25">
      <c r="A266" s="513" t="s">
        <v>402</v>
      </c>
      <c r="B266" s="513" t="s">
        <v>1163</v>
      </c>
      <c r="C266" s="513" t="s">
        <v>430</v>
      </c>
      <c r="D266" s="513" t="s">
        <v>405</v>
      </c>
      <c r="E266" s="514">
        <v>35</v>
      </c>
      <c r="F266" s="514">
        <v>-0.02</v>
      </c>
      <c r="G266" s="514">
        <v>2038</v>
      </c>
      <c r="H266" s="515">
        <v>1897216.16</v>
      </c>
      <c r="I266" s="514">
        <v>20.5</v>
      </c>
      <c r="J266" s="515">
        <v>38892931.280000001</v>
      </c>
      <c r="K266" s="514">
        <v>34.42</v>
      </c>
      <c r="L266" s="515">
        <v>65302180.229999997</v>
      </c>
      <c r="M266" s="514">
        <v>13.667028</v>
      </c>
      <c r="N266" s="515">
        <v>25929306.379999999</v>
      </c>
      <c r="O266" s="514">
        <v>0.61495129999999998</v>
      </c>
      <c r="P266" s="515">
        <v>1166695.54</v>
      </c>
      <c r="Q266" s="515">
        <v>-37944.32</v>
      </c>
      <c r="R266" s="515">
        <v>1133236.18</v>
      </c>
      <c r="S266" s="504" t="str">
        <f t="shared" si="4"/>
        <v>46</v>
      </c>
    </row>
    <row r="267" spans="1:19" ht="15" x14ac:dyDescent="0.25">
      <c r="A267" s="513" t="s">
        <v>402</v>
      </c>
      <c r="B267" s="513" t="s">
        <v>1163</v>
      </c>
      <c r="C267" s="513" t="s">
        <v>431</v>
      </c>
      <c r="D267" s="513" t="s">
        <v>407</v>
      </c>
      <c r="E267" s="514">
        <v>20</v>
      </c>
      <c r="F267" s="514">
        <v>-0.02</v>
      </c>
      <c r="G267" s="514">
        <v>2038</v>
      </c>
      <c r="H267" s="515">
        <v>1256750.29</v>
      </c>
      <c r="I267" s="514">
        <v>19.60158766</v>
      </c>
      <c r="J267" s="515">
        <v>24634300.98</v>
      </c>
      <c r="K267" s="514">
        <v>19.97</v>
      </c>
      <c r="L267" s="515">
        <v>25097303.289999999</v>
      </c>
      <c r="M267" s="514">
        <v>4.3875900000000003</v>
      </c>
      <c r="N267" s="515">
        <v>5514105</v>
      </c>
      <c r="O267" s="514">
        <v>0.79590941999999998</v>
      </c>
      <c r="P267" s="515">
        <v>1000259.39</v>
      </c>
      <c r="Q267" s="515">
        <v>-25135.01</v>
      </c>
      <c r="R267" s="515">
        <v>971573.21</v>
      </c>
      <c r="S267" s="504" t="str">
        <f t="shared" si="4"/>
        <v>46</v>
      </c>
    </row>
    <row r="268" spans="1:19" ht="15" x14ac:dyDescent="0.25">
      <c r="A268" s="513" t="s">
        <v>402</v>
      </c>
      <c r="B268" s="513" t="s">
        <v>1163</v>
      </c>
      <c r="C268" s="513" t="s">
        <v>432</v>
      </c>
      <c r="D268" s="513" t="s">
        <v>123</v>
      </c>
      <c r="E268" s="514"/>
      <c r="F268" s="514">
        <v>-0.02</v>
      </c>
      <c r="G268" s="514">
        <v>2038</v>
      </c>
      <c r="H268" s="515">
        <v>12704431.66</v>
      </c>
      <c r="I268" s="514">
        <v>19.925041100000001</v>
      </c>
      <c r="J268" s="515">
        <v>253136322.94</v>
      </c>
      <c r="K268" s="514">
        <v>35.704365809999999</v>
      </c>
      <c r="L268" s="515">
        <v>453603675.44999999</v>
      </c>
      <c r="M268" s="514">
        <v>16.382237580000002</v>
      </c>
      <c r="N268" s="515">
        <v>208127017.77000001</v>
      </c>
      <c r="O268" s="514">
        <v>0.56431830999999999</v>
      </c>
      <c r="P268" s="515">
        <v>7169343.3700000001</v>
      </c>
      <c r="Q268" s="515">
        <v>-254088.63</v>
      </c>
      <c r="R268" s="515">
        <v>6963735.6200000001</v>
      </c>
      <c r="S268" s="504" t="str">
        <f t="shared" si="4"/>
        <v>46</v>
      </c>
    </row>
    <row r="269" spans="1:19" ht="15" x14ac:dyDescent="0.25">
      <c r="A269" s="513" t="s">
        <v>402</v>
      </c>
      <c r="B269" s="513" t="s">
        <v>1163</v>
      </c>
      <c r="C269" s="513" t="s">
        <v>473</v>
      </c>
      <c r="D269" s="513" t="s">
        <v>359</v>
      </c>
      <c r="E269" s="514">
        <v>65</v>
      </c>
      <c r="F269" s="514">
        <v>-0.05</v>
      </c>
      <c r="G269" s="514">
        <v>2038</v>
      </c>
      <c r="H269" s="515">
        <v>32877610.620000001</v>
      </c>
      <c r="I269" s="514">
        <v>19.15851997</v>
      </c>
      <c r="J269" s="515">
        <v>629886359.5</v>
      </c>
      <c r="K269" s="514">
        <v>36.97</v>
      </c>
      <c r="L269" s="515">
        <v>1215485264.6199999</v>
      </c>
      <c r="M269" s="514">
        <v>18.5</v>
      </c>
      <c r="N269" s="515">
        <v>608235796.47000003</v>
      </c>
      <c r="O269" s="514">
        <v>0.52453567999999995</v>
      </c>
      <c r="P269" s="515">
        <v>17245479.870000001</v>
      </c>
      <c r="Q269" s="515">
        <v>-1643880.53</v>
      </c>
      <c r="R269" s="515">
        <v>10493281.25</v>
      </c>
      <c r="S269" s="504" t="str">
        <f t="shared" si="4"/>
        <v>46</v>
      </c>
    </row>
    <row r="270" spans="1:19" ht="15" x14ac:dyDescent="0.25">
      <c r="A270" s="513" t="s">
        <v>402</v>
      </c>
      <c r="B270" s="513" t="s">
        <v>1163</v>
      </c>
      <c r="C270" s="513" t="s">
        <v>474</v>
      </c>
      <c r="D270" s="513" t="s">
        <v>405</v>
      </c>
      <c r="E270" s="514">
        <v>35</v>
      </c>
      <c r="F270" s="514">
        <v>-0.05</v>
      </c>
      <c r="G270" s="514">
        <v>2038</v>
      </c>
      <c r="H270" s="515">
        <v>18338222.829999998</v>
      </c>
      <c r="I270" s="514">
        <v>15.83408738</v>
      </c>
      <c r="J270" s="515">
        <v>290369022.67000002</v>
      </c>
      <c r="K270" s="514">
        <v>30.63</v>
      </c>
      <c r="L270" s="515">
        <v>561699765.27999997</v>
      </c>
      <c r="M270" s="514">
        <v>15.657339</v>
      </c>
      <c r="N270" s="515">
        <v>287127771.50999999</v>
      </c>
      <c r="O270" s="514">
        <v>0.51323711999999999</v>
      </c>
      <c r="P270" s="515">
        <v>9411856.6199999992</v>
      </c>
      <c r="Q270" s="515">
        <v>-916911.14</v>
      </c>
      <c r="R270" s="515">
        <v>5726790.9800000004</v>
      </c>
      <c r="S270" s="504" t="str">
        <f t="shared" si="4"/>
        <v>46</v>
      </c>
    </row>
    <row r="271" spans="1:19" ht="15" x14ac:dyDescent="0.25">
      <c r="A271" s="513" t="s">
        <v>402</v>
      </c>
      <c r="B271" s="513" t="s">
        <v>1163</v>
      </c>
      <c r="C271" s="513" t="s">
        <v>475</v>
      </c>
      <c r="D271" s="513" t="s">
        <v>407</v>
      </c>
      <c r="E271" s="514">
        <v>20</v>
      </c>
      <c r="F271" s="514">
        <v>-0.05</v>
      </c>
      <c r="G271" s="514">
        <v>2038</v>
      </c>
      <c r="H271" s="515">
        <v>3643943.23</v>
      </c>
      <c r="I271" s="514">
        <v>13.60175898</v>
      </c>
      <c r="J271" s="515">
        <v>49564037.57</v>
      </c>
      <c r="K271" s="514">
        <v>19.87</v>
      </c>
      <c r="L271" s="515">
        <v>72405151.980000004</v>
      </c>
      <c r="M271" s="514">
        <v>8.4012609999999999</v>
      </c>
      <c r="N271" s="515">
        <v>30613718.140000001</v>
      </c>
      <c r="O271" s="514">
        <v>0.60602842999999995</v>
      </c>
      <c r="P271" s="515">
        <v>2208333.2000000002</v>
      </c>
      <c r="Q271" s="515">
        <v>-182197.16</v>
      </c>
      <c r="R271" s="515">
        <v>1343694.79</v>
      </c>
      <c r="S271" s="504" t="str">
        <f t="shared" si="4"/>
        <v>46</v>
      </c>
    </row>
    <row r="272" spans="1:19" ht="15" x14ac:dyDescent="0.25">
      <c r="A272" s="513" t="s">
        <v>402</v>
      </c>
      <c r="B272" s="513" t="s">
        <v>1163</v>
      </c>
      <c r="C272" s="513" t="s">
        <v>476</v>
      </c>
      <c r="D272" s="513" t="s">
        <v>123</v>
      </c>
      <c r="E272" s="514"/>
      <c r="F272" s="514">
        <v>-0.05</v>
      </c>
      <c r="G272" s="514">
        <v>2038</v>
      </c>
      <c r="H272" s="515">
        <v>54859776.68</v>
      </c>
      <c r="I272" s="514">
        <v>17.678151069999998</v>
      </c>
      <c r="J272" s="515">
        <v>969819419.73000002</v>
      </c>
      <c r="K272" s="514">
        <v>33.714868959999997</v>
      </c>
      <c r="L272" s="515">
        <v>1849590181.8800001</v>
      </c>
      <c r="M272" s="514">
        <v>16.87898388</v>
      </c>
      <c r="N272" s="515">
        <v>925977286.12</v>
      </c>
      <c r="O272" s="514">
        <v>0.52617183999999995</v>
      </c>
      <c r="P272" s="515">
        <v>28865669.690000001</v>
      </c>
      <c r="Q272" s="515">
        <v>-2742988.83</v>
      </c>
      <c r="R272" s="515">
        <v>17563767.02</v>
      </c>
      <c r="S272" s="504" t="str">
        <f t="shared" si="4"/>
        <v>46</v>
      </c>
    </row>
    <row r="273" spans="1:19" ht="15" x14ac:dyDescent="0.25">
      <c r="A273" s="513" t="s">
        <v>402</v>
      </c>
      <c r="B273" s="513" t="s">
        <v>1163</v>
      </c>
      <c r="C273" s="513" t="s">
        <v>537</v>
      </c>
      <c r="D273" s="513" t="s">
        <v>359</v>
      </c>
      <c r="E273" s="514">
        <v>65</v>
      </c>
      <c r="F273" s="514">
        <v>-0.05</v>
      </c>
      <c r="G273" s="514">
        <v>2038</v>
      </c>
      <c r="H273" s="515">
        <v>4434075.82</v>
      </c>
      <c r="I273" s="514">
        <v>20.44541259</v>
      </c>
      <c r="J273" s="515">
        <v>90656509.609999999</v>
      </c>
      <c r="K273" s="514">
        <v>38.93</v>
      </c>
      <c r="L273" s="515">
        <v>172618571.66999999</v>
      </c>
      <c r="M273" s="514">
        <v>18.5</v>
      </c>
      <c r="N273" s="515">
        <v>82030402.670000002</v>
      </c>
      <c r="O273" s="514">
        <v>0.55098554</v>
      </c>
      <c r="P273" s="515">
        <v>2443111.64</v>
      </c>
      <c r="Q273" s="515">
        <v>-221703.79</v>
      </c>
      <c r="R273" s="515">
        <v>2295786.13</v>
      </c>
      <c r="S273" s="504" t="str">
        <f t="shared" si="4"/>
        <v>46</v>
      </c>
    </row>
    <row r="274" spans="1:19" ht="15" x14ac:dyDescent="0.25">
      <c r="A274" s="513" t="s">
        <v>402</v>
      </c>
      <c r="B274" s="513" t="s">
        <v>1163</v>
      </c>
      <c r="C274" s="513" t="s">
        <v>538</v>
      </c>
      <c r="D274" s="513" t="s">
        <v>405</v>
      </c>
      <c r="E274" s="514">
        <v>35</v>
      </c>
      <c r="F274" s="514">
        <v>-0.05</v>
      </c>
      <c r="G274" s="514">
        <v>2038</v>
      </c>
      <c r="H274" s="515">
        <v>4616598.6399999997</v>
      </c>
      <c r="I274" s="514">
        <v>12.833220519999999</v>
      </c>
      <c r="J274" s="515">
        <v>59245828.399999999</v>
      </c>
      <c r="K274" s="514">
        <v>27.74</v>
      </c>
      <c r="L274" s="515">
        <v>128064446.27</v>
      </c>
      <c r="M274" s="514">
        <v>16.487095</v>
      </c>
      <c r="N274" s="515">
        <v>76114300.349999994</v>
      </c>
      <c r="O274" s="514">
        <v>0.42598100999999999</v>
      </c>
      <c r="P274" s="515">
        <v>1966583.33</v>
      </c>
      <c r="Q274" s="515">
        <v>-230829.93</v>
      </c>
      <c r="R274" s="515">
        <v>1847993.62</v>
      </c>
      <c r="S274" s="504" t="str">
        <f t="shared" si="4"/>
        <v>46</v>
      </c>
    </row>
    <row r="275" spans="1:19" ht="15" x14ac:dyDescent="0.25">
      <c r="A275" s="513" t="s">
        <v>402</v>
      </c>
      <c r="B275" s="513" t="s">
        <v>1163</v>
      </c>
      <c r="C275" s="513" t="s">
        <v>539</v>
      </c>
      <c r="D275" s="513" t="s">
        <v>407</v>
      </c>
      <c r="E275" s="514">
        <v>20</v>
      </c>
      <c r="F275" s="514">
        <v>-0.05</v>
      </c>
      <c r="G275" s="514">
        <v>2038</v>
      </c>
      <c r="H275" s="515">
        <v>715281.73</v>
      </c>
      <c r="I275" s="514">
        <v>10.30567196</v>
      </c>
      <c r="J275" s="515">
        <v>7371458.8700000001</v>
      </c>
      <c r="K275" s="514">
        <v>19.760000000000002</v>
      </c>
      <c r="L275" s="515">
        <v>14133966.98</v>
      </c>
      <c r="M275" s="514">
        <v>10.550420000000001</v>
      </c>
      <c r="N275" s="515">
        <v>7546522.6699999999</v>
      </c>
      <c r="O275" s="514">
        <v>0.48925573999999999</v>
      </c>
      <c r="P275" s="515">
        <v>349955.69</v>
      </c>
      <c r="Q275" s="515">
        <v>-35764.089999999997</v>
      </c>
      <c r="R275" s="515">
        <v>328852.52</v>
      </c>
      <c r="S275" s="504" t="str">
        <f t="shared" si="4"/>
        <v>46</v>
      </c>
    </row>
    <row r="276" spans="1:19" ht="15" x14ac:dyDescent="0.25">
      <c r="A276" s="513" t="s">
        <v>402</v>
      </c>
      <c r="B276" s="513" t="s">
        <v>1163</v>
      </c>
      <c r="C276" s="513" t="s">
        <v>540</v>
      </c>
      <c r="D276" s="513" t="s">
        <v>123</v>
      </c>
      <c r="E276" s="514"/>
      <c r="F276" s="514">
        <v>-0.05</v>
      </c>
      <c r="G276" s="514">
        <v>2038</v>
      </c>
      <c r="H276" s="515">
        <v>9765956.1899999995</v>
      </c>
      <c r="I276" s="514">
        <v>16.104290639999999</v>
      </c>
      <c r="J276" s="515">
        <v>157273796.88</v>
      </c>
      <c r="K276" s="514">
        <v>32.236165999999997</v>
      </c>
      <c r="L276" s="515">
        <v>314816984.93000001</v>
      </c>
      <c r="M276" s="514">
        <v>16.966206119999999</v>
      </c>
      <c r="N276" s="515">
        <v>165691225.69</v>
      </c>
      <c r="O276" s="514">
        <v>0.48737170000000002</v>
      </c>
      <c r="P276" s="515">
        <v>4759650.66</v>
      </c>
      <c r="Q276" s="515">
        <v>-488297.81</v>
      </c>
      <c r="R276" s="515">
        <v>4472632.2699999996</v>
      </c>
      <c r="S276" s="504" t="str">
        <f t="shared" si="4"/>
        <v>46</v>
      </c>
    </row>
    <row r="277" spans="1:19" ht="15" x14ac:dyDescent="0.25">
      <c r="A277" s="513" t="s">
        <v>402</v>
      </c>
      <c r="B277" s="513" t="s">
        <v>1163</v>
      </c>
      <c r="C277" s="513" t="s">
        <v>578</v>
      </c>
      <c r="D277" s="513" t="s">
        <v>359</v>
      </c>
      <c r="E277" s="514">
        <v>65</v>
      </c>
      <c r="F277" s="514">
        <v>-0.02</v>
      </c>
      <c r="G277" s="514">
        <v>2038</v>
      </c>
      <c r="H277" s="515">
        <v>1378597.57</v>
      </c>
      <c r="I277" s="514">
        <v>20.328296250000001</v>
      </c>
      <c r="J277" s="515">
        <v>28024539.82</v>
      </c>
      <c r="K277" s="514">
        <v>38.74</v>
      </c>
      <c r="L277" s="515">
        <v>53406869.859999999</v>
      </c>
      <c r="M277" s="514">
        <v>18.5</v>
      </c>
      <c r="N277" s="515">
        <v>25504055.050000001</v>
      </c>
      <c r="O277" s="514">
        <v>0.53295853000000004</v>
      </c>
      <c r="P277" s="515">
        <v>734735.34</v>
      </c>
      <c r="Q277" s="515">
        <v>-27571.95</v>
      </c>
      <c r="R277" s="515">
        <v>729096.58</v>
      </c>
      <c r="S277" s="504" t="str">
        <f t="shared" si="4"/>
        <v>46</v>
      </c>
    </row>
    <row r="278" spans="1:19" ht="15" x14ac:dyDescent="0.25">
      <c r="A278" s="513" t="s">
        <v>402</v>
      </c>
      <c r="B278" s="513" t="s">
        <v>1163</v>
      </c>
      <c r="C278" s="513" t="s">
        <v>579</v>
      </c>
      <c r="D278" s="513" t="s">
        <v>405</v>
      </c>
      <c r="E278" s="514">
        <v>35</v>
      </c>
      <c r="F278" s="514">
        <v>-0.02</v>
      </c>
      <c r="G278" s="514">
        <v>2038</v>
      </c>
      <c r="H278" s="515">
        <v>346898.9</v>
      </c>
      <c r="I278" s="514">
        <v>20.5</v>
      </c>
      <c r="J278" s="515">
        <v>7111427.4500000002</v>
      </c>
      <c r="K278" s="514">
        <v>34.42</v>
      </c>
      <c r="L278" s="515">
        <v>11940260.140000001</v>
      </c>
      <c r="M278" s="514">
        <v>13.667028</v>
      </c>
      <c r="N278" s="515">
        <v>4741076.9800000004</v>
      </c>
      <c r="O278" s="514">
        <v>0.61495129999999998</v>
      </c>
      <c r="P278" s="515">
        <v>213325.93</v>
      </c>
      <c r="Q278" s="515">
        <v>-6937.98</v>
      </c>
      <c r="R278" s="515">
        <v>211688.75</v>
      </c>
      <c r="S278" s="504" t="str">
        <f t="shared" si="4"/>
        <v>46</v>
      </c>
    </row>
    <row r="279" spans="1:19" ht="15" x14ac:dyDescent="0.25">
      <c r="A279" s="513" t="s">
        <v>402</v>
      </c>
      <c r="B279" s="513" t="s">
        <v>1163</v>
      </c>
      <c r="C279" s="513" t="s">
        <v>580</v>
      </c>
      <c r="D279" s="513" t="s">
        <v>123</v>
      </c>
      <c r="E279" s="514"/>
      <c r="F279" s="514">
        <v>-0.02</v>
      </c>
      <c r="G279" s="514">
        <v>2038</v>
      </c>
      <c r="H279" s="515">
        <v>1725496.47</v>
      </c>
      <c r="I279" s="514">
        <v>20.362816080000002</v>
      </c>
      <c r="J279" s="515">
        <v>35135967.270000003</v>
      </c>
      <c r="K279" s="514">
        <v>37.871494460000001</v>
      </c>
      <c r="L279" s="515">
        <v>65347130</v>
      </c>
      <c r="M279" s="514">
        <v>17.528365050000001</v>
      </c>
      <c r="N279" s="515">
        <v>30245132.02</v>
      </c>
      <c r="O279" s="514">
        <v>0.5494426</v>
      </c>
      <c r="P279" s="515">
        <v>948061.27</v>
      </c>
      <c r="Q279" s="515">
        <v>-34509.93</v>
      </c>
      <c r="R279" s="515">
        <v>940785.33</v>
      </c>
      <c r="S279" s="504" t="str">
        <f t="shared" si="4"/>
        <v>46</v>
      </c>
    </row>
    <row r="280" spans="1:19" ht="15" x14ac:dyDescent="0.25">
      <c r="A280" s="513" t="s">
        <v>402</v>
      </c>
      <c r="B280" s="513" t="s">
        <v>1163</v>
      </c>
      <c r="C280" s="513" t="s">
        <v>433</v>
      </c>
      <c r="D280" s="513" t="s">
        <v>359</v>
      </c>
      <c r="E280" s="514">
        <v>65</v>
      </c>
      <c r="F280" s="514">
        <v>-0.01</v>
      </c>
      <c r="G280" s="514">
        <v>2035</v>
      </c>
      <c r="H280" s="515">
        <v>23033058.629999999</v>
      </c>
      <c r="I280" s="514">
        <v>9.5</v>
      </c>
      <c r="J280" s="515">
        <v>218814056.99000001</v>
      </c>
      <c r="K280" s="514">
        <v>25</v>
      </c>
      <c r="L280" s="515">
        <v>575826465.75</v>
      </c>
      <c r="M280" s="514">
        <v>15.5</v>
      </c>
      <c r="N280" s="515">
        <v>357012408.76999998</v>
      </c>
      <c r="O280" s="514">
        <v>0.38379999999999997</v>
      </c>
      <c r="P280" s="515">
        <v>8840087.9000000004</v>
      </c>
      <c r="Q280" s="515">
        <v>-230330.59</v>
      </c>
      <c r="R280" s="515">
        <v>8965426.1799999997</v>
      </c>
      <c r="S280" s="504" t="str">
        <f t="shared" si="4"/>
        <v>51</v>
      </c>
    </row>
    <row r="281" spans="1:19" ht="15" x14ac:dyDescent="0.25">
      <c r="A281" s="513" t="s">
        <v>402</v>
      </c>
      <c r="B281" s="513" t="s">
        <v>1163</v>
      </c>
      <c r="C281" s="513" t="s">
        <v>434</v>
      </c>
      <c r="D281" s="513" t="s">
        <v>405</v>
      </c>
      <c r="E281" s="514">
        <v>35</v>
      </c>
      <c r="F281" s="514">
        <v>-0.01</v>
      </c>
      <c r="G281" s="514">
        <v>2035</v>
      </c>
      <c r="H281" s="515">
        <v>57031.31</v>
      </c>
      <c r="I281" s="514">
        <v>9.5</v>
      </c>
      <c r="J281" s="515">
        <v>541797.44999999995</v>
      </c>
      <c r="K281" s="514">
        <v>24.91</v>
      </c>
      <c r="L281" s="515">
        <v>1420649.93</v>
      </c>
      <c r="M281" s="514">
        <v>15.384496</v>
      </c>
      <c r="N281" s="515">
        <v>877397.96</v>
      </c>
      <c r="O281" s="514">
        <v>0.38610299999999997</v>
      </c>
      <c r="P281" s="515">
        <v>22019.96</v>
      </c>
      <c r="Q281" s="515">
        <v>-570.30999999999995</v>
      </c>
      <c r="R281" s="515">
        <v>22332.17</v>
      </c>
      <c r="S281" s="504" t="str">
        <f t="shared" si="4"/>
        <v>51</v>
      </c>
    </row>
    <row r="282" spans="1:19" ht="15" x14ac:dyDescent="0.25">
      <c r="A282" s="513" t="s">
        <v>402</v>
      </c>
      <c r="B282" s="513" t="s">
        <v>1163</v>
      </c>
      <c r="C282" s="513" t="s">
        <v>435</v>
      </c>
      <c r="D282" s="513" t="s">
        <v>407</v>
      </c>
      <c r="E282" s="514">
        <v>20</v>
      </c>
      <c r="F282" s="514">
        <v>-0.01</v>
      </c>
      <c r="G282" s="514">
        <v>2035</v>
      </c>
      <c r="H282" s="515">
        <v>46533.05</v>
      </c>
      <c r="I282" s="514">
        <v>9.5</v>
      </c>
      <c r="J282" s="515">
        <v>442063.98</v>
      </c>
      <c r="K282" s="514">
        <v>20</v>
      </c>
      <c r="L282" s="515">
        <v>930661</v>
      </c>
      <c r="M282" s="514">
        <v>10.268020999999999</v>
      </c>
      <c r="N282" s="515">
        <v>477802.33</v>
      </c>
      <c r="O282" s="514">
        <v>0.49146487999999999</v>
      </c>
      <c r="P282" s="515">
        <v>22869.360000000001</v>
      </c>
      <c r="Q282" s="515">
        <v>-465.33</v>
      </c>
      <c r="R282" s="515">
        <v>23193.61</v>
      </c>
      <c r="S282" s="504" t="str">
        <f t="shared" si="4"/>
        <v>51</v>
      </c>
    </row>
    <row r="283" spans="1:19" ht="15" x14ac:dyDescent="0.25">
      <c r="A283" s="513" t="s">
        <v>402</v>
      </c>
      <c r="B283" s="513" t="s">
        <v>1163</v>
      </c>
      <c r="C283" s="513" t="s">
        <v>436</v>
      </c>
      <c r="D283" s="513" t="s">
        <v>123</v>
      </c>
      <c r="E283" s="514"/>
      <c r="F283" s="514">
        <v>-0.01</v>
      </c>
      <c r="G283" s="514">
        <v>2035</v>
      </c>
      <c r="H283" s="515">
        <v>23136622.989999998</v>
      </c>
      <c r="I283" s="514">
        <v>9.5</v>
      </c>
      <c r="J283" s="515">
        <v>219797918.41</v>
      </c>
      <c r="K283" s="514">
        <v>24.989722010000001</v>
      </c>
      <c r="L283" s="515">
        <v>578177776.67999995</v>
      </c>
      <c r="M283" s="514">
        <v>15.489192579999999</v>
      </c>
      <c r="N283" s="515">
        <v>358367609.06</v>
      </c>
      <c r="O283" s="514">
        <v>0.38402222000000003</v>
      </c>
      <c r="P283" s="515">
        <v>8884977.2200000007</v>
      </c>
      <c r="Q283" s="515">
        <v>-231366.23</v>
      </c>
      <c r="R283" s="515">
        <v>9010951.9600000009</v>
      </c>
      <c r="S283" s="504" t="str">
        <f t="shared" si="4"/>
        <v>51</v>
      </c>
    </row>
    <row r="284" spans="1:19" ht="15" x14ac:dyDescent="0.25">
      <c r="A284" s="513" t="s">
        <v>402</v>
      </c>
      <c r="B284" s="513" t="s">
        <v>1163</v>
      </c>
      <c r="C284" s="513" t="s">
        <v>477</v>
      </c>
      <c r="D284" s="513" t="s">
        <v>359</v>
      </c>
      <c r="E284" s="514">
        <v>65</v>
      </c>
      <c r="F284" s="514">
        <v>-0.03</v>
      </c>
      <c r="G284" s="514">
        <v>2035</v>
      </c>
      <c r="H284" s="515">
        <v>10977514.23</v>
      </c>
      <c r="I284" s="514">
        <v>9.4931438900000007</v>
      </c>
      <c r="J284" s="515">
        <v>104211122.15000001</v>
      </c>
      <c r="K284" s="514">
        <v>24.99</v>
      </c>
      <c r="L284" s="515">
        <v>274328080.61000001</v>
      </c>
      <c r="M284" s="514">
        <v>15.5</v>
      </c>
      <c r="N284" s="515">
        <v>170151470.56999999</v>
      </c>
      <c r="O284" s="514">
        <v>0.39116956000000003</v>
      </c>
      <c r="P284" s="515">
        <v>4294069.4400000004</v>
      </c>
      <c r="Q284" s="515">
        <v>-329325.43</v>
      </c>
      <c r="R284" s="515">
        <v>4430674.3899999997</v>
      </c>
      <c r="S284" s="504" t="str">
        <f t="shared" si="4"/>
        <v>51</v>
      </c>
    </row>
    <row r="285" spans="1:19" ht="15" x14ac:dyDescent="0.25">
      <c r="A285" s="513" t="s">
        <v>402</v>
      </c>
      <c r="B285" s="513" t="s">
        <v>1163</v>
      </c>
      <c r="C285" s="513" t="s">
        <v>478</v>
      </c>
      <c r="D285" s="513" t="s">
        <v>405</v>
      </c>
      <c r="E285" s="514">
        <v>35</v>
      </c>
      <c r="F285" s="514">
        <v>-0.03</v>
      </c>
      <c r="G285" s="514">
        <v>2035</v>
      </c>
      <c r="H285" s="515">
        <v>22995377.350000001</v>
      </c>
      <c r="I285" s="514">
        <v>9.5</v>
      </c>
      <c r="J285" s="515">
        <v>218456084.83000001</v>
      </c>
      <c r="K285" s="514">
        <v>24.91</v>
      </c>
      <c r="L285" s="515">
        <v>572814849.78999996</v>
      </c>
      <c r="M285" s="514">
        <v>15.384496</v>
      </c>
      <c r="N285" s="515">
        <v>353772290.86000001</v>
      </c>
      <c r="O285" s="514">
        <v>0.39374863999999998</v>
      </c>
      <c r="P285" s="515">
        <v>9054398.5199999996</v>
      </c>
      <c r="Q285" s="515">
        <v>-689861.32</v>
      </c>
      <c r="R285" s="515">
        <v>9342441.3000000007</v>
      </c>
      <c r="S285" s="504" t="str">
        <f t="shared" si="4"/>
        <v>51</v>
      </c>
    </row>
    <row r="286" spans="1:19" ht="15" x14ac:dyDescent="0.25">
      <c r="A286" s="513" t="s">
        <v>402</v>
      </c>
      <c r="B286" s="513" t="s">
        <v>1163</v>
      </c>
      <c r="C286" s="513" t="s">
        <v>479</v>
      </c>
      <c r="D286" s="513" t="s">
        <v>407</v>
      </c>
      <c r="E286" s="514">
        <v>20</v>
      </c>
      <c r="F286" s="514">
        <v>-0.03</v>
      </c>
      <c r="G286" s="514">
        <v>2035</v>
      </c>
      <c r="H286" s="515">
        <v>13012201.33</v>
      </c>
      <c r="I286" s="514">
        <v>9.0006599900000008</v>
      </c>
      <c r="J286" s="515">
        <v>117118399.84</v>
      </c>
      <c r="K286" s="514">
        <v>19.84</v>
      </c>
      <c r="L286" s="515">
        <v>258162074.38999999</v>
      </c>
      <c r="M286" s="514">
        <v>10.627962</v>
      </c>
      <c r="N286" s="515">
        <v>138293181.27000001</v>
      </c>
      <c r="O286" s="514">
        <v>0.47813505000000001</v>
      </c>
      <c r="P286" s="515">
        <v>6221589.5099999998</v>
      </c>
      <c r="Q286" s="515">
        <v>-390366.04</v>
      </c>
      <c r="R286" s="515">
        <v>6419513.6399999997</v>
      </c>
      <c r="S286" s="504" t="str">
        <f t="shared" si="4"/>
        <v>51</v>
      </c>
    </row>
    <row r="287" spans="1:19" ht="15" x14ac:dyDescent="0.25">
      <c r="A287" s="513" t="s">
        <v>402</v>
      </c>
      <c r="B287" s="513" t="s">
        <v>1163</v>
      </c>
      <c r="C287" s="513" t="s">
        <v>480</v>
      </c>
      <c r="D287" s="513" t="s">
        <v>123</v>
      </c>
      <c r="E287" s="514"/>
      <c r="F287" s="514">
        <v>-0.03</v>
      </c>
      <c r="G287" s="514">
        <v>2035</v>
      </c>
      <c r="H287" s="515">
        <v>46985092.909999996</v>
      </c>
      <c r="I287" s="514">
        <v>9.3601093399999993</v>
      </c>
      <c r="J287" s="515">
        <v>439785606.81</v>
      </c>
      <c r="K287" s="514">
        <v>23.524589110000001</v>
      </c>
      <c r="L287" s="515">
        <v>1105305004.78</v>
      </c>
      <c r="M287" s="514">
        <v>14.094192469999999</v>
      </c>
      <c r="N287" s="515">
        <v>662216942.70000005</v>
      </c>
      <c r="O287" s="514">
        <v>0.41651631</v>
      </c>
      <c r="P287" s="515">
        <v>19570057.469999999</v>
      </c>
      <c r="Q287" s="515">
        <v>-1409552.79</v>
      </c>
      <c r="R287" s="515">
        <v>20192629.329999998</v>
      </c>
      <c r="S287" s="504" t="str">
        <f t="shared" si="4"/>
        <v>51</v>
      </c>
    </row>
    <row r="288" spans="1:19" ht="15" x14ac:dyDescent="0.25">
      <c r="A288" s="513" t="s">
        <v>402</v>
      </c>
      <c r="B288" s="513" t="s">
        <v>1163</v>
      </c>
      <c r="C288" s="513" t="s">
        <v>541</v>
      </c>
      <c r="D288" s="513" t="s">
        <v>359</v>
      </c>
      <c r="E288" s="514">
        <v>65</v>
      </c>
      <c r="F288" s="514">
        <v>-0.03</v>
      </c>
      <c r="G288" s="514">
        <v>2035</v>
      </c>
      <c r="H288" s="515">
        <v>3757371.17</v>
      </c>
      <c r="I288" s="514">
        <v>9.5</v>
      </c>
      <c r="J288" s="515">
        <v>35695026.119999997</v>
      </c>
      <c r="K288" s="514">
        <v>25</v>
      </c>
      <c r="L288" s="515">
        <v>93934279.25</v>
      </c>
      <c r="M288" s="514">
        <v>15.5</v>
      </c>
      <c r="N288" s="515">
        <v>58239253.140000001</v>
      </c>
      <c r="O288" s="514">
        <v>0.39140000000000003</v>
      </c>
      <c r="P288" s="515">
        <v>1470635.08</v>
      </c>
      <c r="Q288" s="515">
        <v>-112721.14</v>
      </c>
      <c r="R288" s="515">
        <v>1606516.33</v>
      </c>
      <c r="S288" s="504" t="str">
        <f t="shared" si="4"/>
        <v>51</v>
      </c>
    </row>
    <row r="289" spans="1:20" ht="15" x14ac:dyDescent="0.25">
      <c r="A289" s="513" t="s">
        <v>402</v>
      </c>
      <c r="B289" s="513" t="s">
        <v>1163</v>
      </c>
      <c r="C289" s="513" t="s">
        <v>542</v>
      </c>
      <c r="D289" s="513" t="s">
        <v>405</v>
      </c>
      <c r="E289" s="514">
        <v>35</v>
      </c>
      <c r="F289" s="514">
        <v>-0.03</v>
      </c>
      <c r="G289" s="514">
        <v>2035</v>
      </c>
      <c r="H289" s="515">
        <v>7699507.1500000004</v>
      </c>
      <c r="I289" s="514">
        <v>9.5</v>
      </c>
      <c r="J289" s="515">
        <v>73145317.930000007</v>
      </c>
      <c r="K289" s="514">
        <v>24.91</v>
      </c>
      <c r="L289" s="515">
        <v>191794723.11000001</v>
      </c>
      <c r="M289" s="514">
        <v>15.384496</v>
      </c>
      <c r="N289" s="515">
        <v>118453036.95</v>
      </c>
      <c r="O289" s="514">
        <v>0.39374863999999998</v>
      </c>
      <c r="P289" s="515">
        <v>3031670.46</v>
      </c>
      <c r="Q289" s="515">
        <v>-230985.21</v>
      </c>
      <c r="R289" s="515">
        <v>3311785.61</v>
      </c>
      <c r="S289" s="504" t="str">
        <f t="shared" si="4"/>
        <v>51</v>
      </c>
    </row>
    <row r="290" spans="1:20" ht="15" x14ac:dyDescent="0.25">
      <c r="A290" s="513" t="s">
        <v>402</v>
      </c>
      <c r="B290" s="513" t="s">
        <v>1163</v>
      </c>
      <c r="C290" s="513" t="s">
        <v>543</v>
      </c>
      <c r="D290" s="513" t="s">
        <v>407</v>
      </c>
      <c r="E290" s="514">
        <v>20</v>
      </c>
      <c r="F290" s="514">
        <v>-0.03</v>
      </c>
      <c r="G290" s="514">
        <v>2035</v>
      </c>
      <c r="H290" s="515">
        <v>3119152.25</v>
      </c>
      <c r="I290" s="514">
        <v>9.5</v>
      </c>
      <c r="J290" s="515">
        <v>29631946.379999999</v>
      </c>
      <c r="K290" s="514">
        <v>20</v>
      </c>
      <c r="L290" s="515">
        <v>62383045</v>
      </c>
      <c r="M290" s="514">
        <v>10.268020999999999</v>
      </c>
      <c r="N290" s="515">
        <v>32027520.809999999</v>
      </c>
      <c r="O290" s="514">
        <v>0.50119691</v>
      </c>
      <c r="P290" s="515">
        <v>1563309.47</v>
      </c>
      <c r="Q290" s="515">
        <v>-93574.57</v>
      </c>
      <c r="R290" s="515">
        <v>1707753.49</v>
      </c>
      <c r="S290" s="504" t="str">
        <f t="shared" si="4"/>
        <v>51</v>
      </c>
    </row>
    <row r="291" spans="1:20" ht="15" x14ac:dyDescent="0.25">
      <c r="A291" s="513" t="s">
        <v>402</v>
      </c>
      <c r="B291" s="513" t="s">
        <v>1163</v>
      </c>
      <c r="C291" s="513" t="s">
        <v>544</v>
      </c>
      <c r="D291" s="513" t="s">
        <v>123</v>
      </c>
      <c r="E291" s="514"/>
      <c r="F291" s="514">
        <v>-0.03</v>
      </c>
      <c r="G291" s="514">
        <v>2035</v>
      </c>
      <c r="H291" s="515">
        <v>14576030.57</v>
      </c>
      <c r="I291" s="514">
        <v>9.5</v>
      </c>
      <c r="J291" s="515">
        <v>138472290.41999999</v>
      </c>
      <c r="K291" s="514">
        <v>23.882499809999999</v>
      </c>
      <c r="L291" s="515">
        <v>348112047.36000001</v>
      </c>
      <c r="M291" s="514">
        <v>14.319386189999999</v>
      </c>
      <c r="N291" s="515">
        <v>208719810.88999999</v>
      </c>
      <c r="O291" s="514">
        <v>0.41613626999999997</v>
      </c>
      <c r="P291" s="515">
        <v>6065615.0099999998</v>
      </c>
      <c r="Q291" s="515">
        <v>-437280.92</v>
      </c>
      <c r="R291" s="515">
        <v>6626055.4299999997</v>
      </c>
      <c r="S291" s="504" t="str">
        <f t="shared" si="4"/>
        <v>51</v>
      </c>
    </row>
    <row r="292" spans="1:20" ht="15" x14ac:dyDescent="0.25">
      <c r="A292" s="513" t="s">
        <v>402</v>
      </c>
      <c r="B292" s="513" t="s">
        <v>1163</v>
      </c>
      <c r="C292" s="513" t="s">
        <v>581</v>
      </c>
      <c r="D292" s="513" t="s">
        <v>359</v>
      </c>
      <c r="E292" s="514">
        <v>65</v>
      </c>
      <c r="F292" s="514">
        <v>-0.01</v>
      </c>
      <c r="G292" s="514">
        <v>2035</v>
      </c>
      <c r="H292" s="515">
        <v>702118.6</v>
      </c>
      <c r="I292" s="514">
        <v>9.5</v>
      </c>
      <c r="J292" s="515">
        <v>6670126.7000000002</v>
      </c>
      <c r="K292" s="514">
        <v>25</v>
      </c>
      <c r="L292" s="515">
        <v>17552965</v>
      </c>
      <c r="M292" s="514">
        <v>15.5</v>
      </c>
      <c r="N292" s="515">
        <v>10882838.300000001</v>
      </c>
      <c r="O292" s="514">
        <v>0.38379999999999997</v>
      </c>
      <c r="P292" s="515">
        <v>269473.12</v>
      </c>
      <c r="Q292" s="515">
        <v>-7021.19</v>
      </c>
      <c r="R292" s="515">
        <v>274190.01</v>
      </c>
      <c r="S292" s="504" t="str">
        <f t="shared" si="4"/>
        <v>51</v>
      </c>
    </row>
    <row r="293" spans="1:20" ht="15" x14ac:dyDescent="0.25">
      <c r="A293" s="513" t="s">
        <v>402</v>
      </c>
      <c r="B293" s="513" t="s">
        <v>1163</v>
      </c>
      <c r="C293" s="513" t="s">
        <v>582</v>
      </c>
      <c r="D293" s="513" t="s">
        <v>405</v>
      </c>
      <c r="E293" s="514">
        <v>35</v>
      </c>
      <c r="F293" s="514">
        <v>-0.01</v>
      </c>
      <c r="G293" s="514">
        <v>2035</v>
      </c>
      <c r="H293" s="515">
        <v>141394.13</v>
      </c>
      <c r="I293" s="514">
        <v>9.5</v>
      </c>
      <c r="J293" s="515">
        <v>1343244.24</v>
      </c>
      <c r="K293" s="514">
        <v>24.91</v>
      </c>
      <c r="L293" s="515">
        <v>3522127.78</v>
      </c>
      <c r="M293" s="514">
        <v>15.384496</v>
      </c>
      <c r="N293" s="515">
        <v>2175277.4300000002</v>
      </c>
      <c r="O293" s="514">
        <v>0.38610302000000002</v>
      </c>
      <c r="P293" s="515">
        <v>54592.7</v>
      </c>
      <c r="Q293" s="515">
        <v>-1413.94</v>
      </c>
      <c r="R293" s="515">
        <v>55548.3</v>
      </c>
      <c r="S293" s="504" t="str">
        <f t="shared" si="4"/>
        <v>51</v>
      </c>
    </row>
    <row r="294" spans="1:20" ht="15" x14ac:dyDescent="0.25">
      <c r="A294" s="513" t="s">
        <v>402</v>
      </c>
      <c r="B294" s="513" t="s">
        <v>1163</v>
      </c>
      <c r="C294" s="513" t="s">
        <v>583</v>
      </c>
      <c r="D294" s="513" t="s">
        <v>407</v>
      </c>
      <c r="E294" s="514">
        <v>20</v>
      </c>
      <c r="F294" s="514">
        <v>-0.01</v>
      </c>
      <c r="G294" s="514">
        <v>2035</v>
      </c>
      <c r="H294" s="515">
        <v>36302.01</v>
      </c>
      <c r="I294" s="514">
        <v>9.5</v>
      </c>
      <c r="J294" s="515">
        <v>344869.1</v>
      </c>
      <c r="K294" s="514">
        <v>20</v>
      </c>
      <c r="L294" s="515">
        <v>726040.2</v>
      </c>
      <c r="M294" s="514">
        <v>10.268020999999999</v>
      </c>
      <c r="N294" s="515">
        <v>372749.8</v>
      </c>
      <c r="O294" s="514">
        <v>0.49146479999999998</v>
      </c>
      <c r="P294" s="515">
        <v>17841.16</v>
      </c>
      <c r="Q294" s="515">
        <v>-363.02</v>
      </c>
      <c r="R294" s="515">
        <v>18153.45</v>
      </c>
      <c r="S294" s="504" t="str">
        <f t="shared" si="4"/>
        <v>51</v>
      </c>
    </row>
    <row r="295" spans="1:20" ht="15" x14ac:dyDescent="0.25">
      <c r="A295" s="513" t="s">
        <v>402</v>
      </c>
      <c r="B295" s="513" t="s">
        <v>1163</v>
      </c>
      <c r="C295" s="513" t="s">
        <v>584</v>
      </c>
      <c r="D295" s="513" t="s">
        <v>123</v>
      </c>
      <c r="E295" s="514"/>
      <c r="F295" s="514">
        <v>-0.01</v>
      </c>
      <c r="G295" s="514">
        <v>2035</v>
      </c>
      <c r="H295" s="515">
        <v>879814.74</v>
      </c>
      <c r="I295" s="514">
        <v>9.5</v>
      </c>
      <c r="J295" s="515">
        <v>8358240.0300000003</v>
      </c>
      <c r="K295" s="514">
        <v>24.779231339999999</v>
      </c>
      <c r="L295" s="515">
        <v>21801132.98</v>
      </c>
      <c r="M295" s="514">
        <v>15.26556094</v>
      </c>
      <c r="N295" s="515">
        <v>13430865.529999999</v>
      </c>
      <c r="O295" s="514">
        <v>0.38861246999999999</v>
      </c>
      <c r="P295" s="515">
        <v>341906.98</v>
      </c>
      <c r="Q295" s="515">
        <v>-8798.15</v>
      </c>
      <c r="R295" s="515">
        <v>347891.76</v>
      </c>
      <c r="S295" s="504" t="str">
        <f t="shared" si="4"/>
        <v>51</v>
      </c>
    </row>
    <row r="296" spans="1:20" ht="15" x14ac:dyDescent="0.25">
      <c r="A296" s="513" t="s">
        <v>402</v>
      </c>
      <c r="B296" s="513" t="s">
        <v>1163</v>
      </c>
      <c r="C296" s="513" t="s">
        <v>437</v>
      </c>
      <c r="D296" s="513" t="s">
        <v>359</v>
      </c>
      <c r="E296" s="514">
        <v>65</v>
      </c>
      <c r="F296" s="514">
        <v>-0.01</v>
      </c>
      <c r="G296" s="514">
        <v>2038</v>
      </c>
      <c r="H296" s="515">
        <v>25096029.129999999</v>
      </c>
      <c r="I296" s="514">
        <v>10.5</v>
      </c>
      <c r="J296" s="515">
        <v>263508305.87</v>
      </c>
      <c r="K296" s="514">
        <v>29</v>
      </c>
      <c r="L296" s="515">
        <v>727784844.76999998</v>
      </c>
      <c r="M296" s="514">
        <v>18.5</v>
      </c>
      <c r="N296" s="515">
        <v>464276538.91000003</v>
      </c>
      <c r="O296" s="514">
        <v>0.36568966000000003</v>
      </c>
      <c r="P296" s="515">
        <v>9177358.2400000002</v>
      </c>
      <c r="Q296" s="515">
        <v>-250960.29</v>
      </c>
      <c r="R296" s="515">
        <v>9213860.1099999994</v>
      </c>
      <c r="S296" s="504" t="str">
        <f t="shared" si="4"/>
        <v>52</v>
      </c>
    </row>
    <row r="297" spans="1:20" ht="15" x14ac:dyDescent="0.25">
      <c r="A297" s="513" t="s">
        <v>402</v>
      </c>
      <c r="B297" s="513" t="s">
        <v>1163</v>
      </c>
      <c r="C297" s="513" t="s">
        <v>438</v>
      </c>
      <c r="D297" s="513" t="s">
        <v>405</v>
      </c>
      <c r="E297" s="514">
        <v>35</v>
      </c>
      <c r="F297" s="514">
        <v>-0.01</v>
      </c>
      <c r="G297" s="514">
        <v>2038</v>
      </c>
      <c r="H297" s="515">
        <v>62139.35</v>
      </c>
      <c r="I297" s="514">
        <v>10.5</v>
      </c>
      <c r="J297" s="515">
        <v>652463.18000000005</v>
      </c>
      <c r="K297" s="514">
        <v>28.56</v>
      </c>
      <c r="L297" s="515">
        <v>1774699.84</v>
      </c>
      <c r="M297" s="514">
        <v>17.983450000000001</v>
      </c>
      <c r="N297" s="515">
        <v>1117479.8899999999</v>
      </c>
      <c r="O297" s="514">
        <v>0.37394307999999998</v>
      </c>
      <c r="P297" s="515">
        <v>23236.58</v>
      </c>
      <c r="Q297" s="515">
        <v>-621.39</v>
      </c>
      <c r="R297" s="515">
        <v>23329</v>
      </c>
      <c r="S297" s="504" t="str">
        <f t="shared" si="4"/>
        <v>52</v>
      </c>
    </row>
    <row r="298" spans="1:20" ht="15" x14ac:dyDescent="0.25">
      <c r="A298" s="513" t="s">
        <v>402</v>
      </c>
      <c r="B298" s="513" t="s">
        <v>1163</v>
      </c>
      <c r="C298" s="513" t="s">
        <v>439</v>
      </c>
      <c r="D298" s="513" t="s">
        <v>407</v>
      </c>
      <c r="E298" s="514">
        <v>20</v>
      </c>
      <c r="F298" s="514">
        <v>-0.01</v>
      </c>
      <c r="G298" s="514">
        <v>2038</v>
      </c>
      <c r="H298" s="515">
        <v>50700.82</v>
      </c>
      <c r="I298" s="514">
        <v>10.5</v>
      </c>
      <c r="J298" s="515">
        <v>532358.61</v>
      </c>
      <c r="K298" s="514">
        <v>20</v>
      </c>
      <c r="L298" s="515">
        <v>1014016.4</v>
      </c>
      <c r="M298" s="514">
        <v>9.7194160000000007</v>
      </c>
      <c r="N298" s="515">
        <v>492782.36</v>
      </c>
      <c r="O298" s="514">
        <v>0.51916951</v>
      </c>
      <c r="P298" s="515">
        <v>26322.32</v>
      </c>
      <c r="Q298" s="515">
        <v>-507.01</v>
      </c>
      <c r="R298" s="515">
        <v>26427.01</v>
      </c>
      <c r="S298" s="504" t="str">
        <f t="shared" si="4"/>
        <v>52</v>
      </c>
      <c r="T298" s="394"/>
    </row>
    <row r="299" spans="1:20" ht="15" x14ac:dyDescent="0.25">
      <c r="A299" s="513" t="s">
        <v>402</v>
      </c>
      <c r="B299" s="513" t="s">
        <v>1163</v>
      </c>
      <c r="C299" s="513" t="s">
        <v>440</v>
      </c>
      <c r="D299" s="513" t="s">
        <v>123</v>
      </c>
      <c r="E299" s="514"/>
      <c r="F299" s="514">
        <v>-0.01</v>
      </c>
      <c r="G299" s="514">
        <v>2038</v>
      </c>
      <c r="H299" s="515">
        <v>25208869.300000001</v>
      </c>
      <c r="I299" s="514">
        <v>10.5</v>
      </c>
      <c r="J299" s="515">
        <v>264693127.65000001</v>
      </c>
      <c r="K299" s="514">
        <v>28.980814339999998</v>
      </c>
      <c r="L299" s="515">
        <v>730573561.00999999</v>
      </c>
      <c r="M299" s="514">
        <v>18.481066949999999</v>
      </c>
      <c r="N299" s="515">
        <v>465886801.16000003</v>
      </c>
      <c r="O299" s="514">
        <v>0.36601867999999999</v>
      </c>
      <c r="P299" s="515">
        <v>9226917.1400000006</v>
      </c>
      <c r="Q299" s="515">
        <v>-252088.69</v>
      </c>
      <c r="R299" s="515">
        <v>9263616.1199999992</v>
      </c>
      <c r="S299" s="504" t="str">
        <f t="shared" si="4"/>
        <v>52</v>
      </c>
      <c r="T299" s="394"/>
    </row>
    <row r="300" spans="1:20" ht="15" x14ac:dyDescent="0.25">
      <c r="A300" s="513" t="s">
        <v>402</v>
      </c>
      <c r="B300" s="513" t="s">
        <v>1163</v>
      </c>
      <c r="C300" s="513" t="s">
        <v>481</v>
      </c>
      <c r="D300" s="513" t="s">
        <v>359</v>
      </c>
      <c r="E300" s="514">
        <v>65</v>
      </c>
      <c r="F300" s="514">
        <v>-0.03</v>
      </c>
      <c r="G300" s="514">
        <v>2038</v>
      </c>
      <c r="H300" s="515">
        <v>11987333.42</v>
      </c>
      <c r="I300" s="514">
        <v>10.47076313</v>
      </c>
      <c r="J300" s="515">
        <v>125516528.77</v>
      </c>
      <c r="K300" s="514">
        <v>28.96</v>
      </c>
      <c r="L300" s="515">
        <v>347153175.83999997</v>
      </c>
      <c r="M300" s="514">
        <v>18.5</v>
      </c>
      <c r="N300" s="515">
        <v>221765668.27000001</v>
      </c>
      <c r="O300" s="514">
        <v>0.37202289999999999</v>
      </c>
      <c r="P300" s="515">
        <v>4459562.54</v>
      </c>
      <c r="Q300" s="515">
        <v>-359620</v>
      </c>
      <c r="R300" s="515">
        <v>4024700.82</v>
      </c>
      <c r="S300" s="504" t="str">
        <f t="shared" si="4"/>
        <v>52</v>
      </c>
      <c r="T300" s="394"/>
    </row>
    <row r="301" spans="1:20" ht="15" x14ac:dyDescent="0.25">
      <c r="A301" s="513" t="s">
        <v>402</v>
      </c>
      <c r="B301" s="513" t="s">
        <v>1163</v>
      </c>
      <c r="C301" s="513" t="s">
        <v>482</v>
      </c>
      <c r="D301" s="513" t="s">
        <v>405</v>
      </c>
      <c r="E301" s="514">
        <v>35</v>
      </c>
      <c r="F301" s="514">
        <v>-0.03</v>
      </c>
      <c r="G301" s="514">
        <v>2038</v>
      </c>
      <c r="H301" s="515">
        <v>25210368.870000001</v>
      </c>
      <c r="I301" s="514">
        <v>10.449339009999999</v>
      </c>
      <c r="J301" s="515">
        <v>263431690.90000001</v>
      </c>
      <c r="K301" s="514">
        <v>28.49</v>
      </c>
      <c r="L301" s="515">
        <v>718243409.11000001</v>
      </c>
      <c r="M301" s="514">
        <v>17.987760999999999</v>
      </c>
      <c r="N301" s="515">
        <v>453478089.95999998</v>
      </c>
      <c r="O301" s="514">
        <v>0.37971089000000002</v>
      </c>
      <c r="P301" s="515">
        <v>9572651.5299999993</v>
      </c>
      <c r="Q301" s="515">
        <v>-756311.07</v>
      </c>
      <c r="R301" s="515">
        <v>8639201.2899999991</v>
      </c>
      <c r="S301" s="504" t="str">
        <f t="shared" si="4"/>
        <v>52</v>
      </c>
      <c r="T301" s="394"/>
    </row>
    <row r="302" spans="1:20" ht="15" x14ac:dyDescent="0.25">
      <c r="A302" s="513" t="s">
        <v>402</v>
      </c>
      <c r="B302" s="513" t="s">
        <v>1163</v>
      </c>
      <c r="C302" s="513" t="s">
        <v>483</v>
      </c>
      <c r="D302" s="513" t="s">
        <v>407</v>
      </c>
      <c r="E302" s="514">
        <v>20</v>
      </c>
      <c r="F302" s="514">
        <v>-0.03</v>
      </c>
      <c r="G302" s="514">
        <v>2038</v>
      </c>
      <c r="H302" s="515">
        <v>14062584.560000001</v>
      </c>
      <c r="I302" s="514">
        <v>8.7185691300000006</v>
      </c>
      <c r="J302" s="515">
        <v>122605615.59</v>
      </c>
      <c r="K302" s="514">
        <v>19.77</v>
      </c>
      <c r="L302" s="515">
        <v>278017296.75</v>
      </c>
      <c r="M302" s="514">
        <v>11.1989</v>
      </c>
      <c r="N302" s="515">
        <v>157485478.22999999</v>
      </c>
      <c r="O302" s="514">
        <v>0.44653141000000002</v>
      </c>
      <c r="P302" s="515">
        <v>6279385.7300000004</v>
      </c>
      <c r="Q302" s="515">
        <v>-421877.54</v>
      </c>
      <c r="R302" s="515">
        <v>5667069.0599999996</v>
      </c>
      <c r="S302" s="504" t="str">
        <f t="shared" si="4"/>
        <v>52</v>
      </c>
      <c r="T302" s="394"/>
    </row>
    <row r="303" spans="1:20" ht="15" x14ac:dyDescent="0.25">
      <c r="A303" s="513" t="s">
        <v>402</v>
      </c>
      <c r="B303" s="513" t="s">
        <v>1163</v>
      </c>
      <c r="C303" s="513" t="s">
        <v>484</v>
      </c>
      <c r="D303" s="513" t="s">
        <v>123</v>
      </c>
      <c r="E303" s="514"/>
      <c r="F303" s="514">
        <v>-0.03</v>
      </c>
      <c r="G303" s="514">
        <v>2038</v>
      </c>
      <c r="H303" s="515">
        <v>51260286.850000001</v>
      </c>
      <c r="I303" s="514">
        <v>9.9795351700000001</v>
      </c>
      <c r="J303" s="515">
        <v>511553835.25999999</v>
      </c>
      <c r="K303" s="514">
        <v>26.207693410000001</v>
      </c>
      <c r="L303" s="515">
        <v>1343413881.7</v>
      </c>
      <c r="M303" s="514">
        <v>16.245114640000001</v>
      </c>
      <c r="N303" s="515">
        <v>832729236.45000005</v>
      </c>
      <c r="O303" s="514">
        <v>0.39624436000000002</v>
      </c>
      <c r="P303" s="515">
        <v>20311599.800000001</v>
      </c>
      <c r="Q303" s="515">
        <v>-1537808.61</v>
      </c>
      <c r="R303" s="515">
        <v>18330971.170000002</v>
      </c>
      <c r="S303" s="504" t="str">
        <f t="shared" si="4"/>
        <v>52</v>
      </c>
      <c r="T303" s="394"/>
    </row>
    <row r="304" spans="1:20" ht="15" x14ac:dyDescent="0.25">
      <c r="A304" s="513" t="s">
        <v>402</v>
      </c>
      <c r="B304" s="513" t="s">
        <v>1163</v>
      </c>
      <c r="C304" s="513" t="s">
        <v>545</v>
      </c>
      <c r="D304" s="513" t="s">
        <v>359</v>
      </c>
      <c r="E304" s="514">
        <v>65</v>
      </c>
      <c r="F304" s="514">
        <v>-0.03</v>
      </c>
      <c r="G304" s="514">
        <v>2038</v>
      </c>
      <c r="H304" s="515">
        <v>4065587.03</v>
      </c>
      <c r="I304" s="514">
        <v>10.5</v>
      </c>
      <c r="J304" s="515">
        <v>42688663.82</v>
      </c>
      <c r="K304" s="514">
        <v>29</v>
      </c>
      <c r="L304" s="515">
        <v>117902023.87</v>
      </c>
      <c r="M304" s="514">
        <v>18.5</v>
      </c>
      <c r="N304" s="515">
        <v>75213360.060000002</v>
      </c>
      <c r="O304" s="514">
        <v>0.37293103999999999</v>
      </c>
      <c r="P304" s="515">
        <v>1516183.58</v>
      </c>
      <c r="Q304" s="515">
        <v>-121967.61</v>
      </c>
      <c r="R304" s="515">
        <v>1575120.48</v>
      </c>
      <c r="S304" s="504" t="str">
        <f t="shared" si="4"/>
        <v>52</v>
      </c>
      <c r="T304" s="394"/>
    </row>
    <row r="305" spans="1:20" ht="15" x14ac:dyDescent="0.25">
      <c r="A305" s="513" t="s">
        <v>402</v>
      </c>
      <c r="B305" s="513" t="s">
        <v>1163</v>
      </c>
      <c r="C305" s="513" t="s">
        <v>546</v>
      </c>
      <c r="D305" s="513" t="s">
        <v>405</v>
      </c>
      <c r="E305" s="514">
        <v>35</v>
      </c>
      <c r="F305" s="514">
        <v>-0.03</v>
      </c>
      <c r="G305" s="514">
        <v>2038</v>
      </c>
      <c r="H305" s="515">
        <v>8422003.6099999994</v>
      </c>
      <c r="I305" s="514">
        <v>10.5</v>
      </c>
      <c r="J305" s="515">
        <v>88431037.909999996</v>
      </c>
      <c r="K305" s="514">
        <v>28.56</v>
      </c>
      <c r="L305" s="515">
        <v>240532423.09999999</v>
      </c>
      <c r="M305" s="514">
        <v>17.983450000000001</v>
      </c>
      <c r="N305" s="515">
        <v>151456680.81999999</v>
      </c>
      <c r="O305" s="514">
        <v>0.38134784999999999</v>
      </c>
      <c r="P305" s="515">
        <v>3211712.95</v>
      </c>
      <c r="Q305" s="515">
        <v>-252660.11</v>
      </c>
      <c r="R305" s="515">
        <v>3336558.26</v>
      </c>
      <c r="S305" s="504" t="str">
        <f t="shared" si="4"/>
        <v>52</v>
      </c>
      <c r="T305" s="394"/>
    </row>
    <row r="306" spans="1:20" ht="15" x14ac:dyDescent="0.25">
      <c r="A306" s="513" t="s">
        <v>402</v>
      </c>
      <c r="B306" s="513" t="s">
        <v>1163</v>
      </c>
      <c r="C306" s="513" t="s">
        <v>547</v>
      </c>
      <c r="D306" s="513" t="s">
        <v>407</v>
      </c>
      <c r="E306" s="514">
        <v>20</v>
      </c>
      <c r="F306" s="514">
        <v>-0.03</v>
      </c>
      <c r="G306" s="514">
        <v>2038</v>
      </c>
      <c r="H306" s="515">
        <v>3463481.89</v>
      </c>
      <c r="I306" s="514">
        <v>10.264576890000001</v>
      </c>
      <c r="J306" s="515">
        <v>35551176.170000002</v>
      </c>
      <c r="K306" s="514">
        <v>19.96</v>
      </c>
      <c r="L306" s="515">
        <v>69131098.519999996</v>
      </c>
      <c r="M306" s="514">
        <v>9.9157759999999993</v>
      </c>
      <c r="N306" s="515">
        <v>34343110.600000001</v>
      </c>
      <c r="O306" s="514">
        <v>0.51834236</v>
      </c>
      <c r="P306" s="515">
        <v>1795269.39</v>
      </c>
      <c r="Q306" s="515">
        <v>-103904.46</v>
      </c>
      <c r="R306" s="515">
        <v>1865054.89</v>
      </c>
      <c r="S306" s="504" t="str">
        <f t="shared" si="4"/>
        <v>52</v>
      </c>
      <c r="T306" s="394"/>
    </row>
    <row r="307" spans="1:20" ht="15" x14ac:dyDescent="0.25">
      <c r="A307" s="513" t="s">
        <v>402</v>
      </c>
      <c r="B307" s="513" t="s">
        <v>1163</v>
      </c>
      <c r="C307" s="513" t="s">
        <v>548</v>
      </c>
      <c r="D307" s="513" t="s">
        <v>123</v>
      </c>
      <c r="E307" s="514"/>
      <c r="F307" s="514">
        <v>-0.03</v>
      </c>
      <c r="G307" s="514">
        <v>2038</v>
      </c>
      <c r="H307" s="515">
        <v>15951072.529999999</v>
      </c>
      <c r="I307" s="514">
        <v>10.4488822</v>
      </c>
      <c r="J307" s="515">
        <v>166670877.88999999</v>
      </c>
      <c r="K307" s="514">
        <v>26.804814830000002</v>
      </c>
      <c r="L307" s="515">
        <v>427565545.5</v>
      </c>
      <c r="M307" s="514">
        <v>16.363360579999998</v>
      </c>
      <c r="N307" s="515">
        <v>261013151.47999999</v>
      </c>
      <c r="O307" s="514">
        <v>0.40894841999999998</v>
      </c>
      <c r="P307" s="515">
        <v>6523165.9199999999</v>
      </c>
      <c r="Q307" s="515">
        <v>-478532.18</v>
      </c>
      <c r="R307" s="515">
        <v>6776733.6299999999</v>
      </c>
      <c r="S307" s="504" t="str">
        <f t="shared" si="4"/>
        <v>52</v>
      </c>
      <c r="T307" s="394"/>
    </row>
    <row r="308" spans="1:20" ht="15" x14ac:dyDescent="0.25">
      <c r="A308" s="513" t="s">
        <v>402</v>
      </c>
      <c r="B308" s="513" t="s">
        <v>1163</v>
      </c>
      <c r="C308" s="513" t="s">
        <v>585</v>
      </c>
      <c r="D308" s="513" t="s">
        <v>359</v>
      </c>
      <c r="E308" s="514">
        <v>65</v>
      </c>
      <c r="F308" s="514">
        <v>-0.01</v>
      </c>
      <c r="G308" s="514">
        <v>2038</v>
      </c>
      <c r="H308" s="515">
        <v>765004.29</v>
      </c>
      <c r="I308" s="514">
        <v>10.5</v>
      </c>
      <c r="J308" s="515">
        <v>8032545.0499999998</v>
      </c>
      <c r="K308" s="514">
        <v>29</v>
      </c>
      <c r="L308" s="515">
        <v>22185124.41</v>
      </c>
      <c r="M308" s="514">
        <v>18.5</v>
      </c>
      <c r="N308" s="515">
        <v>14152579.369999999</v>
      </c>
      <c r="O308" s="514">
        <v>0.36568966000000003</v>
      </c>
      <c r="P308" s="515">
        <v>279754.15999999997</v>
      </c>
      <c r="Q308" s="515">
        <v>-7650.04</v>
      </c>
      <c r="R308" s="515">
        <v>290357.43</v>
      </c>
      <c r="S308" s="504" t="str">
        <f t="shared" si="4"/>
        <v>52</v>
      </c>
    </row>
    <row r="309" spans="1:20" ht="15" x14ac:dyDescent="0.25">
      <c r="A309" s="513" t="s">
        <v>402</v>
      </c>
      <c r="B309" s="513" t="s">
        <v>1163</v>
      </c>
      <c r="C309" s="513" t="s">
        <v>586</v>
      </c>
      <c r="D309" s="513" t="s">
        <v>405</v>
      </c>
      <c r="E309" s="514">
        <v>35</v>
      </c>
      <c r="F309" s="514">
        <v>-0.01</v>
      </c>
      <c r="G309" s="514">
        <v>2038</v>
      </c>
      <c r="H309" s="515">
        <v>154058.15</v>
      </c>
      <c r="I309" s="514">
        <v>10.5</v>
      </c>
      <c r="J309" s="515">
        <v>1617610.58</v>
      </c>
      <c r="K309" s="514">
        <v>28.56</v>
      </c>
      <c r="L309" s="515">
        <v>4399900.76</v>
      </c>
      <c r="M309" s="514">
        <v>17.983450000000001</v>
      </c>
      <c r="N309" s="515">
        <v>2770497.04</v>
      </c>
      <c r="O309" s="514">
        <v>0.37394302000000001</v>
      </c>
      <c r="P309" s="515">
        <v>57608.97</v>
      </c>
      <c r="Q309" s="515">
        <v>-1540.58</v>
      </c>
      <c r="R309" s="515">
        <v>59792.47</v>
      </c>
      <c r="S309" s="504" t="str">
        <f t="shared" si="4"/>
        <v>52</v>
      </c>
    </row>
    <row r="310" spans="1:20" ht="15" x14ac:dyDescent="0.25">
      <c r="A310" s="513" t="s">
        <v>402</v>
      </c>
      <c r="B310" s="513" t="s">
        <v>1163</v>
      </c>
      <c r="C310" s="513" t="s">
        <v>587</v>
      </c>
      <c r="D310" s="513" t="s">
        <v>407</v>
      </c>
      <c r="E310" s="514">
        <v>20</v>
      </c>
      <c r="F310" s="514">
        <v>-0.01</v>
      </c>
      <c r="G310" s="514">
        <v>2038</v>
      </c>
      <c r="H310" s="515">
        <v>39553.449999999997</v>
      </c>
      <c r="I310" s="514">
        <v>10.5</v>
      </c>
      <c r="J310" s="515">
        <v>415311.23</v>
      </c>
      <c r="K310" s="514">
        <v>20</v>
      </c>
      <c r="L310" s="515">
        <v>791069</v>
      </c>
      <c r="M310" s="514">
        <v>9.7194160000000007</v>
      </c>
      <c r="N310" s="515">
        <v>384436.43</v>
      </c>
      <c r="O310" s="514">
        <v>0.51916938000000001</v>
      </c>
      <c r="P310" s="515">
        <v>20534.939999999999</v>
      </c>
      <c r="Q310" s="515">
        <v>-395.53</v>
      </c>
      <c r="R310" s="515">
        <v>21313.26</v>
      </c>
      <c r="S310" s="504" t="str">
        <f t="shared" si="4"/>
        <v>52</v>
      </c>
    </row>
    <row r="311" spans="1:20" ht="15" x14ac:dyDescent="0.25">
      <c r="A311" s="513" t="s">
        <v>402</v>
      </c>
      <c r="B311" s="513" t="s">
        <v>1163</v>
      </c>
      <c r="C311" s="513" t="s">
        <v>588</v>
      </c>
      <c r="D311" s="513" t="s">
        <v>123</v>
      </c>
      <c r="E311" s="514"/>
      <c r="F311" s="514">
        <v>-0.01</v>
      </c>
      <c r="G311" s="514">
        <v>2038</v>
      </c>
      <c r="H311" s="515">
        <v>958615.89</v>
      </c>
      <c r="I311" s="514">
        <v>10.5</v>
      </c>
      <c r="J311" s="515">
        <v>10065466.85</v>
      </c>
      <c r="K311" s="514">
        <v>28.55793907</v>
      </c>
      <c r="L311" s="515">
        <v>27376094.170000002</v>
      </c>
      <c r="M311" s="514">
        <v>18.05469012</v>
      </c>
      <c r="N311" s="515">
        <v>17307512.84</v>
      </c>
      <c r="O311" s="514">
        <v>0.37334877999999999</v>
      </c>
      <c r="P311" s="515">
        <v>357898.07</v>
      </c>
      <c r="Q311" s="515">
        <v>-9586.16</v>
      </c>
      <c r="R311" s="515">
        <v>371463.16</v>
      </c>
      <c r="S311" s="504" t="str">
        <f t="shared" si="4"/>
        <v>52</v>
      </c>
    </row>
    <row r="312" spans="1:20" ht="15" x14ac:dyDescent="0.25">
      <c r="A312" s="513" t="s">
        <v>402</v>
      </c>
      <c r="B312" s="513" t="s">
        <v>1163</v>
      </c>
      <c r="C312" s="513" t="s">
        <v>441</v>
      </c>
      <c r="D312" s="513" t="s">
        <v>359</v>
      </c>
      <c r="E312" s="514">
        <v>65</v>
      </c>
      <c r="F312" s="514">
        <v>-0.01</v>
      </c>
      <c r="G312" s="514">
        <v>2041</v>
      </c>
      <c r="H312" s="515">
        <v>21592346.789999999</v>
      </c>
      <c r="I312" s="514">
        <v>11.5</v>
      </c>
      <c r="J312" s="515">
        <v>248311988.09</v>
      </c>
      <c r="K312" s="514">
        <v>33</v>
      </c>
      <c r="L312" s="515">
        <v>712547444.07000005</v>
      </c>
      <c r="M312" s="514">
        <v>21.5</v>
      </c>
      <c r="N312" s="515">
        <v>464235455.99000001</v>
      </c>
      <c r="O312" s="514">
        <v>0.3519697</v>
      </c>
      <c r="P312" s="515">
        <v>7599851.7599999998</v>
      </c>
      <c r="Q312" s="515">
        <v>-215923.47</v>
      </c>
      <c r="R312" s="515">
        <v>7683007.6500000004</v>
      </c>
      <c r="S312" s="504" t="str">
        <f t="shared" si="4"/>
        <v>53</v>
      </c>
    </row>
    <row r="313" spans="1:20" ht="15" x14ac:dyDescent="0.25">
      <c r="A313" s="513" t="s">
        <v>402</v>
      </c>
      <c r="B313" s="513" t="s">
        <v>1163</v>
      </c>
      <c r="C313" s="513" t="s">
        <v>442</v>
      </c>
      <c r="D313" s="513" t="s">
        <v>405</v>
      </c>
      <c r="E313" s="514">
        <v>35</v>
      </c>
      <c r="F313" s="514">
        <v>-0.01</v>
      </c>
      <c r="G313" s="514">
        <v>2041</v>
      </c>
      <c r="H313" s="515">
        <v>53457.599999999999</v>
      </c>
      <c r="I313" s="514">
        <v>11.5</v>
      </c>
      <c r="J313" s="515">
        <v>614762.4</v>
      </c>
      <c r="K313" s="514">
        <v>31.6</v>
      </c>
      <c r="L313" s="515">
        <v>1689260.16</v>
      </c>
      <c r="M313" s="514">
        <v>19.929283999999999</v>
      </c>
      <c r="N313" s="515">
        <v>1065371.69</v>
      </c>
      <c r="O313" s="514">
        <v>0.37303339000000002</v>
      </c>
      <c r="P313" s="515">
        <v>19941.47</v>
      </c>
      <c r="Q313" s="515">
        <v>-534.58000000000004</v>
      </c>
      <c r="R313" s="515">
        <v>20159.669999999998</v>
      </c>
      <c r="S313" s="504" t="str">
        <f t="shared" si="4"/>
        <v>53</v>
      </c>
    </row>
    <row r="314" spans="1:20" ht="15" x14ac:dyDescent="0.25">
      <c r="A314" s="513" t="s">
        <v>402</v>
      </c>
      <c r="B314" s="513" t="s">
        <v>1163</v>
      </c>
      <c r="C314" s="513" t="s">
        <v>443</v>
      </c>
      <c r="D314" s="513" t="s">
        <v>407</v>
      </c>
      <c r="E314" s="514">
        <v>20</v>
      </c>
      <c r="F314" s="514">
        <v>-0.01</v>
      </c>
      <c r="G314" s="514">
        <v>2041</v>
      </c>
      <c r="H314" s="515">
        <v>43617.18</v>
      </c>
      <c r="I314" s="514">
        <v>11.5</v>
      </c>
      <c r="J314" s="515">
        <v>501597.57</v>
      </c>
      <c r="K314" s="514">
        <v>20</v>
      </c>
      <c r="L314" s="515">
        <v>872343.6</v>
      </c>
      <c r="M314" s="514">
        <v>8.9267330000000005</v>
      </c>
      <c r="N314" s="515">
        <v>389358.92</v>
      </c>
      <c r="O314" s="514">
        <v>0.55920007000000005</v>
      </c>
      <c r="P314" s="515">
        <v>24390.73</v>
      </c>
      <c r="Q314" s="515">
        <v>-436.17</v>
      </c>
      <c r="R314" s="515">
        <v>24657.599999999999</v>
      </c>
      <c r="S314" s="504" t="str">
        <f t="shared" si="4"/>
        <v>53</v>
      </c>
    </row>
    <row r="315" spans="1:20" ht="15" x14ac:dyDescent="0.25">
      <c r="A315" s="513" t="s">
        <v>402</v>
      </c>
      <c r="B315" s="513" t="s">
        <v>1163</v>
      </c>
      <c r="C315" s="513" t="s">
        <v>444</v>
      </c>
      <c r="D315" s="513" t="s">
        <v>123</v>
      </c>
      <c r="E315" s="514"/>
      <c r="F315" s="514">
        <v>-0.01</v>
      </c>
      <c r="G315" s="514">
        <v>2041</v>
      </c>
      <c r="H315" s="515">
        <v>21689421.57</v>
      </c>
      <c r="I315" s="514">
        <v>11.5</v>
      </c>
      <c r="J315" s="515">
        <v>249428348.06</v>
      </c>
      <c r="K315" s="514">
        <v>32.970406590000003</v>
      </c>
      <c r="L315" s="515">
        <v>715109047.83000004</v>
      </c>
      <c r="M315" s="514">
        <v>21.470843980000001</v>
      </c>
      <c r="N315" s="515">
        <v>465690186.60000002</v>
      </c>
      <c r="O315" s="514">
        <v>0.35243835000000001</v>
      </c>
      <c r="P315" s="515">
        <v>7644183.96</v>
      </c>
      <c r="Q315" s="515">
        <v>-216894.22</v>
      </c>
      <c r="R315" s="515">
        <v>7727824.9199999999</v>
      </c>
      <c r="S315" s="504" t="str">
        <f t="shared" si="4"/>
        <v>53</v>
      </c>
    </row>
    <row r="316" spans="1:20" ht="15" x14ac:dyDescent="0.25">
      <c r="A316" s="513" t="s">
        <v>402</v>
      </c>
      <c r="B316" s="513" t="s">
        <v>1163</v>
      </c>
      <c r="C316" s="513" t="s">
        <v>485</v>
      </c>
      <c r="D316" s="513" t="s">
        <v>359</v>
      </c>
      <c r="E316" s="514">
        <v>65</v>
      </c>
      <c r="F316" s="514">
        <v>-0.03</v>
      </c>
      <c r="G316" s="514">
        <v>2041</v>
      </c>
      <c r="H316" s="515">
        <v>10273792.210000001</v>
      </c>
      <c r="I316" s="514">
        <v>11.5</v>
      </c>
      <c r="J316" s="515">
        <v>118148610.42</v>
      </c>
      <c r="K316" s="514">
        <v>33</v>
      </c>
      <c r="L316" s="515">
        <v>339035142.93000001</v>
      </c>
      <c r="M316" s="514">
        <v>21.5</v>
      </c>
      <c r="N316" s="515">
        <v>220886532.52000001</v>
      </c>
      <c r="O316" s="514">
        <v>0.35893939000000002</v>
      </c>
      <c r="P316" s="515">
        <v>3687668.75</v>
      </c>
      <c r="Q316" s="515">
        <v>-308213.77</v>
      </c>
      <c r="R316" s="515">
        <v>3658977.99</v>
      </c>
      <c r="S316" s="504" t="str">
        <f t="shared" si="4"/>
        <v>53</v>
      </c>
    </row>
    <row r="317" spans="1:20" ht="15" x14ac:dyDescent="0.25">
      <c r="A317" s="513" t="s">
        <v>402</v>
      </c>
      <c r="B317" s="513" t="s">
        <v>1163</v>
      </c>
      <c r="C317" s="513" t="s">
        <v>486</v>
      </c>
      <c r="D317" s="513" t="s">
        <v>405</v>
      </c>
      <c r="E317" s="514">
        <v>35</v>
      </c>
      <c r="F317" s="514">
        <v>-0.03</v>
      </c>
      <c r="G317" s="514">
        <v>2041</v>
      </c>
      <c r="H317" s="515">
        <v>21554435.149999999</v>
      </c>
      <c r="I317" s="514">
        <v>11.5</v>
      </c>
      <c r="J317" s="515">
        <v>247876004.22999999</v>
      </c>
      <c r="K317" s="514">
        <v>31.6</v>
      </c>
      <c r="L317" s="515">
        <v>681120150.74000001</v>
      </c>
      <c r="M317" s="514">
        <v>19.929283999999999</v>
      </c>
      <c r="N317" s="515">
        <v>429564459.56</v>
      </c>
      <c r="O317" s="514">
        <v>0.38042025000000002</v>
      </c>
      <c r="P317" s="515">
        <v>8199743.5700000003</v>
      </c>
      <c r="Q317" s="515">
        <v>-646633.05000000005</v>
      </c>
      <c r="R317" s="515">
        <v>8135948.0199999996</v>
      </c>
      <c r="S317" s="504" t="str">
        <f t="shared" si="4"/>
        <v>53</v>
      </c>
    </row>
    <row r="318" spans="1:20" ht="15" x14ac:dyDescent="0.25">
      <c r="A318" s="513" t="s">
        <v>402</v>
      </c>
      <c r="B318" s="513" t="s">
        <v>1163</v>
      </c>
      <c r="C318" s="513" t="s">
        <v>487</v>
      </c>
      <c r="D318" s="513" t="s">
        <v>407</v>
      </c>
      <c r="E318" s="514">
        <v>20</v>
      </c>
      <c r="F318" s="514">
        <v>-0.03</v>
      </c>
      <c r="G318" s="514">
        <v>2041</v>
      </c>
      <c r="H318" s="515">
        <v>12211932.109999999</v>
      </c>
      <c r="I318" s="514">
        <v>10.10743386</v>
      </c>
      <c r="J318" s="515">
        <v>123431296.08</v>
      </c>
      <c r="K318" s="514">
        <v>19.98</v>
      </c>
      <c r="L318" s="515">
        <v>243994403.56</v>
      </c>
      <c r="M318" s="514">
        <v>10.168538</v>
      </c>
      <c r="N318" s="515">
        <v>124177495.70999999</v>
      </c>
      <c r="O318" s="514">
        <v>0.50573754000000004</v>
      </c>
      <c r="P318" s="515">
        <v>6176032.5199999996</v>
      </c>
      <c r="Q318" s="515">
        <v>-366357.96</v>
      </c>
      <c r="R318" s="515">
        <v>6127981.8200000003</v>
      </c>
      <c r="S318" s="504" t="str">
        <f t="shared" si="4"/>
        <v>53</v>
      </c>
    </row>
    <row r="319" spans="1:20" ht="15" x14ac:dyDescent="0.25">
      <c r="A319" s="513" t="s">
        <v>402</v>
      </c>
      <c r="B319" s="513" t="s">
        <v>1163</v>
      </c>
      <c r="C319" s="513" t="s">
        <v>488</v>
      </c>
      <c r="D319" s="513" t="s">
        <v>123</v>
      </c>
      <c r="E319" s="514"/>
      <c r="F319" s="514">
        <v>-0.03</v>
      </c>
      <c r="G319" s="514">
        <v>2041</v>
      </c>
      <c r="H319" s="515">
        <v>44040159.469999999</v>
      </c>
      <c r="I319" s="514">
        <v>11.11385419</v>
      </c>
      <c r="J319" s="515">
        <v>489455910.72000003</v>
      </c>
      <c r="K319" s="514">
        <v>28.70447592</v>
      </c>
      <c r="L319" s="515">
        <v>1264149697.23</v>
      </c>
      <c r="M319" s="514">
        <v>17.589139029999998</v>
      </c>
      <c r="N319" s="515">
        <v>774628487.78999996</v>
      </c>
      <c r="O319" s="514">
        <v>0.41015847999999999</v>
      </c>
      <c r="P319" s="515">
        <v>18063444.84</v>
      </c>
      <c r="Q319" s="515">
        <v>-1321204.78</v>
      </c>
      <c r="R319" s="515">
        <v>17922907.829999998</v>
      </c>
      <c r="S319" s="504" t="str">
        <f t="shared" si="4"/>
        <v>53</v>
      </c>
    </row>
    <row r="320" spans="1:20" ht="15" x14ac:dyDescent="0.25">
      <c r="A320" s="513" t="s">
        <v>402</v>
      </c>
      <c r="B320" s="513" t="s">
        <v>1163</v>
      </c>
      <c r="C320" s="513" t="s">
        <v>549</v>
      </c>
      <c r="D320" s="513" t="s">
        <v>359</v>
      </c>
      <c r="E320" s="514">
        <v>65</v>
      </c>
      <c r="F320" s="514">
        <v>-0.03</v>
      </c>
      <c r="G320" s="514">
        <v>2041</v>
      </c>
      <c r="H320" s="515">
        <v>3521925.86</v>
      </c>
      <c r="I320" s="514">
        <v>11.5</v>
      </c>
      <c r="J320" s="515">
        <v>40502147.390000001</v>
      </c>
      <c r="K320" s="514">
        <v>33</v>
      </c>
      <c r="L320" s="515">
        <v>116223553.38</v>
      </c>
      <c r="M320" s="514">
        <v>21.5</v>
      </c>
      <c r="N320" s="515">
        <v>75721405.989999995</v>
      </c>
      <c r="O320" s="514">
        <v>0.35893939000000002</v>
      </c>
      <c r="P320" s="515">
        <v>1264157.93</v>
      </c>
      <c r="Q320" s="515">
        <v>-105657.78</v>
      </c>
      <c r="R320" s="515">
        <v>1387236.99</v>
      </c>
      <c r="S320" s="504" t="str">
        <f t="shared" si="4"/>
        <v>53</v>
      </c>
    </row>
    <row r="321" spans="1:19" ht="15" x14ac:dyDescent="0.25">
      <c r="A321" s="513" t="s">
        <v>402</v>
      </c>
      <c r="B321" s="513" t="s">
        <v>1163</v>
      </c>
      <c r="C321" s="513" t="s">
        <v>550</v>
      </c>
      <c r="D321" s="513" t="s">
        <v>405</v>
      </c>
      <c r="E321" s="514">
        <v>35</v>
      </c>
      <c r="F321" s="514">
        <v>-0.03</v>
      </c>
      <c r="G321" s="514">
        <v>2041</v>
      </c>
      <c r="H321" s="515">
        <v>7242406.8799999999</v>
      </c>
      <c r="I321" s="514">
        <v>11.45839868</v>
      </c>
      <c r="J321" s="515">
        <v>82986385.439999998</v>
      </c>
      <c r="K321" s="514">
        <v>31.56</v>
      </c>
      <c r="L321" s="515">
        <v>228570361.13</v>
      </c>
      <c r="M321" s="514">
        <v>19.938873000000001</v>
      </c>
      <c r="N321" s="515">
        <v>144405430.99000001</v>
      </c>
      <c r="O321" s="514">
        <v>0.37919919000000002</v>
      </c>
      <c r="P321" s="515">
        <v>2746314.82</v>
      </c>
      <c r="Q321" s="515">
        <v>-217272.21</v>
      </c>
      <c r="R321" s="515">
        <v>3013697.44</v>
      </c>
      <c r="S321" s="504" t="str">
        <f t="shared" si="4"/>
        <v>53</v>
      </c>
    </row>
    <row r="322" spans="1:19" ht="15" x14ac:dyDescent="0.25">
      <c r="A322" s="513" t="s">
        <v>402</v>
      </c>
      <c r="B322" s="513" t="s">
        <v>1163</v>
      </c>
      <c r="C322" s="513" t="s">
        <v>551</v>
      </c>
      <c r="D322" s="513" t="s">
        <v>407</v>
      </c>
      <c r="E322" s="514">
        <v>20</v>
      </c>
      <c r="F322" s="514">
        <v>-0.03</v>
      </c>
      <c r="G322" s="514">
        <v>2041</v>
      </c>
      <c r="H322" s="515">
        <v>2997089.3</v>
      </c>
      <c r="I322" s="514">
        <v>11.300391189999999</v>
      </c>
      <c r="J322" s="515">
        <v>33868281.509999998</v>
      </c>
      <c r="K322" s="514">
        <v>19.989999999999998</v>
      </c>
      <c r="L322" s="515">
        <v>59911815.109999999</v>
      </c>
      <c r="M322" s="514">
        <v>9.1062390000000004</v>
      </c>
      <c r="N322" s="515">
        <v>27292211.469999999</v>
      </c>
      <c r="O322" s="514">
        <v>0.56087958999999998</v>
      </c>
      <c r="P322" s="515">
        <v>1681006.23</v>
      </c>
      <c r="Q322" s="515">
        <v>-89912.68</v>
      </c>
      <c r="R322" s="515">
        <v>1844669.86</v>
      </c>
      <c r="S322" s="504" t="str">
        <f t="shared" ref="S322:S385" si="5">MID(C322,5,2)</f>
        <v>53</v>
      </c>
    </row>
    <row r="323" spans="1:19" ht="15" x14ac:dyDescent="0.25">
      <c r="A323" s="513" t="s">
        <v>402</v>
      </c>
      <c r="B323" s="513" t="s">
        <v>1163</v>
      </c>
      <c r="C323" s="513" t="s">
        <v>552</v>
      </c>
      <c r="D323" s="513" t="s">
        <v>123</v>
      </c>
      <c r="E323" s="514"/>
      <c r="F323" s="514">
        <v>-0.03</v>
      </c>
      <c r="G323" s="514">
        <v>2041</v>
      </c>
      <c r="H323" s="515">
        <v>13761422.039999999</v>
      </c>
      <c r="I323" s="514">
        <v>11.434633270000001</v>
      </c>
      <c r="J323" s="515">
        <v>157356814.34</v>
      </c>
      <c r="K323" s="514">
        <v>29.40871434</v>
      </c>
      <c r="L323" s="515">
        <v>404705729.62</v>
      </c>
      <c r="M323" s="514">
        <v>17.979177419999999</v>
      </c>
      <c r="N323" s="515">
        <v>247419048.44999999</v>
      </c>
      <c r="O323" s="514">
        <v>0.41358218000000002</v>
      </c>
      <c r="P323" s="515">
        <v>5691478.9800000004</v>
      </c>
      <c r="Q323" s="515">
        <v>-412842.66</v>
      </c>
      <c r="R323" s="515">
        <v>6245604.29</v>
      </c>
      <c r="S323" s="504" t="str">
        <f t="shared" si="5"/>
        <v>53</v>
      </c>
    </row>
    <row r="324" spans="1:19" ht="15" x14ac:dyDescent="0.25">
      <c r="A324" s="513" t="s">
        <v>402</v>
      </c>
      <c r="B324" s="513" t="s">
        <v>1163</v>
      </c>
      <c r="C324" s="513" t="s">
        <v>589</v>
      </c>
      <c r="D324" s="513" t="s">
        <v>359</v>
      </c>
      <c r="E324" s="514">
        <v>65</v>
      </c>
      <c r="F324" s="514">
        <v>-0.01</v>
      </c>
      <c r="G324" s="514">
        <v>2041</v>
      </c>
      <c r="H324" s="515">
        <v>658122.23</v>
      </c>
      <c r="I324" s="514">
        <v>11.5</v>
      </c>
      <c r="J324" s="515">
        <v>7568405.6500000004</v>
      </c>
      <c r="K324" s="514">
        <v>33</v>
      </c>
      <c r="L324" s="515">
        <v>21718033.59</v>
      </c>
      <c r="M324" s="514">
        <v>21.5</v>
      </c>
      <c r="N324" s="515">
        <v>14149627.949999999</v>
      </c>
      <c r="O324" s="514">
        <v>0.35196969</v>
      </c>
      <c r="P324" s="515">
        <v>231639.08</v>
      </c>
      <c r="Q324" s="515">
        <v>-6581.22</v>
      </c>
      <c r="R324" s="515">
        <v>249575.75</v>
      </c>
      <c r="S324" s="504" t="str">
        <f t="shared" si="5"/>
        <v>53</v>
      </c>
    </row>
    <row r="325" spans="1:19" ht="15" x14ac:dyDescent="0.25">
      <c r="A325" s="513" t="s">
        <v>402</v>
      </c>
      <c r="B325" s="513" t="s">
        <v>1163</v>
      </c>
      <c r="C325" s="513" t="s">
        <v>590</v>
      </c>
      <c r="D325" s="513" t="s">
        <v>405</v>
      </c>
      <c r="E325" s="514">
        <v>35</v>
      </c>
      <c r="F325" s="514">
        <v>-0.01</v>
      </c>
      <c r="G325" s="514">
        <v>2041</v>
      </c>
      <c r="H325" s="515">
        <v>132534.04999999999</v>
      </c>
      <c r="I325" s="514">
        <v>11.5</v>
      </c>
      <c r="J325" s="515">
        <v>1524141.58</v>
      </c>
      <c r="K325" s="514">
        <v>31.6</v>
      </c>
      <c r="L325" s="515">
        <v>4188075.98</v>
      </c>
      <c r="M325" s="514">
        <v>19.929283999999999</v>
      </c>
      <c r="N325" s="515">
        <v>2641308.7200000002</v>
      </c>
      <c r="O325" s="514">
        <v>0.37303342</v>
      </c>
      <c r="P325" s="515">
        <v>49439.63</v>
      </c>
      <c r="Q325" s="515">
        <v>-1325.34</v>
      </c>
      <c r="R325" s="515">
        <v>53267.92</v>
      </c>
      <c r="S325" s="504" t="str">
        <f t="shared" si="5"/>
        <v>53</v>
      </c>
    </row>
    <row r="326" spans="1:19" ht="15" x14ac:dyDescent="0.25">
      <c r="A326" s="513" t="s">
        <v>402</v>
      </c>
      <c r="B326" s="513" t="s">
        <v>1163</v>
      </c>
      <c r="C326" s="513" t="s">
        <v>591</v>
      </c>
      <c r="D326" s="513" t="s">
        <v>407</v>
      </c>
      <c r="E326" s="514">
        <v>20</v>
      </c>
      <c r="F326" s="514">
        <v>-0.01</v>
      </c>
      <c r="G326" s="514">
        <v>2041</v>
      </c>
      <c r="H326" s="515">
        <v>34027.230000000003</v>
      </c>
      <c r="I326" s="514">
        <v>11.5</v>
      </c>
      <c r="J326" s="515">
        <v>391313.15</v>
      </c>
      <c r="K326" s="514">
        <v>20</v>
      </c>
      <c r="L326" s="515">
        <v>680544.6</v>
      </c>
      <c r="M326" s="514">
        <v>8.9267330000000005</v>
      </c>
      <c r="N326" s="515">
        <v>303752</v>
      </c>
      <c r="O326" s="514">
        <v>0.55920009000000004</v>
      </c>
      <c r="P326" s="515">
        <v>19028.03</v>
      </c>
      <c r="Q326" s="515">
        <v>-340.27</v>
      </c>
      <c r="R326" s="515">
        <v>20501.45</v>
      </c>
      <c r="S326" s="504" t="str">
        <f t="shared" si="5"/>
        <v>53</v>
      </c>
    </row>
    <row r="327" spans="1:19" ht="15" x14ac:dyDescent="0.25">
      <c r="A327" s="513" t="s">
        <v>402</v>
      </c>
      <c r="B327" s="513" t="s">
        <v>1163</v>
      </c>
      <c r="C327" s="513" t="s">
        <v>592</v>
      </c>
      <c r="D327" s="513" t="s">
        <v>123</v>
      </c>
      <c r="E327" s="514"/>
      <c r="F327" s="514">
        <v>-0.01</v>
      </c>
      <c r="G327" s="514">
        <v>2041</v>
      </c>
      <c r="H327" s="515">
        <v>824683.51</v>
      </c>
      <c r="I327" s="514">
        <v>11.5</v>
      </c>
      <c r="J327" s="515">
        <v>9483860.3699999992</v>
      </c>
      <c r="K327" s="514">
        <v>32.238614990000002</v>
      </c>
      <c r="L327" s="515">
        <v>26586654.170000002</v>
      </c>
      <c r="M327" s="514">
        <v>20.728786809999999</v>
      </c>
      <c r="N327" s="515">
        <v>17094688.66</v>
      </c>
      <c r="O327" s="514">
        <v>0.36390535000000002</v>
      </c>
      <c r="P327" s="515">
        <v>300106.74</v>
      </c>
      <c r="Q327" s="515">
        <v>-8246.84</v>
      </c>
      <c r="R327" s="515">
        <v>323345.12</v>
      </c>
      <c r="S327" s="504" t="str">
        <f t="shared" si="5"/>
        <v>53</v>
      </c>
    </row>
    <row r="328" spans="1:19" ht="15" x14ac:dyDescent="0.25">
      <c r="A328" s="513" t="s">
        <v>402</v>
      </c>
      <c r="B328" s="513" t="s">
        <v>1163</v>
      </c>
      <c r="C328" s="513" t="s">
        <v>445</v>
      </c>
      <c r="D328" s="513" t="s">
        <v>359</v>
      </c>
      <c r="E328" s="514">
        <v>60</v>
      </c>
      <c r="F328" s="514">
        <v>-0.01</v>
      </c>
      <c r="G328" s="514">
        <v>2045</v>
      </c>
      <c r="H328" s="515">
        <v>16781793.32</v>
      </c>
      <c r="I328" s="514">
        <v>12.5</v>
      </c>
      <c r="J328" s="515">
        <v>209772416.5</v>
      </c>
      <c r="K328" s="514">
        <v>38</v>
      </c>
      <c r="L328" s="515">
        <v>637708146.15999997</v>
      </c>
      <c r="M328" s="514">
        <v>25.5</v>
      </c>
      <c r="N328" s="515">
        <v>427935729.66000003</v>
      </c>
      <c r="O328" s="514">
        <v>0.33223683999999998</v>
      </c>
      <c r="P328" s="515">
        <v>5575530.0199999996</v>
      </c>
      <c r="Q328" s="515">
        <v>-167817.93</v>
      </c>
      <c r="R328" s="515">
        <v>5032449.9000000004</v>
      </c>
      <c r="S328" s="504" t="str">
        <f t="shared" si="5"/>
        <v>54</v>
      </c>
    </row>
    <row r="329" spans="1:19" ht="15" x14ac:dyDescent="0.25">
      <c r="A329" s="513" t="s">
        <v>402</v>
      </c>
      <c r="B329" s="513" t="s">
        <v>1163</v>
      </c>
      <c r="C329" s="513" t="s">
        <v>446</v>
      </c>
      <c r="D329" s="513" t="s">
        <v>405</v>
      </c>
      <c r="E329" s="514">
        <v>35</v>
      </c>
      <c r="F329" s="514">
        <v>-0.01</v>
      </c>
      <c r="G329" s="514">
        <v>2045</v>
      </c>
      <c r="H329" s="515">
        <v>41552.78</v>
      </c>
      <c r="I329" s="514">
        <v>12.5</v>
      </c>
      <c r="J329" s="515">
        <v>519409.75</v>
      </c>
      <c r="K329" s="514">
        <v>34.1</v>
      </c>
      <c r="L329" s="515">
        <v>1416949.8</v>
      </c>
      <c r="M329" s="514">
        <v>21.273990000000001</v>
      </c>
      <c r="N329" s="515">
        <v>883993.43</v>
      </c>
      <c r="O329" s="514">
        <v>0.37990309999999999</v>
      </c>
      <c r="P329" s="515">
        <v>15786.03</v>
      </c>
      <c r="Q329" s="515">
        <v>-415.53</v>
      </c>
      <c r="R329" s="515">
        <v>14248.4</v>
      </c>
      <c r="S329" s="504" t="str">
        <f t="shared" si="5"/>
        <v>54</v>
      </c>
    </row>
    <row r="330" spans="1:19" ht="15" x14ac:dyDescent="0.25">
      <c r="A330" s="513" t="s">
        <v>402</v>
      </c>
      <c r="B330" s="513" t="s">
        <v>1163</v>
      </c>
      <c r="C330" s="513" t="s">
        <v>447</v>
      </c>
      <c r="D330" s="513" t="s">
        <v>407</v>
      </c>
      <c r="E330" s="514">
        <v>20</v>
      </c>
      <c r="F330" s="514">
        <v>-0.01</v>
      </c>
      <c r="G330" s="514">
        <v>2045</v>
      </c>
      <c r="H330" s="515">
        <v>33903.79</v>
      </c>
      <c r="I330" s="514">
        <v>12.5</v>
      </c>
      <c r="J330" s="515">
        <v>423797.38</v>
      </c>
      <c r="K330" s="514">
        <v>20</v>
      </c>
      <c r="L330" s="515">
        <v>678075.8</v>
      </c>
      <c r="M330" s="514">
        <v>8.1383229999999998</v>
      </c>
      <c r="N330" s="515">
        <v>275919.99</v>
      </c>
      <c r="O330" s="514">
        <v>0.59901473999999999</v>
      </c>
      <c r="P330" s="515">
        <v>20308.87</v>
      </c>
      <c r="Q330" s="515">
        <v>-339.04</v>
      </c>
      <c r="R330" s="515">
        <v>18330.7</v>
      </c>
      <c r="S330" s="504" t="str">
        <f t="shared" si="5"/>
        <v>54</v>
      </c>
    </row>
    <row r="331" spans="1:19" ht="15" x14ac:dyDescent="0.25">
      <c r="A331" s="513" t="s">
        <v>402</v>
      </c>
      <c r="B331" s="513" t="s">
        <v>1163</v>
      </c>
      <c r="C331" s="513" t="s">
        <v>448</v>
      </c>
      <c r="D331" s="513" t="s">
        <v>123</v>
      </c>
      <c r="E331" s="514"/>
      <c r="F331" s="514">
        <v>-0.01</v>
      </c>
      <c r="G331" s="514">
        <v>2045</v>
      </c>
      <c r="H331" s="515">
        <v>16857249.890000001</v>
      </c>
      <c r="I331" s="514">
        <v>12.5</v>
      </c>
      <c r="J331" s="515">
        <v>210715623.63</v>
      </c>
      <c r="K331" s="514">
        <v>37.95418446</v>
      </c>
      <c r="L331" s="515">
        <v>639803171.75999999</v>
      </c>
      <c r="M331" s="514">
        <v>25.454664659999999</v>
      </c>
      <c r="N331" s="515">
        <v>429095643.07999998</v>
      </c>
      <c r="O331" s="514">
        <v>0.33289088999999999</v>
      </c>
      <c r="P331" s="515">
        <v>5611624.9199999999</v>
      </c>
      <c r="Q331" s="515">
        <v>-168572.5</v>
      </c>
      <c r="R331" s="515">
        <v>5065029</v>
      </c>
      <c r="S331" s="504" t="str">
        <f t="shared" si="5"/>
        <v>54</v>
      </c>
    </row>
    <row r="332" spans="1:19" ht="15" x14ac:dyDescent="0.25">
      <c r="A332" s="513" t="s">
        <v>402</v>
      </c>
      <c r="B332" s="513" t="s">
        <v>1163</v>
      </c>
      <c r="C332" s="513" t="s">
        <v>489</v>
      </c>
      <c r="D332" s="513" t="s">
        <v>359</v>
      </c>
      <c r="E332" s="514">
        <v>60</v>
      </c>
      <c r="F332" s="514">
        <v>-0.03</v>
      </c>
      <c r="G332" s="514">
        <v>2045</v>
      </c>
      <c r="H332" s="515">
        <v>8137425.3700000001</v>
      </c>
      <c r="I332" s="514">
        <v>12.14324588</v>
      </c>
      <c r="J332" s="515">
        <v>98814757.109999999</v>
      </c>
      <c r="K332" s="514">
        <v>37.51</v>
      </c>
      <c r="L332" s="515">
        <v>305234825.63</v>
      </c>
      <c r="M332" s="514">
        <v>25.5</v>
      </c>
      <c r="N332" s="515">
        <v>207504346.94</v>
      </c>
      <c r="O332" s="514">
        <v>0.32970894000000001</v>
      </c>
      <c r="P332" s="515">
        <v>2682981.9</v>
      </c>
      <c r="Q332" s="515">
        <v>-244122.76</v>
      </c>
      <c r="R332" s="515">
        <v>1996545.29</v>
      </c>
      <c r="S332" s="504" t="str">
        <f t="shared" si="5"/>
        <v>54</v>
      </c>
    </row>
    <row r="333" spans="1:19" ht="15" x14ac:dyDescent="0.25">
      <c r="A333" s="513" t="s">
        <v>402</v>
      </c>
      <c r="B333" s="513" t="s">
        <v>1163</v>
      </c>
      <c r="C333" s="513" t="s">
        <v>490</v>
      </c>
      <c r="D333" s="513" t="s">
        <v>405</v>
      </c>
      <c r="E333" s="514">
        <v>35</v>
      </c>
      <c r="F333" s="514">
        <v>-0.03</v>
      </c>
      <c r="G333" s="514">
        <v>2045</v>
      </c>
      <c r="H333" s="515">
        <v>16919317.530000001</v>
      </c>
      <c r="I333" s="514">
        <v>12.113546149999999</v>
      </c>
      <c r="J333" s="515">
        <v>204952933.71000001</v>
      </c>
      <c r="K333" s="514">
        <v>33.81</v>
      </c>
      <c r="L333" s="515">
        <v>572042125.69000006</v>
      </c>
      <c r="M333" s="514">
        <v>21.460412000000002</v>
      </c>
      <c r="N333" s="515">
        <v>363095524.94999999</v>
      </c>
      <c r="O333" s="514">
        <v>0.37618541999999999</v>
      </c>
      <c r="P333" s="515">
        <v>6364800.5800000001</v>
      </c>
      <c r="Q333" s="515">
        <v>-507579.53</v>
      </c>
      <c r="R333" s="515">
        <v>4736376.57</v>
      </c>
      <c r="S333" s="504" t="str">
        <f t="shared" si="5"/>
        <v>54</v>
      </c>
    </row>
    <row r="334" spans="1:19" ht="15" x14ac:dyDescent="0.25">
      <c r="A334" s="513" t="s">
        <v>402</v>
      </c>
      <c r="B334" s="513" t="s">
        <v>1163</v>
      </c>
      <c r="C334" s="513" t="s">
        <v>491</v>
      </c>
      <c r="D334" s="513" t="s">
        <v>407</v>
      </c>
      <c r="E334" s="514">
        <v>20</v>
      </c>
      <c r="F334" s="514">
        <v>-0.03</v>
      </c>
      <c r="G334" s="514">
        <v>2045</v>
      </c>
      <c r="H334" s="515">
        <v>5316448.2699999996</v>
      </c>
      <c r="I334" s="514">
        <v>6.95506549</v>
      </c>
      <c r="J334" s="515">
        <v>36976245.880000003</v>
      </c>
      <c r="K334" s="514">
        <v>20</v>
      </c>
      <c r="L334" s="515">
        <v>106328965.40000001</v>
      </c>
      <c r="M334" s="514">
        <v>13.274353</v>
      </c>
      <c r="N334" s="515">
        <v>70572411.040000007</v>
      </c>
      <c r="O334" s="514">
        <v>0.34637080999999997</v>
      </c>
      <c r="P334" s="515">
        <v>1841462.48</v>
      </c>
      <c r="Q334" s="515">
        <v>-159493.45000000001</v>
      </c>
      <c r="R334" s="515">
        <v>1370327.26</v>
      </c>
      <c r="S334" s="504" t="str">
        <f t="shared" si="5"/>
        <v>54</v>
      </c>
    </row>
    <row r="335" spans="1:19" ht="15" x14ac:dyDescent="0.25">
      <c r="A335" s="513" t="s">
        <v>402</v>
      </c>
      <c r="B335" s="513" t="s">
        <v>1163</v>
      </c>
      <c r="C335" s="513" t="s">
        <v>492</v>
      </c>
      <c r="D335" s="513" t="s">
        <v>123</v>
      </c>
      <c r="E335" s="514"/>
      <c r="F335" s="514">
        <v>-0.03</v>
      </c>
      <c r="G335" s="514">
        <v>2045</v>
      </c>
      <c r="H335" s="515">
        <v>30373191.170000002</v>
      </c>
      <c r="I335" s="514">
        <v>11.218575449999999</v>
      </c>
      <c r="J335" s="515">
        <v>340743936.69999999</v>
      </c>
      <c r="K335" s="514">
        <v>32.384016260000003</v>
      </c>
      <c r="L335" s="515">
        <v>983605916.72000003</v>
      </c>
      <c r="M335" s="514">
        <v>21.109809609999999</v>
      </c>
      <c r="N335" s="515">
        <v>641172282.92999995</v>
      </c>
      <c r="O335" s="514">
        <v>0.35851501000000002</v>
      </c>
      <c r="P335" s="515">
        <v>10889244.960000001</v>
      </c>
      <c r="Q335" s="515">
        <v>-911195.74</v>
      </c>
      <c r="R335" s="515">
        <v>8103249.1200000001</v>
      </c>
      <c r="S335" s="504" t="str">
        <f t="shared" si="5"/>
        <v>54</v>
      </c>
    </row>
    <row r="336" spans="1:19" ht="15" x14ac:dyDescent="0.25">
      <c r="A336" s="513" t="s">
        <v>402</v>
      </c>
      <c r="B336" s="513" t="s">
        <v>1163</v>
      </c>
      <c r="C336" s="513" t="s">
        <v>553</v>
      </c>
      <c r="D336" s="513" t="s">
        <v>359</v>
      </c>
      <c r="E336" s="514">
        <v>60</v>
      </c>
      <c r="F336" s="514">
        <v>-0.03</v>
      </c>
      <c r="G336" s="514">
        <v>2045</v>
      </c>
      <c r="H336" s="515">
        <v>2737605.37</v>
      </c>
      <c r="I336" s="514">
        <v>12.5</v>
      </c>
      <c r="J336" s="515">
        <v>34220067.130000003</v>
      </c>
      <c r="K336" s="514">
        <v>38</v>
      </c>
      <c r="L336" s="515">
        <v>104029004.06</v>
      </c>
      <c r="M336" s="514">
        <v>25.5</v>
      </c>
      <c r="N336" s="515">
        <v>69808936.939999998</v>
      </c>
      <c r="O336" s="514">
        <v>0.33881579000000001</v>
      </c>
      <c r="P336" s="515">
        <v>927543.92</v>
      </c>
      <c r="Q336" s="515">
        <v>-82128.160000000003</v>
      </c>
      <c r="R336" s="515">
        <v>1071600.27</v>
      </c>
      <c r="S336" s="504" t="str">
        <f t="shared" si="5"/>
        <v>54</v>
      </c>
    </row>
    <row r="337" spans="1:19" ht="15" x14ac:dyDescent="0.25">
      <c r="A337" s="513" t="s">
        <v>402</v>
      </c>
      <c r="B337" s="513" t="s">
        <v>1163</v>
      </c>
      <c r="C337" s="513" t="s">
        <v>554</v>
      </c>
      <c r="D337" s="513" t="s">
        <v>405</v>
      </c>
      <c r="E337" s="514">
        <v>35</v>
      </c>
      <c r="F337" s="514">
        <v>-0.03</v>
      </c>
      <c r="G337" s="514">
        <v>2045</v>
      </c>
      <c r="H337" s="515">
        <v>5631820.0599999996</v>
      </c>
      <c r="I337" s="514">
        <v>12.5</v>
      </c>
      <c r="J337" s="515">
        <v>70397750.75</v>
      </c>
      <c r="K337" s="514">
        <v>34.1</v>
      </c>
      <c r="L337" s="515">
        <v>192045064.05000001</v>
      </c>
      <c r="M337" s="514">
        <v>21.273990000000001</v>
      </c>
      <c r="N337" s="515">
        <v>119811283.64</v>
      </c>
      <c r="O337" s="514">
        <v>0.38742605000000002</v>
      </c>
      <c r="P337" s="515">
        <v>2181913.8199999998</v>
      </c>
      <c r="Q337" s="515">
        <v>-168954.6</v>
      </c>
      <c r="R337" s="515">
        <v>2520785.69</v>
      </c>
      <c r="S337" s="504" t="str">
        <f t="shared" si="5"/>
        <v>54</v>
      </c>
    </row>
    <row r="338" spans="1:19" ht="15" x14ac:dyDescent="0.25">
      <c r="A338" s="513" t="s">
        <v>402</v>
      </c>
      <c r="B338" s="513" t="s">
        <v>1163</v>
      </c>
      <c r="C338" s="513" t="s">
        <v>555</v>
      </c>
      <c r="D338" s="513" t="s">
        <v>407</v>
      </c>
      <c r="E338" s="514">
        <v>20</v>
      </c>
      <c r="F338" s="514">
        <v>-0.03</v>
      </c>
      <c r="G338" s="514">
        <v>2045</v>
      </c>
      <c r="H338" s="515">
        <v>2272601.4</v>
      </c>
      <c r="I338" s="514">
        <v>12.5</v>
      </c>
      <c r="J338" s="515">
        <v>28407517.5</v>
      </c>
      <c r="K338" s="514">
        <v>20</v>
      </c>
      <c r="L338" s="515">
        <v>45452028</v>
      </c>
      <c r="M338" s="514">
        <v>8.1383229999999998</v>
      </c>
      <c r="N338" s="515">
        <v>18495164.239999998</v>
      </c>
      <c r="O338" s="514">
        <v>0.61087639000000005</v>
      </c>
      <c r="P338" s="515">
        <v>1388278.53</v>
      </c>
      <c r="Q338" s="515">
        <v>-68178.039999999994</v>
      </c>
      <c r="R338" s="515">
        <v>1603891.32</v>
      </c>
      <c r="S338" s="504" t="str">
        <f t="shared" si="5"/>
        <v>54</v>
      </c>
    </row>
    <row r="339" spans="1:19" ht="15" x14ac:dyDescent="0.25">
      <c r="A339" s="513" t="s">
        <v>402</v>
      </c>
      <c r="B339" s="513" t="s">
        <v>1163</v>
      </c>
      <c r="C339" s="513" t="s">
        <v>556</v>
      </c>
      <c r="D339" s="513" t="s">
        <v>123</v>
      </c>
      <c r="E339" s="514"/>
      <c r="F339" s="514">
        <v>-0.03</v>
      </c>
      <c r="G339" s="514">
        <v>2045</v>
      </c>
      <c r="H339" s="515">
        <v>10642026.83</v>
      </c>
      <c r="I339" s="514">
        <v>12.5</v>
      </c>
      <c r="J339" s="515">
        <v>133025335.38</v>
      </c>
      <c r="K339" s="514">
        <v>32.092204010000003</v>
      </c>
      <c r="L339" s="515">
        <v>341526096.11000001</v>
      </c>
      <c r="M339" s="514">
        <v>19.555991370000001</v>
      </c>
      <c r="N339" s="515">
        <v>208115384.81999999</v>
      </c>
      <c r="O339" s="514">
        <v>0.42263907000000001</v>
      </c>
      <c r="P339" s="515">
        <v>4497736.2699999996</v>
      </c>
      <c r="Q339" s="515">
        <v>-319260.79999999999</v>
      </c>
      <c r="R339" s="515">
        <v>5196277.28</v>
      </c>
      <c r="S339" s="504" t="str">
        <f t="shared" si="5"/>
        <v>54</v>
      </c>
    </row>
    <row r="340" spans="1:19" ht="15" x14ac:dyDescent="0.25">
      <c r="A340" s="513" t="s">
        <v>402</v>
      </c>
      <c r="B340" s="513" t="s">
        <v>1163</v>
      </c>
      <c r="C340" s="513" t="s">
        <v>593</v>
      </c>
      <c r="D340" s="513" t="s">
        <v>359</v>
      </c>
      <c r="E340" s="514">
        <v>60</v>
      </c>
      <c r="F340" s="514">
        <v>-0.01</v>
      </c>
      <c r="G340" s="514">
        <v>2045</v>
      </c>
      <c r="H340" s="515">
        <v>555474.96</v>
      </c>
      <c r="I340" s="514">
        <v>12.5</v>
      </c>
      <c r="J340" s="515">
        <v>6943437</v>
      </c>
      <c r="K340" s="514">
        <v>38</v>
      </c>
      <c r="L340" s="515">
        <v>21108048.48</v>
      </c>
      <c r="M340" s="514">
        <v>25.5</v>
      </c>
      <c r="N340" s="515">
        <v>14164611.48</v>
      </c>
      <c r="O340" s="514">
        <v>0.33223684999999997</v>
      </c>
      <c r="P340" s="515">
        <v>184549.25</v>
      </c>
      <c r="Q340" s="515">
        <v>-5554.75</v>
      </c>
      <c r="R340" s="515">
        <v>222047.03</v>
      </c>
      <c r="S340" s="504" t="str">
        <f t="shared" si="5"/>
        <v>54</v>
      </c>
    </row>
    <row r="341" spans="1:19" ht="15" x14ac:dyDescent="0.25">
      <c r="A341" s="513" t="s">
        <v>402</v>
      </c>
      <c r="B341" s="513" t="s">
        <v>1163</v>
      </c>
      <c r="C341" s="513" t="s">
        <v>594</v>
      </c>
      <c r="D341" s="513" t="s">
        <v>405</v>
      </c>
      <c r="E341" s="514">
        <v>35</v>
      </c>
      <c r="F341" s="514">
        <v>-0.01</v>
      </c>
      <c r="G341" s="514">
        <v>2045</v>
      </c>
      <c r="H341" s="515">
        <v>132459.4</v>
      </c>
      <c r="I341" s="514">
        <v>12.5</v>
      </c>
      <c r="J341" s="515">
        <v>1655742.5</v>
      </c>
      <c r="K341" s="514">
        <v>34.1</v>
      </c>
      <c r="L341" s="515">
        <v>4516865.54</v>
      </c>
      <c r="M341" s="514">
        <v>21.273990000000001</v>
      </c>
      <c r="N341" s="515">
        <v>2817939.95</v>
      </c>
      <c r="O341" s="514">
        <v>0.3799032</v>
      </c>
      <c r="P341" s="515">
        <v>50321.75</v>
      </c>
      <c r="Q341" s="515">
        <v>-1324.59</v>
      </c>
      <c r="R341" s="515">
        <v>60546.41</v>
      </c>
      <c r="S341" s="504" t="str">
        <f t="shared" si="5"/>
        <v>54</v>
      </c>
    </row>
    <row r="342" spans="1:19" ht="15" x14ac:dyDescent="0.25">
      <c r="A342" s="513" t="s">
        <v>402</v>
      </c>
      <c r="B342" s="513" t="s">
        <v>1163</v>
      </c>
      <c r="C342" s="513" t="s">
        <v>595</v>
      </c>
      <c r="D342" s="513" t="s">
        <v>123</v>
      </c>
      <c r="E342" s="514"/>
      <c r="F342" s="514">
        <v>-0.01</v>
      </c>
      <c r="G342" s="514">
        <v>2045</v>
      </c>
      <c r="H342" s="515">
        <v>687934.36</v>
      </c>
      <c r="I342" s="514">
        <v>12.5</v>
      </c>
      <c r="J342" s="515">
        <v>8599179.5</v>
      </c>
      <c r="K342" s="514">
        <v>37.249068379999997</v>
      </c>
      <c r="L342" s="515">
        <v>25624914.02</v>
      </c>
      <c r="M342" s="514">
        <v>24.686296280000001</v>
      </c>
      <c r="N342" s="515">
        <v>16982551.43</v>
      </c>
      <c r="O342" s="514">
        <v>0.34141484</v>
      </c>
      <c r="P342" s="515">
        <v>234871</v>
      </c>
      <c r="Q342" s="515">
        <v>-6879.34</v>
      </c>
      <c r="R342" s="515">
        <v>282593.44</v>
      </c>
      <c r="S342" s="504" t="str">
        <f t="shared" si="5"/>
        <v>54</v>
      </c>
    </row>
    <row r="343" spans="1:19" ht="15" x14ac:dyDescent="0.25">
      <c r="A343" s="513" t="s">
        <v>402</v>
      </c>
      <c r="B343" s="513" t="s">
        <v>1163</v>
      </c>
      <c r="C343" s="513" t="s">
        <v>634</v>
      </c>
      <c r="D343" s="513" t="s">
        <v>359</v>
      </c>
      <c r="E343" s="514">
        <v>51</v>
      </c>
      <c r="F343" s="514">
        <v>-0.02</v>
      </c>
      <c r="G343" s="514">
        <v>2047</v>
      </c>
      <c r="H343" s="515">
        <v>161994230.56</v>
      </c>
      <c r="I343" s="514">
        <v>10.87378133</v>
      </c>
      <c r="J343" s="515">
        <v>1761489840.3399999</v>
      </c>
      <c r="K343" s="514">
        <v>36.26</v>
      </c>
      <c r="L343" s="515">
        <v>5873910800.1099997</v>
      </c>
      <c r="M343" s="514">
        <v>27.5</v>
      </c>
      <c r="N343" s="515">
        <v>4454841340.3999996</v>
      </c>
      <c r="O343" s="514">
        <v>0.24648892999999999</v>
      </c>
      <c r="P343" s="515">
        <v>39929784.399999999</v>
      </c>
      <c r="Q343" s="515">
        <v>-3239884.61</v>
      </c>
      <c r="R343" s="515">
        <v>35759518.68</v>
      </c>
      <c r="S343" s="504" t="str">
        <f t="shared" si="5"/>
        <v>80</v>
      </c>
    </row>
    <row r="344" spans="1:19" ht="15" x14ac:dyDescent="0.25">
      <c r="A344" s="513" t="s">
        <v>402</v>
      </c>
      <c r="B344" s="513" t="s">
        <v>1163</v>
      </c>
      <c r="C344" s="513" t="s">
        <v>635</v>
      </c>
      <c r="D344" s="513" t="s">
        <v>405</v>
      </c>
      <c r="E344" s="514">
        <v>30</v>
      </c>
      <c r="F344" s="514">
        <v>-0.02</v>
      </c>
      <c r="G344" s="514">
        <v>2047</v>
      </c>
      <c r="H344" s="515">
        <v>18349188.609999999</v>
      </c>
      <c r="I344" s="514">
        <v>6.0987816300000004</v>
      </c>
      <c r="J344" s="515">
        <v>111907694.44</v>
      </c>
      <c r="K344" s="514">
        <v>28.79</v>
      </c>
      <c r="L344" s="515">
        <v>528273140.07999998</v>
      </c>
      <c r="M344" s="514">
        <v>22.697454</v>
      </c>
      <c r="N344" s="515">
        <v>416479864.41000003</v>
      </c>
      <c r="O344" s="514">
        <v>0.21582190000000001</v>
      </c>
      <c r="P344" s="515">
        <v>3960156.75</v>
      </c>
      <c r="Q344" s="515">
        <v>-366983.77</v>
      </c>
      <c r="R344" s="515">
        <v>3546558.07</v>
      </c>
      <c r="S344" s="504" t="str">
        <f t="shared" si="5"/>
        <v>80</v>
      </c>
    </row>
    <row r="345" spans="1:19" ht="15" x14ac:dyDescent="0.25">
      <c r="A345" s="513" t="s">
        <v>402</v>
      </c>
      <c r="B345" s="513" t="s">
        <v>1163</v>
      </c>
      <c r="C345" s="513" t="s">
        <v>636</v>
      </c>
      <c r="D345" s="513" t="s">
        <v>407</v>
      </c>
      <c r="E345" s="514">
        <v>20</v>
      </c>
      <c r="F345" s="514">
        <v>-0.02</v>
      </c>
      <c r="G345" s="514">
        <v>2047</v>
      </c>
      <c r="H345" s="515">
        <v>9758248.4199999999</v>
      </c>
      <c r="I345" s="514">
        <v>5.4155669299999998</v>
      </c>
      <c r="J345" s="515">
        <v>52846447.43</v>
      </c>
      <c r="K345" s="514">
        <v>20</v>
      </c>
      <c r="L345" s="515">
        <v>195164968.40000001</v>
      </c>
      <c r="M345" s="514">
        <v>14.905073</v>
      </c>
      <c r="N345" s="515">
        <v>145447405.05000001</v>
      </c>
      <c r="O345" s="514">
        <v>0.25984129</v>
      </c>
      <c r="P345" s="515">
        <v>2535595.8199999998</v>
      </c>
      <c r="Q345" s="515">
        <v>-195164.97</v>
      </c>
      <c r="R345" s="515">
        <v>2270778.2599999998</v>
      </c>
      <c r="S345" s="504" t="str">
        <f t="shared" si="5"/>
        <v>80</v>
      </c>
    </row>
    <row r="346" spans="1:19" ht="15" x14ac:dyDescent="0.25">
      <c r="A346" s="513" t="s">
        <v>402</v>
      </c>
      <c r="B346" s="513" t="s">
        <v>1163</v>
      </c>
      <c r="C346" s="513" t="s">
        <v>637</v>
      </c>
      <c r="D346" s="513" t="s">
        <v>123</v>
      </c>
      <c r="E346" s="514"/>
      <c r="F346" s="514">
        <v>-0.02</v>
      </c>
      <c r="G346" s="514">
        <v>2047</v>
      </c>
      <c r="H346" s="515">
        <v>190101667.59</v>
      </c>
      <c r="I346" s="514">
        <v>10.13270429</v>
      </c>
      <c r="J346" s="515">
        <v>1926243982.2</v>
      </c>
      <c r="K346" s="514">
        <v>34.704318970000003</v>
      </c>
      <c r="L346" s="515">
        <v>6597348908.5900002</v>
      </c>
      <c r="M346" s="514">
        <v>26.389924260000001</v>
      </c>
      <c r="N346" s="515">
        <v>5016768609.8699999</v>
      </c>
      <c r="O346" s="514">
        <v>0.24421424999999999</v>
      </c>
      <c r="P346" s="515">
        <v>46425536.969999999</v>
      </c>
      <c r="Q346" s="515">
        <v>-3802033.35</v>
      </c>
      <c r="R346" s="515">
        <v>41576855.009999998</v>
      </c>
      <c r="S346" s="504" t="str">
        <f t="shared" si="5"/>
        <v>80</v>
      </c>
    </row>
    <row r="347" spans="1:19" ht="15" x14ac:dyDescent="0.25">
      <c r="A347" s="513" t="s">
        <v>402</v>
      </c>
      <c r="B347" s="513" t="s">
        <v>1163</v>
      </c>
      <c r="C347" s="513" t="s">
        <v>643</v>
      </c>
      <c r="D347" s="513" t="s">
        <v>359</v>
      </c>
      <c r="E347" s="514">
        <v>51</v>
      </c>
      <c r="F347" s="514">
        <v>-0.05</v>
      </c>
      <c r="G347" s="514">
        <v>2047</v>
      </c>
      <c r="H347" s="515">
        <v>5740260.7800000003</v>
      </c>
      <c r="I347" s="514">
        <v>8.8928463000000004</v>
      </c>
      <c r="J347" s="515">
        <v>51047256.829999998</v>
      </c>
      <c r="K347" s="514">
        <v>34.880000000000003</v>
      </c>
      <c r="L347" s="515">
        <v>200220296.00999999</v>
      </c>
      <c r="M347" s="514">
        <v>27.5</v>
      </c>
      <c r="N347" s="515">
        <v>157857171.44999999</v>
      </c>
      <c r="O347" s="514">
        <v>0.22211468000000001</v>
      </c>
      <c r="P347" s="515">
        <v>1274996.19</v>
      </c>
      <c r="Q347" s="515">
        <v>-287013.03999999998</v>
      </c>
      <c r="R347" s="515">
        <v>1659770.44</v>
      </c>
      <c r="S347" s="504" t="str">
        <f t="shared" si="5"/>
        <v>80</v>
      </c>
    </row>
    <row r="348" spans="1:19" ht="15" x14ac:dyDescent="0.25">
      <c r="A348" s="513" t="s">
        <v>402</v>
      </c>
      <c r="B348" s="513" t="s">
        <v>1163</v>
      </c>
      <c r="C348" s="513" t="s">
        <v>644</v>
      </c>
      <c r="D348" s="513" t="s">
        <v>405</v>
      </c>
      <c r="E348" s="514">
        <v>30</v>
      </c>
      <c r="F348" s="514">
        <v>-0.05</v>
      </c>
      <c r="G348" s="514">
        <v>2047</v>
      </c>
      <c r="H348" s="515">
        <v>2603809.9300000002</v>
      </c>
      <c r="I348" s="514">
        <v>5.9271130200000002</v>
      </c>
      <c r="J348" s="515">
        <v>15433075.74</v>
      </c>
      <c r="K348" s="514">
        <v>29.06</v>
      </c>
      <c r="L348" s="515">
        <v>75666716.569999993</v>
      </c>
      <c r="M348" s="514">
        <v>22.998905000000001</v>
      </c>
      <c r="N348" s="515">
        <v>59884777.219999999</v>
      </c>
      <c r="O348" s="514">
        <v>0.21904578</v>
      </c>
      <c r="P348" s="515">
        <v>570353.59</v>
      </c>
      <c r="Q348" s="515">
        <v>-130190.5</v>
      </c>
      <c r="R348" s="515">
        <v>742477.54</v>
      </c>
      <c r="S348" s="504" t="str">
        <f t="shared" si="5"/>
        <v>80</v>
      </c>
    </row>
    <row r="349" spans="1:19" ht="15" x14ac:dyDescent="0.25">
      <c r="A349" s="513" t="s">
        <v>402</v>
      </c>
      <c r="B349" s="513" t="s">
        <v>1163</v>
      </c>
      <c r="C349" s="513" t="s">
        <v>645</v>
      </c>
      <c r="D349" s="513" t="s">
        <v>407</v>
      </c>
      <c r="E349" s="514">
        <v>20</v>
      </c>
      <c r="F349" s="514">
        <v>-0.05</v>
      </c>
      <c r="G349" s="514">
        <v>2047</v>
      </c>
      <c r="H349" s="515">
        <v>1358915.71</v>
      </c>
      <c r="I349" s="514">
        <v>9.0916953599999992</v>
      </c>
      <c r="J349" s="515">
        <v>12354847.66</v>
      </c>
      <c r="K349" s="514">
        <v>20</v>
      </c>
      <c r="L349" s="515">
        <v>27178314.199999999</v>
      </c>
      <c r="M349" s="514">
        <v>11.415716</v>
      </c>
      <c r="N349" s="515">
        <v>15512995.810000001</v>
      </c>
      <c r="O349" s="514">
        <v>0.45067488</v>
      </c>
      <c r="P349" s="515">
        <v>612429.18000000005</v>
      </c>
      <c r="Q349" s="515">
        <v>-67945.789999999994</v>
      </c>
      <c r="R349" s="515">
        <v>797250.89</v>
      </c>
      <c r="S349" s="504" t="str">
        <f t="shared" si="5"/>
        <v>80</v>
      </c>
    </row>
    <row r="350" spans="1:19" ht="15" x14ac:dyDescent="0.25">
      <c r="A350" s="513" t="s">
        <v>402</v>
      </c>
      <c r="B350" s="513" t="s">
        <v>1163</v>
      </c>
      <c r="C350" s="513" t="s">
        <v>646</v>
      </c>
      <c r="D350" s="513" t="s">
        <v>123</v>
      </c>
      <c r="E350" s="514"/>
      <c r="F350" s="514">
        <v>-0.05</v>
      </c>
      <c r="G350" s="514">
        <v>2047</v>
      </c>
      <c r="H350" s="515">
        <v>9702986.4199999999</v>
      </c>
      <c r="I350" s="514">
        <v>8.1248367100000003</v>
      </c>
      <c r="J350" s="515">
        <v>78835180.230000004</v>
      </c>
      <c r="K350" s="514">
        <v>31.234231780000002</v>
      </c>
      <c r="L350" s="515">
        <v>303065326.76999998</v>
      </c>
      <c r="M350" s="514">
        <v>24.03950025</v>
      </c>
      <c r="N350" s="515">
        <v>233254944.47999999</v>
      </c>
      <c r="O350" s="514">
        <v>0.25330129000000001</v>
      </c>
      <c r="P350" s="515">
        <v>2457778.96</v>
      </c>
      <c r="Q350" s="515">
        <v>-485149.32</v>
      </c>
      <c r="R350" s="515">
        <v>3199498.87</v>
      </c>
      <c r="S350" s="504" t="str">
        <f t="shared" si="5"/>
        <v>80</v>
      </c>
    </row>
    <row r="351" spans="1:19" ht="15" x14ac:dyDescent="0.25">
      <c r="A351" s="500" t="s">
        <v>402</v>
      </c>
      <c r="B351" s="500" t="s">
        <v>842</v>
      </c>
      <c r="C351" s="500" t="s">
        <v>667</v>
      </c>
      <c r="D351" s="500" t="s">
        <v>359</v>
      </c>
      <c r="E351" s="501">
        <v>51</v>
      </c>
      <c r="F351" s="501">
        <v>-7.0000000000000007E-2</v>
      </c>
      <c r="G351" s="501">
        <v>2047</v>
      </c>
      <c r="H351" s="502">
        <v>2411776.56</v>
      </c>
      <c r="I351" s="501">
        <v>23.5</v>
      </c>
      <c r="J351" s="502">
        <v>56676749.159999996</v>
      </c>
      <c r="K351" s="501">
        <v>51</v>
      </c>
      <c r="L351" s="502">
        <v>123000604.56</v>
      </c>
      <c r="M351" s="501">
        <v>27.5</v>
      </c>
      <c r="N351" s="502">
        <v>66323855.399999999</v>
      </c>
      <c r="O351" s="501">
        <v>0.49303921000000001</v>
      </c>
      <c r="P351" s="502">
        <v>1189100.42</v>
      </c>
      <c r="Q351" s="502">
        <v>-168824.36</v>
      </c>
      <c r="R351" s="502">
        <v>989279.83</v>
      </c>
      <c r="S351" s="504" t="str">
        <f t="shared" si="5"/>
        <v>80</v>
      </c>
    </row>
    <row r="352" spans="1:19" ht="15" x14ac:dyDescent="0.25">
      <c r="A352" s="500" t="s">
        <v>402</v>
      </c>
      <c r="B352" s="500" t="s">
        <v>842</v>
      </c>
      <c r="C352" s="500" t="s">
        <v>668</v>
      </c>
      <c r="D352" s="500" t="s">
        <v>405</v>
      </c>
      <c r="E352" s="501">
        <v>30</v>
      </c>
      <c r="F352" s="501">
        <v>-7.0000000000000007E-2</v>
      </c>
      <c r="G352" s="501">
        <v>2047</v>
      </c>
      <c r="H352" s="502">
        <v>7583897.3399999999</v>
      </c>
      <c r="I352" s="501">
        <v>2.5067867100000001</v>
      </c>
      <c r="J352" s="502">
        <v>19011213.030000001</v>
      </c>
      <c r="K352" s="501">
        <v>28.14</v>
      </c>
      <c r="L352" s="502">
        <v>213410871.15000001</v>
      </c>
      <c r="M352" s="501">
        <v>25.402407</v>
      </c>
      <c r="N352" s="502">
        <v>192649246.88</v>
      </c>
      <c r="O352" s="501">
        <v>0.10409494</v>
      </c>
      <c r="P352" s="502">
        <v>789445.34</v>
      </c>
      <c r="Q352" s="502">
        <v>-530872.81000000006</v>
      </c>
      <c r="R352" s="502">
        <v>656784.18000000005</v>
      </c>
      <c r="S352" s="504" t="str">
        <f t="shared" si="5"/>
        <v>80</v>
      </c>
    </row>
    <row r="353" spans="1:20" ht="15" x14ac:dyDescent="0.25">
      <c r="A353" s="500" t="s">
        <v>402</v>
      </c>
      <c r="B353" s="500" t="s">
        <v>842</v>
      </c>
      <c r="C353" s="500" t="s">
        <v>669</v>
      </c>
      <c r="D353" s="500" t="s">
        <v>123</v>
      </c>
      <c r="E353" s="501"/>
      <c r="F353" s="501">
        <v>-7.0000000000000007E-2</v>
      </c>
      <c r="G353" s="501">
        <v>2047</v>
      </c>
      <c r="H353" s="502">
        <v>10424249.140000001</v>
      </c>
      <c r="I353" s="501">
        <v>7.2607591370365112</v>
      </c>
      <c r="J353" s="502">
        <v>75687962.189999998</v>
      </c>
      <c r="K353" s="501">
        <v>32.27201030903219</v>
      </c>
      <c r="L353" s="502">
        <v>336411475.70999998</v>
      </c>
      <c r="M353" s="501">
        <v>24.843333922849812</v>
      </c>
      <c r="N353" s="502">
        <v>258973102.28</v>
      </c>
      <c r="O353" s="501">
        <v>0.18980223260473605</v>
      </c>
      <c r="P353" s="502">
        <v>1978545.76</v>
      </c>
      <c r="Q353" s="502">
        <v>-699697.17</v>
      </c>
      <c r="R353" s="502">
        <v>1646064.01</v>
      </c>
      <c r="S353" s="504" t="str">
        <f t="shared" si="5"/>
        <v>80</v>
      </c>
    </row>
    <row r="354" spans="1:20" ht="15" x14ac:dyDescent="0.25">
      <c r="A354" s="513" t="s">
        <v>402</v>
      </c>
      <c r="B354" s="513" t="s">
        <v>1163</v>
      </c>
      <c r="C354" s="513" t="s">
        <v>693</v>
      </c>
      <c r="D354" s="513" t="s">
        <v>359</v>
      </c>
      <c r="E354" s="514">
        <v>51</v>
      </c>
      <c r="F354" s="514">
        <v>-0.05</v>
      </c>
      <c r="G354" s="514">
        <v>2047</v>
      </c>
      <c r="H354" s="515">
        <v>9492323.9399999995</v>
      </c>
      <c r="I354" s="514">
        <v>4.71238855</v>
      </c>
      <c r="J354" s="515">
        <v>44731518.649999999</v>
      </c>
      <c r="K354" s="514">
        <v>31.44</v>
      </c>
      <c r="L354" s="515">
        <v>298438664.67000002</v>
      </c>
      <c r="M354" s="514">
        <v>27.5</v>
      </c>
      <c r="N354" s="515">
        <v>261038908.34999999</v>
      </c>
      <c r="O354" s="514">
        <v>0.13147492999999999</v>
      </c>
      <c r="P354" s="515">
        <v>1248002.6299999999</v>
      </c>
      <c r="Q354" s="515">
        <v>-474616.2</v>
      </c>
      <c r="R354" s="515">
        <v>997794.65</v>
      </c>
      <c r="S354" s="504" t="str">
        <f t="shared" si="5"/>
        <v>80</v>
      </c>
    </row>
    <row r="355" spans="1:20" ht="15" x14ac:dyDescent="0.25">
      <c r="A355" s="513" t="s">
        <v>402</v>
      </c>
      <c r="B355" s="513" t="s">
        <v>1163</v>
      </c>
      <c r="C355" s="513" t="s">
        <v>694</v>
      </c>
      <c r="D355" s="513" t="s">
        <v>405</v>
      </c>
      <c r="E355" s="514">
        <v>30</v>
      </c>
      <c r="F355" s="514">
        <v>-0.05</v>
      </c>
      <c r="G355" s="514">
        <v>2047</v>
      </c>
      <c r="H355" s="515">
        <v>4041048.36</v>
      </c>
      <c r="I355" s="514">
        <v>7.9363718600000004</v>
      </c>
      <c r="J355" s="515">
        <v>32071262.469999999</v>
      </c>
      <c r="K355" s="514">
        <v>29.2</v>
      </c>
      <c r="L355" s="515">
        <v>117998612.11</v>
      </c>
      <c r="M355" s="514">
        <v>21.305429</v>
      </c>
      <c r="N355" s="515">
        <v>86096268.920000002</v>
      </c>
      <c r="O355" s="514">
        <v>0.28377561000000001</v>
      </c>
      <c r="P355" s="515">
        <v>1146750.96</v>
      </c>
      <c r="Q355" s="515">
        <v>-202052.42</v>
      </c>
      <c r="R355" s="515">
        <v>916842.6</v>
      </c>
      <c r="S355" s="504" t="str">
        <f t="shared" si="5"/>
        <v>80</v>
      </c>
    </row>
    <row r="356" spans="1:20" ht="15" x14ac:dyDescent="0.25">
      <c r="A356" s="513" t="s">
        <v>402</v>
      </c>
      <c r="B356" s="513" t="s">
        <v>1163</v>
      </c>
      <c r="C356" s="513" t="s">
        <v>695</v>
      </c>
      <c r="D356" s="513" t="s">
        <v>407</v>
      </c>
      <c r="E356" s="514">
        <v>20</v>
      </c>
      <c r="F356" s="514">
        <v>-0.05</v>
      </c>
      <c r="G356" s="514">
        <v>2047</v>
      </c>
      <c r="H356" s="515">
        <v>370773.39</v>
      </c>
      <c r="I356" s="514">
        <v>6.5724466499999998</v>
      </c>
      <c r="J356" s="515">
        <v>2436888.33</v>
      </c>
      <c r="K356" s="514">
        <v>20</v>
      </c>
      <c r="L356" s="515">
        <v>7415467.7999999998</v>
      </c>
      <c r="M356" s="514">
        <v>13.725464000000001</v>
      </c>
      <c r="N356" s="515">
        <v>5089036.82</v>
      </c>
      <c r="O356" s="514">
        <v>0.32941314999999999</v>
      </c>
      <c r="P356" s="515">
        <v>122137.63</v>
      </c>
      <c r="Q356" s="515">
        <v>-18538.669999999998</v>
      </c>
      <c r="R356" s="515">
        <v>97650.66</v>
      </c>
      <c r="S356" s="504" t="str">
        <f t="shared" si="5"/>
        <v>80</v>
      </c>
    </row>
    <row r="357" spans="1:20" ht="15" x14ac:dyDescent="0.25">
      <c r="A357" s="513" t="s">
        <v>402</v>
      </c>
      <c r="B357" s="513" t="s">
        <v>1163</v>
      </c>
      <c r="C357" s="513" t="s">
        <v>696</v>
      </c>
      <c r="D357" s="513" t="s">
        <v>123</v>
      </c>
      <c r="E357" s="514"/>
      <c r="F357" s="514">
        <v>-0.05</v>
      </c>
      <c r="G357" s="514">
        <v>2047</v>
      </c>
      <c r="H357" s="515">
        <v>13904145.689999999</v>
      </c>
      <c r="I357" s="514">
        <v>5.6989959099999998</v>
      </c>
      <c r="J357" s="515">
        <v>79239669.439999998</v>
      </c>
      <c r="K357" s="514">
        <v>30.48391135</v>
      </c>
      <c r="L357" s="515">
        <v>423852744.58999997</v>
      </c>
      <c r="M357" s="514">
        <v>25.332316129999999</v>
      </c>
      <c r="N357" s="515">
        <v>352224214.08999997</v>
      </c>
      <c r="O357" s="514">
        <v>0.18101732000000001</v>
      </c>
      <c r="P357" s="515">
        <v>2516891.2200000002</v>
      </c>
      <c r="Q357" s="515">
        <v>-695207.28</v>
      </c>
      <c r="R357" s="515">
        <v>2012287.91</v>
      </c>
      <c r="S357" s="504" t="str">
        <f t="shared" si="5"/>
        <v>80</v>
      </c>
    </row>
    <row r="358" spans="1:20" ht="15" x14ac:dyDescent="0.25">
      <c r="A358" s="513" t="s">
        <v>402</v>
      </c>
      <c r="B358" s="513" t="s">
        <v>1163</v>
      </c>
      <c r="C358" s="513" t="s">
        <v>717</v>
      </c>
      <c r="D358" s="513" t="s">
        <v>359</v>
      </c>
      <c r="E358" s="514">
        <v>51</v>
      </c>
      <c r="F358" s="514">
        <v>-0.02</v>
      </c>
      <c r="G358" s="514">
        <v>2047</v>
      </c>
      <c r="H358" s="515">
        <v>240991.62</v>
      </c>
      <c r="I358" s="514">
        <v>11.07209898</v>
      </c>
      <c r="J358" s="515">
        <v>2668283.0699999998</v>
      </c>
      <c r="K358" s="514">
        <v>36.06</v>
      </c>
      <c r="L358" s="515">
        <v>8690157.8200000003</v>
      </c>
      <c r="M358" s="514">
        <v>27.5</v>
      </c>
      <c r="N358" s="515">
        <v>6627269.5499999998</v>
      </c>
      <c r="O358" s="514">
        <v>0.24215513999999999</v>
      </c>
      <c r="P358" s="515">
        <v>58357.36</v>
      </c>
      <c r="Q358" s="515">
        <v>-4819.83</v>
      </c>
      <c r="R358" s="515">
        <v>-26529.95</v>
      </c>
      <c r="S358" s="504" t="str">
        <f t="shared" si="5"/>
        <v>80</v>
      </c>
    </row>
    <row r="359" spans="1:20" ht="15" x14ac:dyDescent="0.25">
      <c r="A359" s="513" t="s">
        <v>402</v>
      </c>
      <c r="B359" s="513" t="s">
        <v>1163</v>
      </c>
      <c r="C359" s="513" t="s">
        <v>718</v>
      </c>
      <c r="D359" s="513" t="s">
        <v>405</v>
      </c>
      <c r="E359" s="514">
        <v>30</v>
      </c>
      <c r="F359" s="514">
        <v>-0.02</v>
      </c>
      <c r="G359" s="514">
        <v>2047</v>
      </c>
      <c r="H359" s="515">
        <v>535652</v>
      </c>
      <c r="I359" s="514">
        <v>8.8965665600000001</v>
      </c>
      <c r="J359" s="515">
        <v>4765463.67</v>
      </c>
      <c r="K359" s="514">
        <v>29.7</v>
      </c>
      <c r="L359" s="515">
        <v>15908864.4</v>
      </c>
      <c r="M359" s="514">
        <v>20.689226000000001</v>
      </c>
      <c r="N359" s="515">
        <v>11082225.289999999</v>
      </c>
      <c r="O359" s="514">
        <v>0.30957290999999998</v>
      </c>
      <c r="P359" s="515">
        <v>165823.35</v>
      </c>
      <c r="Q359" s="515">
        <v>-10713.04</v>
      </c>
      <c r="R359" s="515">
        <v>-75385.27</v>
      </c>
      <c r="S359" s="504" t="str">
        <f t="shared" si="5"/>
        <v>80</v>
      </c>
    </row>
    <row r="360" spans="1:20" ht="15" x14ac:dyDescent="0.25">
      <c r="A360" s="513" t="s">
        <v>402</v>
      </c>
      <c r="B360" s="513" t="s">
        <v>1163</v>
      </c>
      <c r="C360" s="513" t="s">
        <v>719</v>
      </c>
      <c r="D360" s="513" t="s">
        <v>407</v>
      </c>
      <c r="E360" s="514">
        <v>20</v>
      </c>
      <c r="F360" s="514">
        <v>-0.02</v>
      </c>
      <c r="G360" s="514">
        <v>2047</v>
      </c>
      <c r="H360" s="515">
        <v>73987.240000000005</v>
      </c>
      <c r="I360" s="514">
        <v>23.5</v>
      </c>
      <c r="J360" s="515">
        <v>1738700.14</v>
      </c>
      <c r="K360" s="514">
        <v>20</v>
      </c>
      <c r="L360" s="515">
        <v>1479744.8</v>
      </c>
      <c r="M360" s="514">
        <v>2.8248929999999999</v>
      </c>
      <c r="N360" s="515">
        <v>209006.04</v>
      </c>
      <c r="O360" s="514">
        <v>0.87593049999999995</v>
      </c>
      <c r="P360" s="515">
        <v>64807.68</v>
      </c>
      <c r="Q360" s="515">
        <v>-1479.74</v>
      </c>
      <c r="R360" s="515">
        <v>-29462.35</v>
      </c>
      <c r="S360" s="504" t="str">
        <f t="shared" si="5"/>
        <v>80</v>
      </c>
    </row>
    <row r="361" spans="1:20" ht="15" x14ac:dyDescent="0.25">
      <c r="A361" s="513" t="s">
        <v>402</v>
      </c>
      <c r="B361" s="513" t="s">
        <v>1163</v>
      </c>
      <c r="C361" s="513" t="s">
        <v>720</v>
      </c>
      <c r="D361" s="513" t="s">
        <v>123</v>
      </c>
      <c r="E361" s="514"/>
      <c r="F361" s="514">
        <v>-0.02</v>
      </c>
      <c r="G361" s="514">
        <v>2047</v>
      </c>
      <c r="H361" s="515">
        <v>850630.86</v>
      </c>
      <c r="I361" s="514">
        <v>10.783110880000001</v>
      </c>
      <c r="J361" s="515">
        <v>9172446.8800000008</v>
      </c>
      <c r="K361" s="514">
        <v>30.658148260000001</v>
      </c>
      <c r="L361" s="515">
        <v>26078767.02</v>
      </c>
      <c r="M361" s="514">
        <v>21.064955099999999</v>
      </c>
      <c r="N361" s="515">
        <v>17918500.870000001</v>
      </c>
      <c r="O361" s="514">
        <v>0.33973418999999999</v>
      </c>
      <c r="P361" s="515">
        <v>288988.39</v>
      </c>
      <c r="Q361" s="515">
        <v>-17012.62</v>
      </c>
      <c r="R361" s="515">
        <v>-131377.57</v>
      </c>
      <c r="S361" s="504" t="str">
        <f t="shared" si="5"/>
        <v>80</v>
      </c>
      <c r="T361" s="394"/>
    </row>
    <row r="362" spans="1:20" ht="15" x14ac:dyDescent="0.25">
      <c r="A362" s="513" t="s">
        <v>402</v>
      </c>
      <c r="B362" s="513" t="s">
        <v>1163</v>
      </c>
      <c r="C362" s="513" t="s">
        <v>1055</v>
      </c>
      <c r="D362" s="513" t="s">
        <v>359</v>
      </c>
      <c r="E362" s="514">
        <v>40</v>
      </c>
      <c r="F362" s="514">
        <v>-0.02</v>
      </c>
      <c r="G362" s="514">
        <v>2036</v>
      </c>
      <c r="H362" s="515">
        <v>42791705.539999999</v>
      </c>
      <c r="I362" s="514">
        <v>21.332751940000001</v>
      </c>
      <c r="J362" s="515">
        <v>912864839.40999997</v>
      </c>
      <c r="K362" s="514">
        <v>36.36</v>
      </c>
      <c r="L362" s="515">
        <v>1555906413.4300001</v>
      </c>
      <c r="M362" s="514">
        <v>16.5</v>
      </c>
      <c r="N362" s="515">
        <v>706063141.40999997</v>
      </c>
      <c r="O362" s="514">
        <v>0.55714465999999996</v>
      </c>
      <c r="P362" s="515">
        <v>23841170.170000002</v>
      </c>
      <c r="Q362" s="515">
        <v>-855834.11</v>
      </c>
      <c r="R362" s="515">
        <v>18817076.379999999</v>
      </c>
      <c r="S362" s="504" t="str">
        <f t="shared" si="5"/>
        <v>81</v>
      </c>
      <c r="T362" s="394"/>
    </row>
    <row r="363" spans="1:20" ht="15" x14ac:dyDescent="0.25">
      <c r="A363" s="513" t="s">
        <v>402</v>
      </c>
      <c r="B363" s="513" t="s">
        <v>1163</v>
      </c>
      <c r="C363" s="513" t="s">
        <v>1056</v>
      </c>
      <c r="D363" s="513" t="s">
        <v>405</v>
      </c>
      <c r="E363" s="514">
        <v>30</v>
      </c>
      <c r="F363" s="514">
        <v>-0.02</v>
      </c>
      <c r="G363" s="514">
        <v>2036</v>
      </c>
      <c r="H363" s="515">
        <v>3239850.36</v>
      </c>
      <c r="I363" s="514">
        <v>15.32490351</v>
      </c>
      <c r="J363" s="515">
        <v>49650394.140000001</v>
      </c>
      <c r="K363" s="514">
        <v>25.41</v>
      </c>
      <c r="L363" s="515">
        <v>82324597.650000006</v>
      </c>
      <c r="M363" s="514">
        <v>12.278464</v>
      </c>
      <c r="N363" s="515">
        <v>39780386.009999998</v>
      </c>
      <c r="O363" s="514">
        <v>0.52713692999999995</v>
      </c>
      <c r="P363" s="515">
        <v>1707844.78</v>
      </c>
      <c r="Q363" s="515">
        <v>-64797.01</v>
      </c>
      <c r="R363" s="515">
        <v>1347947.5</v>
      </c>
      <c r="S363" s="504" t="str">
        <f t="shared" si="5"/>
        <v>81</v>
      </c>
      <c r="T363" s="394"/>
    </row>
    <row r="364" spans="1:20" ht="15" x14ac:dyDescent="0.25">
      <c r="A364" s="513" t="s">
        <v>402</v>
      </c>
      <c r="B364" s="513" t="s">
        <v>1163</v>
      </c>
      <c r="C364" s="513" t="s">
        <v>1057</v>
      </c>
      <c r="D364" s="513" t="s">
        <v>405</v>
      </c>
      <c r="E364" s="514">
        <v>20</v>
      </c>
      <c r="F364" s="514">
        <v>-0.02</v>
      </c>
      <c r="G364" s="514">
        <v>2036</v>
      </c>
      <c r="H364" s="515">
        <v>3588388.05</v>
      </c>
      <c r="I364" s="514">
        <v>16.02768536</v>
      </c>
      <c r="J364" s="515">
        <v>57513554.600000001</v>
      </c>
      <c r="K364" s="514">
        <v>19.850000000000001</v>
      </c>
      <c r="L364" s="515">
        <v>71229502.790000007</v>
      </c>
      <c r="M364" s="514">
        <v>6.233949</v>
      </c>
      <c r="N364" s="515">
        <v>22369828.100000001</v>
      </c>
      <c r="O364" s="514">
        <v>0.69962594</v>
      </c>
      <c r="P364" s="515">
        <v>2510529.38</v>
      </c>
      <c r="Q364" s="515">
        <v>-71767.759999999995</v>
      </c>
      <c r="R364" s="515">
        <v>1981480.89</v>
      </c>
      <c r="S364" s="504" t="str">
        <f t="shared" si="5"/>
        <v>81</v>
      </c>
      <c r="T364" s="394"/>
    </row>
    <row r="365" spans="1:20" ht="15" x14ac:dyDescent="0.25">
      <c r="A365" s="513" t="s">
        <v>402</v>
      </c>
      <c r="B365" s="513" t="s">
        <v>1163</v>
      </c>
      <c r="C365" s="513" t="s">
        <v>638</v>
      </c>
      <c r="D365" s="513" t="s">
        <v>123</v>
      </c>
      <c r="E365" s="514"/>
      <c r="F365" s="514">
        <v>-0.02</v>
      </c>
      <c r="G365" s="514">
        <v>2036</v>
      </c>
      <c r="H365" s="515">
        <v>49619943.950000003</v>
      </c>
      <c r="I365" s="514">
        <v>20.556830720000001</v>
      </c>
      <c r="J365" s="515">
        <v>1020028788.16</v>
      </c>
      <c r="K365" s="514">
        <v>34.451077079999997</v>
      </c>
      <c r="L365" s="515">
        <v>1709460513.8699999</v>
      </c>
      <c r="M365" s="514">
        <v>15.48194726</v>
      </c>
      <c r="N365" s="515">
        <v>768213355.51999998</v>
      </c>
      <c r="O365" s="514">
        <v>0.56548924</v>
      </c>
      <c r="P365" s="515">
        <v>28059544.329999998</v>
      </c>
      <c r="Q365" s="515">
        <v>-992398.88</v>
      </c>
      <c r="R365" s="515">
        <v>22146504.77</v>
      </c>
      <c r="S365" s="504" t="str">
        <f t="shared" si="5"/>
        <v>81</v>
      </c>
      <c r="T365" s="394"/>
    </row>
    <row r="366" spans="1:20" ht="15" x14ac:dyDescent="0.25">
      <c r="A366" s="513" t="s">
        <v>402</v>
      </c>
      <c r="B366" s="513" t="s">
        <v>1163</v>
      </c>
      <c r="C366" s="513" t="s">
        <v>647</v>
      </c>
      <c r="D366" s="513" t="s">
        <v>359</v>
      </c>
      <c r="E366" s="514">
        <v>40</v>
      </c>
      <c r="F366" s="514">
        <v>-0.05</v>
      </c>
      <c r="G366" s="514">
        <v>2036</v>
      </c>
      <c r="H366" s="515">
        <v>140383590.97</v>
      </c>
      <c r="I366" s="514">
        <v>20.025244359999999</v>
      </c>
      <c r="J366" s="515">
        <v>2811215712.73</v>
      </c>
      <c r="K366" s="514">
        <v>34.67</v>
      </c>
      <c r="L366" s="515">
        <v>4867099098.9300003</v>
      </c>
      <c r="M366" s="514">
        <v>16.5</v>
      </c>
      <c r="N366" s="515">
        <v>2316329251.0100002</v>
      </c>
      <c r="O366" s="514">
        <v>0.55028164999999996</v>
      </c>
      <c r="P366" s="515">
        <v>77250514.379999995</v>
      </c>
      <c r="Q366" s="515">
        <v>-7019179.5499999998</v>
      </c>
      <c r="R366" s="515">
        <v>64932709.689999998</v>
      </c>
      <c r="S366" s="504" t="str">
        <f t="shared" si="5"/>
        <v>81</v>
      </c>
      <c r="T366" s="394"/>
    </row>
    <row r="367" spans="1:20" ht="15" x14ac:dyDescent="0.25">
      <c r="A367" s="513" t="s">
        <v>402</v>
      </c>
      <c r="B367" s="513" t="s">
        <v>1163</v>
      </c>
      <c r="C367" s="513" t="s">
        <v>648</v>
      </c>
      <c r="D367" s="513" t="s">
        <v>405</v>
      </c>
      <c r="E367" s="514">
        <v>30</v>
      </c>
      <c r="F367" s="514">
        <v>-0.05</v>
      </c>
      <c r="G367" s="514">
        <v>2036</v>
      </c>
      <c r="H367" s="515">
        <v>91527617.719999999</v>
      </c>
      <c r="I367" s="514">
        <v>14.125352169999999</v>
      </c>
      <c r="J367" s="515">
        <v>1292859833.98</v>
      </c>
      <c r="K367" s="514">
        <v>24.71</v>
      </c>
      <c r="L367" s="515">
        <v>2261647433.8600001</v>
      </c>
      <c r="M367" s="514">
        <v>12.845116000000001</v>
      </c>
      <c r="N367" s="515">
        <v>1175682866.8199999</v>
      </c>
      <c r="O367" s="514">
        <v>0.50418943999999999</v>
      </c>
      <c r="P367" s="515">
        <v>46147258.420000002</v>
      </c>
      <c r="Q367" s="515">
        <v>-4576380.8899999997</v>
      </c>
      <c r="R367" s="515">
        <v>38788952.509999998</v>
      </c>
      <c r="S367" s="504" t="str">
        <f t="shared" si="5"/>
        <v>81</v>
      </c>
      <c r="T367" s="394"/>
    </row>
    <row r="368" spans="1:20" ht="15" x14ac:dyDescent="0.25">
      <c r="A368" s="513" t="s">
        <v>402</v>
      </c>
      <c r="B368" s="513" t="s">
        <v>1163</v>
      </c>
      <c r="C368" s="513" t="s">
        <v>649</v>
      </c>
      <c r="D368" s="513" t="s">
        <v>407</v>
      </c>
      <c r="E368" s="514">
        <v>20</v>
      </c>
      <c r="F368" s="514">
        <v>-0.05</v>
      </c>
      <c r="G368" s="514">
        <v>2036</v>
      </c>
      <c r="H368" s="515">
        <v>11926613.07</v>
      </c>
      <c r="I368" s="514">
        <v>11.94346702</v>
      </c>
      <c r="J368" s="515">
        <v>142445109.88</v>
      </c>
      <c r="K368" s="514">
        <v>19.100000000000001</v>
      </c>
      <c r="L368" s="515">
        <v>227798309.63999999</v>
      </c>
      <c r="M368" s="514">
        <v>9.5829529999999998</v>
      </c>
      <c r="N368" s="515">
        <v>114292172.5</v>
      </c>
      <c r="O368" s="514">
        <v>0.52327372000000005</v>
      </c>
      <c r="P368" s="515">
        <v>6240883.1299999999</v>
      </c>
      <c r="Q368" s="515">
        <v>-596330.65</v>
      </c>
      <c r="R368" s="515">
        <v>5245757.34</v>
      </c>
      <c r="S368" s="504" t="str">
        <f t="shared" si="5"/>
        <v>81</v>
      </c>
      <c r="T368" s="394"/>
    </row>
    <row r="369" spans="1:19" ht="15" x14ac:dyDescent="0.25">
      <c r="A369" s="513" t="s">
        <v>402</v>
      </c>
      <c r="B369" s="513" t="s">
        <v>1163</v>
      </c>
      <c r="C369" s="513" t="s">
        <v>650</v>
      </c>
      <c r="D369" s="513" t="s">
        <v>123</v>
      </c>
      <c r="E369" s="514"/>
      <c r="F369" s="514">
        <v>-0.05</v>
      </c>
      <c r="G369" s="514">
        <v>2036</v>
      </c>
      <c r="H369" s="515">
        <v>243837821.75999999</v>
      </c>
      <c r="I369" s="514">
        <v>17.415348550000001</v>
      </c>
      <c r="J369" s="515">
        <v>4246520656.5799999</v>
      </c>
      <c r="K369" s="514">
        <v>30.16982677</v>
      </c>
      <c r="L369" s="515">
        <v>7356544842.4300003</v>
      </c>
      <c r="M369" s="514">
        <v>14.78976585</v>
      </c>
      <c r="N369" s="515">
        <v>3606304290.3200002</v>
      </c>
      <c r="O369" s="514">
        <v>0.53165934000000004</v>
      </c>
      <c r="P369" s="515">
        <v>129638655.93000001</v>
      </c>
      <c r="Q369" s="515">
        <v>-12191891.09</v>
      </c>
      <c r="R369" s="515">
        <v>108967419.54000001</v>
      </c>
      <c r="S369" s="504" t="str">
        <f t="shared" si="5"/>
        <v>81</v>
      </c>
    </row>
    <row r="370" spans="1:19" ht="15" x14ac:dyDescent="0.25">
      <c r="A370" s="513" t="s">
        <v>402</v>
      </c>
      <c r="B370" s="513" t="s">
        <v>1163</v>
      </c>
      <c r="C370" s="513" t="s">
        <v>670</v>
      </c>
      <c r="D370" s="513" t="s">
        <v>359</v>
      </c>
      <c r="E370" s="514">
        <v>12</v>
      </c>
      <c r="F370" s="514">
        <v>-7.0000000000000007E-2</v>
      </c>
      <c r="G370" s="514">
        <v>2036</v>
      </c>
      <c r="H370" s="515">
        <v>17475357.149999999</v>
      </c>
      <c r="I370" s="514">
        <v>2.7732671400000002</v>
      </c>
      <c r="J370" s="515">
        <v>48463833.670000002</v>
      </c>
      <c r="K370" s="514">
        <v>12</v>
      </c>
      <c r="L370" s="515">
        <v>209704285.80000001</v>
      </c>
      <c r="M370" s="514">
        <v>9.2267329999999994</v>
      </c>
      <c r="N370" s="515">
        <v>161240454.5</v>
      </c>
      <c r="O370" s="514">
        <v>0.24728299000000001</v>
      </c>
      <c r="P370" s="515">
        <v>4321358.5</v>
      </c>
      <c r="Q370" s="515">
        <v>-1223275</v>
      </c>
      <c r="R370" s="515">
        <v>3767779.21</v>
      </c>
      <c r="S370" s="504" t="str">
        <f t="shared" si="5"/>
        <v>81</v>
      </c>
    </row>
    <row r="371" spans="1:19" ht="15" x14ac:dyDescent="0.25">
      <c r="A371" s="513" t="s">
        <v>402</v>
      </c>
      <c r="B371" s="513" t="s">
        <v>1163</v>
      </c>
      <c r="C371" s="513" t="s">
        <v>671</v>
      </c>
      <c r="D371" s="513" t="s">
        <v>359</v>
      </c>
      <c r="E371" s="514">
        <v>40</v>
      </c>
      <c r="F371" s="514">
        <v>-7.0000000000000007E-2</v>
      </c>
      <c r="G371" s="514">
        <v>2036</v>
      </c>
      <c r="H371" s="515">
        <v>52558537.729999997</v>
      </c>
      <c r="I371" s="514">
        <v>22.076568829999999</v>
      </c>
      <c r="J371" s="515">
        <v>1160312175.9300001</v>
      </c>
      <c r="K371" s="514">
        <v>37.58</v>
      </c>
      <c r="L371" s="515">
        <v>1975149847.8900001</v>
      </c>
      <c r="M371" s="514">
        <v>16.5</v>
      </c>
      <c r="N371" s="515">
        <v>867215872.54999995</v>
      </c>
      <c r="O371" s="514">
        <v>0.60015366999999997</v>
      </c>
      <c r="P371" s="515">
        <v>31543199.280000001</v>
      </c>
      <c r="Q371" s="515">
        <v>-3679097.64</v>
      </c>
      <c r="R371" s="515">
        <v>27502418.600000001</v>
      </c>
      <c r="S371" s="504" t="str">
        <f t="shared" si="5"/>
        <v>81</v>
      </c>
    </row>
    <row r="372" spans="1:19" ht="15" x14ac:dyDescent="0.25">
      <c r="A372" s="513" t="s">
        <v>402</v>
      </c>
      <c r="B372" s="513" t="s">
        <v>1163</v>
      </c>
      <c r="C372" s="513" t="s">
        <v>672</v>
      </c>
      <c r="D372" s="513" t="s">
        <v>405</v>
      </c>
      <c r="E372" s="514">
        <v>30</v>
      </c>
      <c r="F372" s="514">
        <v>-7.0000000000000007E-2</v>
      </c>
      <c r="G372" s="514">
        <v>2036</v>
      </c>
      <c r="H372" s="515">
        <v>73045626.709999993</v>
      </c>
      <c r="I372" s="514">
        <v>15.664084770000001</v>
      </c>
      <c r="J372" s="515">
        <v>1144192889.2</v>
      </c>
      <c r="K372" s="514">
        <v>24.96</v>
      </c>
      <c r="L372" s="515">
        <v>1823218842.6800001</v>
      </c>
      <c r="M372" s="514">
        <v>11.989744999999999</v>
      </c>
      <c r="N372" s="515">
        <v>875798437.62</v>
      </c>
      <c r="O372" s="514">
        <v>0.55598223000000002</v>
      </c>
      <c r="P372" s="515">
        <v>40612070.670000002</v>
      </c>
      <c r="Q372" s="515">
        <v>-5113193.87</v>
      </c>
      <c r="R372" s="515">
        <v>35409539.719999999</v>
      </c>
      <c r="S372" s="504" t="str">
        <f t="shared" si="5"/>
        <v>81</v>
      </c>
    </row>
    <row r="373" spans="1:19" ht="15" x14ac:dyDescent="0.25">
      <c r="A373" s="513" t="s">
        <v>402</v>
      </c>
      <c r="B373" s="513" t="s">
        <v>1163</v>
      </c>
      <c r="C373" s="513" t="s">
        <v>673</v>
      </c>
      <c r="D373" s="513" t="s">
        <v>407</v>
      </c>
      <c r="E373" s="514">
        <v>20</v>
      </c>
      <c r="F373" s="514">
        <v>-7.0000000000000007E-2</v>
      </c>
      <c r="G373" s="514">
        <v>2036</v>
      </c>
      <c r="H373" s="515">
        <v>3061709.37</v>
      </c>
      <c r="I373" s="514">
        <v>21.06202751</v>
      </c>
      <c r="J373" s="515">
        <v>64485806.969999999</v>
      </c>
      <c r="K373" s="514">
        <v>19.760000000000002</v>
      </c>
      <c r="L373" s="515">
        <v>60499377.149999999</v>
      </c>
      <c r="M373" s="514">
        <v>4.3492839999999999</v>
      </c>
      <c r="N373" s="515">
        <v>13316243.58</v>
      </c>
      <c r="O373" s="514">
        <v>0.83447804000000003</v>
      </c>
      <c r="P373" s="515">
        <v>2554929.23</v>
      </c>
      <c r="Q373" s="515">
        <v>-214319.66</v>
      </c>
      <c r="R373" s="515">
        <v>2227634.9500000002</v>
      </c>
      <c r="S373" s="504" t="str">
        <f t="shared" si="5"/>
        <v>81</v>
      </c>
    </row>
    <row r="374" spans="1:19" ht="15" x14ac:dyDescent="0.25">
      <c r="A374" s="513" t="s">
        <v>402</v>
      </c>
      <c r="B374" s="513" t="s">
        <v>1163</v>
      </c>
      <c r="C374" s="513" t="s">
        <v>674</v>
      </c>
      <c r="D374" s="513" t="s">
        <v>123</v>
      </c>
      <c r="E374" s="514"/>
      <c r="F374" s="514">
        <v>-7.0000000000000007E-2</v>
      </c>
      <c r="G374" s="514">
        <v>2036</v>
      </c>
      <c r="H374" s="515">
        <v>146141230.96000001</v>
      </c>
      <c r="I374" s="514">
        <v>16.541907370000001</v>
      </c>
      <c r="J374" s="515">
        <v>2417454705.7600002</v>
      </c>
      <c r="K374" s="514">
        <v>27.84000331</v>
      </c>
      <c r="L374" s="515">
        <v>4068572353.5300002</v>
      </c>
      <c r="M374" s="514">
        <v>13.121355250000001</v>
      </c>
      <c r="N374" s="515">
        <v>1917571008.24</v>
      </c>
      <c r="O374" s="514">
        <v>0.54078890999999996</v>
      </c>
      <c r="P374" s="515">
        <v>79031557.680000007</v>
      </c>
      <c r="Q374" s="515">
        <v>-10229886.17</v>
      </c>
      <c r="R374" s="515">
        <v>68907372.480000004</v>
      </c>
      <c r="S374" s="504" t="str">
        <f t="shared" si="5"/>
        <v>81</v>
      </c>
    </row>
    <row r="375" spans="1:19" ht="15" x14ac:dyDescent="0.25">
      <c r="A375" s="513" t="s">
        <v>402</v>
      </c>
      <c r="B375" s="513" t="s">
        <v>1163</v>
      </c>
      <c r="C375" s="513" t="s">
        <v>697</v>
      </c>
      <c r="D375" s="513" t="s">
        <v>359</v>
      </c>
      <c r="E375" s="514">
        <v>40</v>
      </c>
      <c r="F375" s="514">
        <v>-0.05</v>
      </c>
      <c r="G375" s="514">
        <v>2036</v>
      </c>
      <c r="H375" s="515">
        <v>32202503.940000001</v>
      </c>
      <c r="I375" s="514">
        <v>23.047684230000002</v>
      </c>
      <c r="J375" s="515">
        <v>742193142.15999997</v>
      </c>
      <c r="K375" s="514">
        <v>39.21</v>
      </c>
      <c r="L375" s="515">
        <v>1262660179.49</v>
      </c>
      <c r="M375" s="514">
        <v>16.5</v>
      </c>
      <c r="N375" s="515">
        <v>531341315.00999999</v>
      </c>
      <c r="O375" s="514">
        <v>0.60814265999999995</v>
      </c>
      <c r="P375" s="515">
        <v>19583716.52</v>
      </c>
      <c r="Q375" s="515">
        <v>-1610125.2</v>
      </c>
      <c r="R375" s="515">
        <v>19160034.18</v>
      </c>
      <c r="S375" s="504" t="str">
        <f t="shared" si="5"/>
        <v>81</v>
      </c>
    </row>
    <row r="376" spans="1:19" ht="15" x14ac:dyDescent="0.25">
      <c r="A376" s="513" t="s">
        <v>402</v>
      </c>
      <c r="B376" s="513" t="s">
        <v>1163</v>
      </c>
      <c r="C376" s="513" t="s">
        <v>698</v>
      </c>
      <c r="D376" s="513" t="s">
        <v>405</v>
      </c>
      <c r="E376" s="514">
        <v>30</v>
      </c>
      <c r="F376" s="514">
        <v>-0.05</v>
      </c>
      <c r="G376" s="514">
        <v>2036</v>
      </c>
      <c r="H376" s="515">
        <v>17166725.890000001</v>
      </c>
      <c r="I376" s="514">
        <v>20.522242080000002</v>
      </c>
      <c r="J376" s="515">
        <v>352299704.42000002</v>
      </c>
      <c r="K376" s="514">
        <v>27.97</v>
      </c>
      <c r="L376" s="515">
        <v>480153323.13999999</v>
      </c>
      <c r="M376" s="514">
        <v>9.4468809999999994</v>
      </c>
      <c r="N376" s="515">
        <v>162172016.63999999</v>
      </c>
      <c r="O376" s="514">
        <v>0.69535902000000005</v>
      </c>
      <c r="P376" s="515">
        <v>11937037.65</v>
      </c>
      <c r="Q376" s="515">
        <v>-858336.29</v>
      </c>
      <c r="R376" s="515">
        <v>11678786.77</v>
      </c>
      <c r="S376" s="504" t="str">
        <f t="shared" si="5"/>
        <v>81</v>
      </c>
    </row>
    <row r="377" spans="1:19" ht="15" x14ac:dyDescent="0.25">
      <c r="A377" s="513" t="s">
        <v>402</v>
      </c>
      <c r="B377" s="513" t="s">
        <v>1163</v>
      </c>
      <c r="C377" s="513" t="s">
        <v>699</v>
      </c>
      <c r="D377" s="513" t="s">
        <v>407</v>
      </c>
      <c r="E377" s="514">
        <v>20</v>
      </c>
      <c r="F377" s="514">
        <v>-0.05</v>
      </c>
      <c r="G377" s="514">
        <v>2036</v>
      </c>
      <c r="H377" s="515">
        <v>8527008.9399999995</v>
      </c>
      <c r="I377" s="514">
        <v>15.008106489999999</v>
      </c>
      <c r="J377" s="515">
        <v>127974258.18000001</v>
      </c>
      <c r="K377" s="514">
        <v>19.09</v>
      </c>
      <c r="L377" s="515">
        <v>162780600.66</v>
      </c>
      <c r="M377" s="514">
        <v>7.9015769999999996</v>
      </c>
      <c r="N377" s="515">
        <v>67376817.719999999</v>
      </c>
      <c r="O377" s="514">
        <v>0.61540170999999999</v>
      </c>
      <c r="P377" s="515">
        <v>5247535.8600000003</v>
      </c>
      <c r="Q377" s="515">
        <v>-426350.45</v>
      </c>
      <c r="R377" s="515">
        <v>5134008.47</v>
      </c>
      <c r="S377" s="504" t="str">
        <f t="shared" si="5"/>
        <v>81</v>
      </c>
    </row>
    <row r="378" spans="1:19" ht="15" x14ac:dyDescent="0.25">
      <c r="A378" s="513" t="s">
        <v>402</v>
      </c>
      <c r="B378" s="513" t="s">
        <v>1163</v>
      </c>
      <c r="C378" s="513" t="s">
        <v>700</v>
      </c>
      <c r="D378" s="513" t="s">
        <v>123</v>
      </c>
      <c r="E378" s="514"/>
      <c r="F378" s="514">
        <v>-0.05</v>
      </c>
      <c r="G378" s="514">
        <v>2036</v>
      </c>
      <c r="H378" s="515">
        <v>57896238.770000003</v>
      </c>
      <c r="I378" s="514">
        <v>21.114793129999999</v>
      </c>
      <c r="J378" s="515">
        <v>1222467104.76</v>
      </c>
      <c r="K378" s="514">
        <v>32.913953370000002</v>
      </c>
      <c r="L378" s="515">
        <v>1905594103.3</v>
      </c>
      <c r="M378" s="514">
        <v>13.142307089999999</v>
      </c>
      <c r="N378" s="515">
        <v>760890149.37</v>
      </c>
      <c r="O378" s="514">
        <v>0.63507217000000005</v>
      </c>
      <c r="P378" s="515">
        <v>36768290.030000001</v>
      </c>
      <c r="Q378" s="515">
        <v>-2894811.94</v>
      </c>
      <c r="R378" s="515">
        <v>35972829.420000002</v>
      </c>
      <c r="S378" s="504" t="str">
        <f t="shared" si="5"/>
        <v>81</v>
      </c>
    </row>
    <row r="379" spans="1:19" ht="15" x14ac:dyDescent="0.25">
      <c r="A379" s="513" t="s">
        <v>402</v>
      </c>
      <c r="B379" s="513" t="s">
        <v>1163</v>
      </c>
      <c r="C379" s="513" t="s">
        <v>721</v>
      </c>
      <c r="D379" s="513" t="s">
        <v>359</v>
      </c>
      <c r="E379" s="514">
        <v>40</v>
      </c>
      <c r="F379" s="514">
        <v>-0.02</v>
      </c>
      <c r="G379" s="514">
        <v>2036</v>
      </c>
      <c r="H379" s="515">
        <v>3954158.66</v>
      </c>
      <c r="I379" s="514">
        <v>20.27523158</v>
      </c>
      <c r="J379" s="515">
        <v>80171482.519999996</v>
      </c>
      <c r="K379" s="514">
        <v>35.090000000000003</v>
      </c>
      <c r="L379" s="515">
        <v>138751427.38</v>
      </c>
      <c r="M379" s="514">
        <v>16.5</v>
      </c>
      <c r="N379" s="515">
        <v>65243617.890000001</v>
      </c>
      <c r="O379" s="514">
        <v>0.54036300999999998</v>
      </c>
      <c r="P379" s="515">
        <v>2136681.0699999998</v>
      </c>
      <c r="Q379" s="515">
        <v>-79083.17</v>
      </c>
      <c r="R379" s="515">
        <v>1600331.53</v>
      </c>
      <c r="S379" s="504" t="str">
        <f t="shared" si="5"/>
        <v>81</v>
      </c>
    </row>
    <row r="380" spans="1:19" ht="15" x14ac:dyDescent="0.25">
      <c r="A380" s="513" t="s">
        <v>402</v>
      </c>
      <c r="B380" s="513" t="s">
        <v>1163</v>
      </c>
      <c r="C380" s="513" t="s">
        <v>722</v>
      </c>
      <c r="D380" s="513" t="s">
        <v>405</v>
      </c>
      <c r="E380" s="514">
        <v>30</v>
      </c>
      <c r="F380" s="514">
        <v>-0.02</v>
      </c>
      <c r="G380" s="514">
        <v>2036</v>
      </c>
      <c r="H380" s="515">
        <v>1590953.25</v>
      </c>
      <c r="I380" s="514">
        <v>9.60407382</v>
      </c>
      <c r="J380" s="515">
        <v>15279632.460000001</v>
      </c>
      <c r="K380" s="514">
        <v>22.16</v>
      </c>
      <c r="L380" s="515">
        <v>35255524.020000003</v>
      </c>
      <c r="M380" s="514">
        <v>14.510026999999999</v>
      </c>
      <c r="N380" s="515">
        <v>23084774.609999999</v>
      </c>
      <c r="O380" s="514">
        <v>0.35221386999999998</v>
      </c>
      <c r="P380" s="515">
        <v>560355.80000000005</v>
      </c>
      <c r="Q380" s="515">
        <v>-31819.07</v>
      </c>
      <c r="R380" s="515">
        <v>419695.33</v>
      </c>
      <c r="S380" s="504" t="str">
        <f t="shared" si="5"/>
        <v>81</v>
      </c>
    </row>
    <row r="381" spans="1:19" ht="15" x14ac:dyDescent="0.25">
      <c r="A381" s="513" t="s">
        <v>402</v>
      </c>
      <c r="B381" s="513" t="s">
        <v>1163</v>
      </c>
      <c r="C381" s="513" t="s">
        <v>723</v>
      </c>
      <c r="D381" s="513" t="s">
        <v>407</v>
      </c>
      <c r="E381" s="514">
        <v>20</v>
      </c>
      <c r="F381" s="514">
        <v>-0.02</v>
      </c>
      <c r="G381" s="514">
        <v>2036</v>
      </c>
      <c r="H381" s="515">
        <v>515664.94</v>
      </c>
      <c r="I381" s="514">
        <v>9.1367145500000007</v>
      </c>
      <c r="J381" s="515">
        <v>4711483.3600000003</v>
      </c>
      <c r="K381" s="514">
        <v>19.45</v>
      </c>
      <c r="L381" s="515">
        <v>10029683.08</v>
      </c>
      <c r="M381" s="514">
        <v>10.939038</v>
      </c>
      <c r="N381" s="515">
        <v>5640878.3700000001</v>
      </c>
      <c r="O381" s="514">
        <v>0.44636139000000002</v>
      </c>
      <c r="P381" s="515">
        <v>230172.92</v>
      </c>
      <c r="Q381" s="515">
        <v>-10313.299999999999</v>
      </c>
      <c r="R381" s="515">
        <v>172394.93</v>
      </c>
      <c r="S381" s="504" t="str">
        <f t="shared" si="5"/>
        <v>81</v>
      </c>
    </row>
    <row r="382" spans="1:19" ht="15" x14ac:dyDescent="0.25">
      <c r="A382" s="513" t="s">
        <v>402</v>
      </c>
      <c r="B382" s="513" t="s">
        <v>1163</v>
      </c>
      <c r="C382" s="513" t="s">
        <v>724</v>
      </c>
      <c r="D382" s="513" t="s">
        <v>123</v>
      </c>
      <c r="E382" s="514"/>
      <c r="F382" s="514">
        <v>-0.02</v>
      </c>
      <c r="G382" s="514">
        <v>2036</v>
      </c>
      <c r="H382" s="515">
        <v>6060776.8499999996</v>
      </c>
      <c r="I382" s="514">
        <v>16.526363010000001</v>
      </c>
      <c r="J382" s="515">
        <v>100162598.34</v>
      </c>
      <c r="K382" s="514">
        <v>30.36518899</v>
      </c>
      <c r="L382" s="515">
        <v>184036634.47999999</v>
      </c>
      <c r="M382" s="514">
        <v>15.504492770000001</v>
      </c>
      <c r="N382" s="515">
        <v>93969270.879999995</v>
      </c>
      <c r="O382" s="514">
        <v>0.48297600000000002</v>
      </c>
      <c r="P382" s="515">
        <v>2927209.79</v>
      </c>
      <c r="Q382" s="515">
        <v>-121215.54</v>
      </c>
      <c r="R382" s="515">
        <v>2192421.79</v>
      </c>
      <c r="S382" s="504" t="str">
        <f t="shared" si="5"/>
        <v>81</v>
      </c>
    </row>
    <row r="383" spans="1:19" ht="15" x14ac:dyDescent="0.25">
      <c r="A383" s="513" t="s">
        <v>402</v>
      </c>
      <c r="B383" s="513" t="s">
        <v>1163</v>
      </c>
      <c r="C383" s="513" t="s">
        <v>1058</v>
      </c>
      <c r="D383" s="513" t="s">
        <v>359</v>
      </c>
      <c r="E383" s="514">
        <v>40</v>
      </c>
      <c r="F383" s="514">
        <v>-0.02</v>
      </c>
      <c r="G383" s="514">
        <v>2040</v>
      </c>
      <c r="H383" s="515">
        <v>2034147.31</v>
      </c>
      <c r="I383" s="514">
        <v>19.07143554</v>
      </c>
      <c r="J383" s="515">
        <v>38794109.299999997</v>
      </c>
      <c r="K383" s="514">
        <v>39.39</v>
      </c>
      <c r="L383" s="515">
        <v>80125062.540000007</v>
      </c>
      <c r="M383" s="514">
        <v>20.5</v>
      </c>
      <c r="N383" s="515">
        <v>41700019.859999999</v>
      </c>
      <c r="O383" s="514">
        <v>0.48916177999999999</v>
      </c>
      <c r="P383" s="515">
        <v>995027.11</v>
      </c>
      <c r="Q383" s="515">
        <v>-40682.949999999997</v>
      </c>
      <c r="R383" s="515">
        <v>1003813.7</v>
      </c>
      <c r="S383" s="504" t="str">
        <f t="shared" si="5"/>
        <v>82</v>
      </c>
    </row>
    <row r="384" spans="1:19" ht="15" x14ac:dyDescent="0.25">
      <c r="A384" s="513" t="s">
        <v>402</v>
      </c>
      <c r="B384" s="513" t="s">
        <v>1163</v>
      </c>
      <c r="C384" s="513" t="s">
        <v>1059</v>
      </c>
      <c r="D384" s="513" t="s">
        <v>405</v>
      </c>
      <c r="E384" s="514">
        <v>30</v>
      </c>
      <c r="F384" s="514">
        <v>-0.02</v>
      </c>
      <c r="G384" s="514">
        <v>2040</v>
      </c>
      <c r="H384" s="515">
        <v>80187.12</v>
      </c>
      <c r="I384" s="514">
        <v>19.5</v>
      </c>
      <c r="J384" s="515">
        <v>1563648.84</v>
      </c>
      <c r="K384" s="514">
        <v>30</v>
      </c>
      <c r="L384" s="515">
        <v>2405613.6</v>
      </c>
      <c r="M384" s="514">
        <v>10.711008</v>
      </c>
      <c r="N384" s="515">
        <v>858884.88</v>
      </c>
      <c r="O384" s="514">
        <v>0.65582576999999997</v>
      </c>
      <c r="P384" s="515">
        <v>52588.78</v>
      </c>
      <c r="Q384" s="515">
        <v>-1603.74</v>
      </c>
      <c r="R384" s="515">
        <v>53053.17</v>
      </c>
      <c r="S384" s="504" t="str">
        <f t="shared" si="5"/>
        <v>82</v>
      </c>
    </row>
    <row r="385" spans="1:19" ht="15" x14ac:dyDescent="0.25">
      <c r="A385" s="513" t="s">
        <v>402</v>
      </c>
      <c r="B385" s="513" t="s">
        <v>1163</v>
      </c>
      <c r="C385" s="513" t="s">
        <v>1060</v>
      </c>
      <c r="D385" s="513" t="s">
        <v>407</v>
      </c>
      <c r="E385" s="514">
        <v>20</v>
      </c>
      <c r="F385" s="514">
        <v>-0.02</v>
      </c>
      <c r="G385" s="514">
        <v>2040</v>
      </c>
      <c r="H385" s="515">
        <v>39678.76</v>
      </c>
      <c r="I385" s="514">
        <v>19.5</v>
      </c>
      <c r="J385" s="515">
        <v>773735.82</v>
      </c>
      <c r="K385" s="514">
        <v>20</v>
      </c>
      <c r="L385" s="515">
        <v>793575.2</v>
      </c>
      <c r="M385" s="514">
        <v>4.1576199999999996</v>
      </c>
      <c r="N385" s="515">
        <v>164969.21</v>
      </c>
      <c r="O385" s="514">
        <v>0.80796124000000002</v>
      </c>
      <c r="P385" s="515">
        <v>32058.9</v>
      </c>
      <c r="Q385" s="515">
        <v>-793.58</v>
      </c>
      <c r="R385" s="515">
        <v>32341.99</v>
      </c>
      <c r="S385" s="504" t="str">
        <f t="shared" si="5"/>
        <v>82</v>
      </c>
    </row>
    <row r="386" spans="1:19" ht="15" x14ac:dyDescent="0.25">
      <c r="A386" s="513" t="s">
        <v>402</v>
      </c>
      <c r="B386" s="513" t="s">
        <v>1163</v>
      </c>
      <c r="C386" s="513" t="s">
        <v>639</v>
      </c>
      <c r="D386" s="513" t="s">
        <v>123</v>
      </c>
      <c r="E386" s="514"/>
      <c r="F386" s="514">
        <v>-0.02</v>
      </c>
      <c r="G386" s="514">
        <v>2040</v>
      </c>
      <c r="H386" s="515">
        <v>2154013.19</v>
      </c>
      <c r="I386" s="514">
        <v>19.095284159999999</v>
      </c>
      <c r="J386" s="515">
        <v>41131493.960000001</v>
      </c>
      <c r="K386" s="514">
        <v>38.683259569999997</v>
      </c>
      <c r="L386" s="515">
        <v>83324251.340000004</v>
      </c>
      <c r="M386" s="514">
        <v>19.834546110000002</v>
      </c>
      <c r="N386" s="515">
        <v>42723873.939999998</v>
      </c>
      <c r="O386" s="514">
        <v>0.50123870999999998</v>
      </c>
      <c r="P386" s="515">
        <v>1079674.79</v>
      </c>
      <c r="Q386" s="515">
        <v>-43080.26</v>
      </c>
      <c r="R386" s="515">
        <v>1089208.8600000001</v>
      </c>
      <c r="S386" s="504" t="str">
        <f t="shared" ref="S386:S449" si="6">MID(C386,5,2)</f>
        <v>82</v>
      </c>
    </row>
    <row r="387" spans="1:19" ht="15" x14ac:dyDescent="0.25">
      <c r="A387" s="513" t="s">
        <v>402</v>
      </c>
      <c r="B387" s="513" t="s">
        <v>1163</v>
      </c>
      <c r="C387" s="513" t="s">
        <v>651</v>
      </c>
      <c r="D387" s="513" t="s">
        <v>359</v>
      </c>
      <c r="E387" s="514">
        <v>40</v>
      </c>
      <c r="F387" s="514">
        <v>-0.05</v>
      </c>
      <c r="G387" s="514">
        <v>2040</v>
      </c>
      <c r="H387" s="515">
        <v>1146309.0900000001</v>
      </c>
      <c r="I387" s="514">
        <v>14.72228084</v>
      </c>
      <c r="J387" s="515">
        <v>16876284.359999999</v>
      </c>
      <c r="K387" s="514">
        <v>33.229999999999997</v>
      </c>
      <c r="L387" s="515">
        <v>38091851.060000002</v>
      </c>
      <c r="M387" s="514">
        <v>20.5</v>
      </c>
      <c r="N387" s="515">
        <v>23499336.350000001</v>
      </c>
      <c r="O387" s="514">
        <v>0.40221416999999998</v>
      </c>
      <c r="P387" s="515">
        <v>461061.76</v>
      </c>
      <c r="Q387" s="515">
        <v>-57315.45</v>
      </c>
      <c r="R387" s="515">
        <v>330780.94</v>
      </c>
      <c r="S387" s="504" t="str">
        <f t="shared" si="6"/>
        <v>82</v>
      </c>
    </row>
    <row r="388" spans="1:19" ht="15" x14ac:dyDescent="0.25">
      <c r="A388" s="513" t="s">
        <v>402</v>
      </c>
      <c r="B388" s="513" t="s">
        <v>1163</v>
      </c>
      <c r="C388" s="513" t="s">
        <v>652</v>
      </c>
      <c r="D388" s="513" t="s">
        <v>405</v>
      </c>
      <c r="E388" s="514">
        <v>30</v>
      </c>
      <c r="F388" s="514">
        <v>-0.05</v>
      </c>
      <c r="G388" s="514">
        <v>2040</v>
      </c>
      <c r="H388" s="515">
        <v>774149.41</v>
      </c>
      <c r="I388" s="514">
        <v>3.6856806199999999</v>
      </c>
      <c r="J388" s="515">
        <v>2853267.48</v>
      </c>
      <c r="K388" s="514">
        <v>22.13</v>
      </c>
      <c r="L388" s="515">
        <v>17131926.440000001</v>
      </c>
      <c r="M388" s="514">
        <v>19.267271999999998</v>
      </c>
      <c r="N388" s="515">
        <v>14915747.25</v>
      </c>
      <c r="O388" s="514">
        <v>0.13598713000000001</v>
      </c>
      <c r="P388" s="515">
        <v>105274.36</v>
      </c>
      <c r="Q388" s="515">
        <v>-38707.47</v>
      </c>
      <c r="R388" s="515">
        <v>75527.3</v>
      </c>
      <c r="S388" s="504" t="str">
        <f t="shared" si="6"/>
        <v>82</v>
      </c>
    </row>
    <row r="389" spans="1:19" ht="15" x14ac:dyDescent="0.25">
      <c r="A389" s="513" t="s">
        <v>402</v>
      </c>
      <c r="B389" s="513" t="s">
        <v>1163</v>
      </c>
      <c r="C389" s="513" t="s">
        <v>653</v>
      </c>
      <c r="D389" s="513" t="s">
        <v>407</v>
      </c>
      <c r="E389" s="514">
        <v>20</v>
      </c>
      <c r="F389" s="514">
        <v>-0.05</v>
      </c>
      <c r="G389" s="514">
        <v>2040</v>
      </c>
      <c r="H389" s="515">
        <v>133776.28</v>
      </c>
      <c r="I389" s="514">
        <v>8.0380695299999996</v>
      </c>
      <c r="J389" s="515">
        <v>1075303.04</v>
      </c>
      <c r="K389" s="514">
        <v>19.899999999999999</v>
      </c>
      <c r="L389" s="515">
        <v>2662147.9700000002</v>
      </c>
      <c r="M389" s="514">
        <v>12.22275</v>
      </c>
      <c r="N389" s="515">
        <v>1635114.03</v>
      </c>
      <c r="O389" s="514">
        <v>0.40515754999999998</v>
      </c>
      <c r="P389" s="515">
        <v>54200.47</v>
      </c>
      <c r="Q389" s="515">
        <v>-6688.81</v>
      </c>
      <c r="R389" s="515">
        <v>38885.21</v>
      </c>
      <c r="S389" s="504" t="str">
        <f t="shared" si="6"/>
        <v>82</v>
      </c>
    </row>
    <row r="390" spans="1:19" ht="15" x14ac:dyDescent="0.25">
      <c r="A390" s="513" t="s">
        <v>402</v>
      </c>
      <c r="B390" s="513" t="s">
        <v>1163</v>
      </c>
      <c r="C390" s="513" t="s">
        <v>654</v>
      </c>
      <c r="D390" s="513" t="s">
        <v>123</v>
      </c>
      <c r="E390" s="514"/>
      <c r="F390" s="514">
        <v>-0.05</v>
      </c>
      <c r="G390" s="514">
        <v>2040</v>
      </c>
      <c r="H390" s="515">
        <v>2054234.78</v>
      </c>
      <c r="I390" s="514">
        <v>10.12778825</v>
      </c>
      <c r="J390" s="515">
        <v>20804854.870000001</v>
      </c>
      <c r="K390" s="514">
        <v>28.17882651</v>
      </c>
      <c r="L390" s="515">
        <v>57885925.479999997</v>
      </c>
      <c r="M390" s="514">
        <v>19.496407139999999</v>
      </c>
      <c r="N390" s="515">
        <v>40050197.619999997</v>
      </c>
      <c r="O390" s="514">
        <v>0.30207676</v>
      </c>
      <c r="P390" s="515">
        <v>620536.59</v>
      </c>
      <c r="Q390" s="515">
        <v>-102711.74</v>
      </c>
      <c r="R390" s="515">
        <v>445193.45</v>
      </c>
      <c r="S390" s="504" t="str">
        <f t="shared" si="6"/>
        <v>82</v>
      </c>
    </row>
    <row r="391" spans="1:19" ht="15" x14ac:dyDescent="0.25">
      <c r="A391" s="513" t="s">
        <v>402</v>
      </c>
      <c r="B391" s="513" t="s">
        <v>1163</v>
      </c>
      <c r="C391" s="513" t="s">
        <v>675</v>
      </c>
      <c r="D391" s="513" t="s">
        <v>359</v>
      </c>
      <c r="E391" s="514">
        <v>12</v>
      </c>
      <c r="F391" s="514">
        <v>-7.0000000000000007E-2</v>
      </c>
      <c r="G391" s="514">
        <v>2040</v>
      </c>
      <c r="H391" s="515">
        <v>6257052.1500000004</v>
      </c>
      <c r="I391" s="514">
        <v>3.5</v>
      </c>
      <c r="J391" s="515">
        <v>21899682.530000001</v>
      </c>
      <c r="K391" s="514">
        <v>12</v>
      </c>
      <c r="L391" s="515">
        <v>75084625.799999997</v>
      </c>
      <c r="M391" s="514">
        <v>8.5</v>
      </c>
      <c r="N391" s="515">
        <v>53184943.280000001</v>
      </c>
      <c r="O391" s="514">
        <v>0.31208332999999999</v>
      </c>
      <c r="P391" s="515">
        <v>1952721.69</v>
      </c>
      <c r="Q391" s="515">
        <v>-437993.65</v>
      </c>
      <c r="R391" s="515">
        <v>1313440.76</v>
      </c>
      <c r="S391" s="504" t="str">
        <f t="shared" si="6"/>
        <v>82</v>
      </c>
    </row>
    <row r="392" spans="1:19" ht="15" x14ac:dyDescent="0.25">
      <c r="A392" s="513" t="s">
        <v>402</v>
      </c>
      <c r="B392" s="513" t="s">
        <v>1163</v>
      </c>
      <c r="C392" s="513" t="s">
        <v>676</v>
      </c>
      <c r="D392" s="513" t="s">
        <v>359</v>
      </c>
      <c r="E392" s="514">
        <v>40</v>
      </c>
      <c r="F392" s="514">
        <v>-7.0000000000000007E-2</v>
      </c>
      <c r="G392" s="514">
        <v>2040</v>
      </c>
      <c r="H392" s="515">
        <v>10793814.49</v>
      </c>
      <c r="I392" s="514">
        <v>19.396372979999999</v>
      </c>
      <c r="J392" s="515">
        <v>209360851.68000001</v>
      </c>
      <c r="K392" s="514">
        <v>39.83</v>
      </c>
      <c r="L392" s="515">
        <v>429917631.13999999</v>
      </c>
      <c r="M392" s="514">
        <v>20.5</v>
      </c>
      <c r="N392" s="515">
        <v>221273197.05000001</v>
      </c>
      <c r="O392" s="514">
        <v>0.51925723000000001</v>
      </c>
      <c r="P392" s="515">
        <v>5604766.2199999997</v>
      </c>
      <c r="Q392" s="515">
        <v>-755567.01</v>
      </c>
      <c r="R392" s="515">
        <v>3769880.99</v>
      </c>
      <c r="S392" s="504" t="str">
        <f t="shared" si="6"/>
        <v>82</v>
      </c>
    </row>
    <row r="393" spans="1:19" ht="15" x14ac:dyDescent="0.25">
      <c r="A393" s="513" t="s">
        <v>402</v>
      </c>
      <c r="B393" s="513" t="s">
        <v>1163</v>
      </c>
      <c r="C393" s="513" t="s">
        <v>677</v>
      </c>
      <c r="D393" s="513" t="s">
        <v>405</v>
      </c>
      <c r="E393" s="514">
        <v>30</v>
      </c>
      <c r="F393" s="514">
        <v>-7.0000000000000007E-2</v>
      </c>
      <c r="G393" s="514">
        <v>2040</v>
      </c>
      <c r="H393" s="515">
        <v>7608534.3700000001</v>
      </c>
      <c r="I393" s="514">
        <v>15.153196380000001</v>
      </c>
      <c r="J393" s="515">
        <v>115293615.47</v>
      </c>
      <c r="K393" s="514">
        <v>28.51</v>
      </c>
      <c r="L393" s="515">
        <v>216919314.88999999</v>
      </c>
      <c r="M393" s="514">
        <v>13.923461</v>
      </c>
      <c r="N393" s="515">
        <v>105937131.56999999</v>
      </c>
      <c r="O393" s="514">
        <v>0.54741768000000002</v>
      </c>
      <c r="P393" s="515">
        <v>4165046.26</v>
      </c>
      <c r="Q393" s="515">
        <v>-532597.41</v>
      </c>
      <c r="R393" s="515">
        <v>2801495.75</v>
      </c>
      <c r="S393" s="504" t="str">
        <f t="shared" si="6"/>
        <v>82</v>
      </c>
    </row>
    <row r="394" spans="1:19" ht="15" x14ac:dyDescent="0.25">
      <c r="A394" s="513" t="s">
        <v>402</v>
      </c>
      <c r="B394" s="513" t="s">
        <v>1163</v>
      </c>
      <c r="C394" s="513" t="s">
        <v>678</v>
      </c>
      <c r="D394" s="513" t="s">
        <v>407</v>
      </c>
      <c r="E394" s="514">
        <v>20</v>
      </c>
      <c r="F394" s="514">
        <v>-7.0000000000000007E-2</v>
      </c>
      <c r="G394" s="514">
        <v>2040</v>
      </c>
      <c r="H394" s="515">
        <v>284045.11</v>
      </c>
      <c r="I394" s="514">
        <v>12.29895338</v>
      </c>
      <c r="J394" s="515">
        <v>3493457.57</v>
      </c>
      <c r="K394" s="514">
        <v>19.91</v>
      </c>
      <c r="L394" s="515">
        <v>5655338.1399999997</v>
      </c>
      <c r="M394" s="514">
        <v>9.4846210000000006</v>
      </c>
      <c r="N394" s="515">
        <v>2694060.22</v>
      </c>
      <c r="O394" s="514">
        <v>0.56034762000000005</v>
      </c>
      <c r="P394" s="515">
        <v>159164</v>
      </c>
      <c r="Q394" s="515">
        <v>-19883.16</v>
      </c>
      <c r="R394" s="515">
        <v>107056.97</v>
      </c>
      <c r="S394" s="504" t="str">
        <f t="shared" si="6"/>
        <v>82</v>
      </c>
    </row>
    <row r="395" spans="1:19" ht="15" x14ac:dyDescent="0.25">
      <c r="A395" s="513" t="s">
        <v>402</v>
      </c>
      <c r="B395" s="513" t="s">
        <v>1163</v>
      </c>
      <c r="C395" s="513" t="s">
        <v>679</v>
      </c>
      <c r="D395" s="513" t="s">
        <v>123</v>
      </c>
      <c r="E395" s="514"/>
      <c r="F395" s="514">
        <v>-7.0000000000000007E-2</v>
      </c>
      <c r="G395" s="514">
        <v>2040</v>
      </c>
      <c r="H395" s="515">
        <v>24943446.120000001</v>
      </c>
      <c r="I395" s="514">
        <v>14.03365058</v>
      </c>
      <c r="J395" s="515">
        <v>350047607.23000002</v>
      </c>
      <c r="K395" s="514">
        <v>29.169061339999999</v>
      </c>
      <c r="L395" s="515">
        <v>727576909.97000003</v>
      </c>
      <c r="M395" s="514">
        <v>15.358316179999999</v>
      </c>
      <c r="N395" s="515">
        <v>383089332.10000002</v>
      </c>
      <c r="O395" s="514">
        <v>0.47634548999999998</v>
      </c>
      <c r="P395" s="515">
        <v>11881698.17</v>
      </c>
      <c r="Q395" s="515">
        <v>-1746041.23</v>
      </c>
      <c r="R395" s="515">
        <v>7991874.4699999997</v>
      </c>
      <c r="S395" s="504" t="str">
        <f t="shared" si="6"/>
        <v>82</v>
      </c>
    </row>
    <row r="396" spans="1:19" ht="15" x14ac:dyDescent="0.25">
      <c r="A396" s="513" t="s">
        <v>402</v>
      </c>
      <c r="B396" s="513" t="s">
        <v>1163</v>
      </c>
      <c r="C396" s="513" t="s">
        <v>701</v>
      </c>
      <c r="D396" s="513" t="s">
        <v>359</v>
      </c>
      <c r="E396" s="514">
        <v>40</v>
      </c>
      <c r="F396" s="514">
        <v>-0.05</v>
      </c>
      <c r="G396" s="514">
        <v>2040</v>
      </c>
      <c r="H396" s="515">
        <v>10136219.939999999</v>
      </c>
      <c r="I396" s="514">
        <v>19.273611039999999</v>
      </c>
      <c r="J396" s="515">
        <v>195361560.49000001</v>
      </c>
      <c r="K396" s="514">
        <v>39.61</v>
      </c>
      <c r="L396" s="515">
        <v>401495671.81999999</v>
      </c>
      <c r="M396" s="514">
        <v>20.5</v>
      </c>
      <c r="N396" s="515">
        <v>207792508.77000001</v>
      </c>
      <c r="O396" s="514">
        <v>0.50657823999999996</v>
      </c>
      <c r="P396" s="515">
        <v>5134788.42</v>
      </c>
      <c r="Q396" s="515">
        <v>-506811</v>
      </c>
      <c r="R396" s="515">
        <v>4525670.99</v>
      </c>
      <c r="S396" s="504" t="str">
        <f t="shared" si="6"/>
        <v>82</v>
      </c>
    </row>
    <row r="397" spans="1:19" ht="15" x14ac:dyDescent="0.25">
      <c r="A397" s="513" t="s">
        <v>402</v>
      </c>
      <c r="B397" s="513" t="s">
        <v>1163</v>
      </c>
      <c r="C397" s="513" t="s">
        <v>702</v>
      </c>
      <c r="D397" s="513" t="s">
        <v>405</v>
      </c>
      <c r="E397" s="514">
        <v>30</v>
      </c>
      <c r="F397" s="514">
        <v>-0.05</v>
      </c>
      <c r="G397" s="514">
        <v>2040</v>
      </c>
      <c r="H397" s="515">
        <v>6341710.3600000003</v>
      </c>
      <c r="I397" s="514">
        <v>17.043176840000001</v>
      </c>
      <c r="J397" s="515">
        <v>108082891.15000001</v>
      </c>
      <c r="K397" s="514">
        <v>28.52</v>
      </c>
      <c r="L397" s="515">
        <v>180865579.47</v>
      </c>
      <c r="M397" s="514">
        <v>12.428015</v>
      </c>
      <c r="N397" s="515">
        <v>78814871.480000004</v>
      </c>
      <c r="O397" s="514">
        <v>0.59237474000000001</v>
      </c>
      <c r="P397" s="515">
        <v>3756669</v>
      </c>
      <c r="Q397" s="515">
        <v>-317085.52</v>
      </c>
      <c r="R397" s="515">
        <v>3311031.83</v>
      </c>
      <c r="S397" s="504" t="str">
        <f t="shared" si="6"/>
        <v>82</v>
      </c>
    </row>
    <row r="398" spans="1:19" ht="15" x14ac:dyDescent="0.25">
      <c r="A398" s="513" t="s">
        <v>402</v>
      </c>
      <c r="B398" s="513" t="s">
        <v>1163</v>
      </c>
      <c r="C398" s="513" t="s">
        <v>703</v>
      </c>
      <c r="D398" s="513" t="s">
        <v>407</v>
      </c>
      <c r="E398" s="514">
        <v>20</v>
      </c>
      <c r="F398" s="514">
        <v>-0.05</v>
      </c>
      <c r="G398" s="514">
        <v>2040</v>
      </c>
      <c r="H398" s="515">
        <v>781804.22</v>
      </c>
      <c r="I398" s="514">
        <v>15.033199079999999</v>
      </c>
      <c r="J398" s="515">
        <v>11753018.48</v>
      </c>
      <c r="K398" s="514">
        <v>19.86</v>
      </c>
      <c r="L398" s="515">
        <v>15526631.810000001</v>
      </c>
      <c r="M398" s="514">
        <v>7.462542</v>
      </c>
      <c r="N398" s="515">
        <v>5834246.8300000001</v>
      </c>
      <c r="O398" s="514">
        <v>0.65541386000000001</v>
      </c>
      <c r="P398" s="515">
        <v>512405.32</v>
      </c>
      <c r="Q398" s="515">
        <v>-39090.21</v>
      </c>
      <c r="R398" s="515">
        <v>451620.92</v>
      </c>
      <c r="S398" s="504" t="str">
        <f t="shared" si="6"/>
        <v>82</v>
      </c>
    </row>
    <row r="399" spans="1:19" ht="15" x14ac:dyDescent="0.25">
      <c r="A399" s="513" t="s">
        <v>402</v>
      </c>
      <c r="B399" s="513" t="s">
        <v>1163</v>
      </c>
      <c r="C399" s="513" t="s">
        <v>704</v>
      </c>
      <c r="D399" s="513" t="s">
        <v>123</v>
      </c>
      <c r="E399" s="514"/>
      <c r="F399" s="514">
        <v>-0.05</v>
      </c>
      <c r="G399" s="514">
        <v>2040</v>
      </c>
      <c r="H399" s="515">
        <v>17259734.52</v>
      </c>
      <c r="I399" s="514">
        <v>18.262011489999999</v>
      </c>
      <c r="J399" s="515">
        <v>315197470.12</v>
      </c>
      <c r="K399" s="514">
        <v>34.640618740000001</v>
      </c>
      <c r="L399" s="515">
        <v>597887883.10000002</v>
      </c>
      <c r="M399" s="514">
        <v>16.943576199999999</v>
      </c>
      <c r="N399" s="515">
        <v>292441627.07999998</v>
      </c>
      <c r="O399" s="514">
        <v>0.54484399999999999</v>
      </c>
      <c r="P399" s="515">
        <v>9403862.7400000002</v>
      </c>
      <c r="Q399" s="515">
        <v>-862986.73</v>
      </c>
      <c r="R399" s="515">
        <v>8288323.7400000002</v>
      </c>
      <c r="S399" s="504" t="str">
        <f t="shared" si="6"/>
        <v>82</v>
      </c>
    </row>
    <row r="400" spans="1:19" ht="15" x14ac:dyDescent="0.25">
      <c r="A400" s="513" t="s">
        <v>402</v>
      </c>
      <c r="B400" s="513" t="s">
        <v>1163</v>
      </c>
      <c r="C400" s="513" t="s">
        <v>725</v>
      </c>
      <c r="D400" s="513" t="s">
        <v>359</v>
      </c>
      <c r="E400" s="514">
        <v>40</v>
      </c>
      <c r="F400" s="514">
        <v>-0.02</v>
      </c>
      <c r="G400" s="514">
        <v>2040</v>
      </c>
      <c r="H400" s="515">
        <v>167173.76999999999</v>
      </c>
      <c r="I400" s="514">
        <v>19.5</v>
      </c>
      <c r="J400" s="515">
        <v>3259888.52</v>
      </c>
      <c r="K400" s="514">
        <v>40</v>
      </c>
      <c r="L400" s="515">
        <v>6686950.7999999998</v>
      </c>
      <c r="M400" s="514">
        <v>20.5</v>
      </c>
      <c r="N400" s="515">
        <v>3427062.29</v>
      </c>
      <c r="O400" s="514">
        <v>0.49725002000000001</v>
      </c>
      <c r="P400" s="515">
        <v>83127.16</v>
      </c>
      <c r="Q400" s="515">
        <v>-3343.48</v>
      </c>
      <c r="R400" s="515">
        <v>112392.81</v>
      </c>
      <c r="S400" s="504" t="str">
        <f t="shared" si="6"/>
        <v>82</v>
      </c>
    </row>
    <row r="401" spans="1:19" ht="15" x14ac:dyDescent="0.25">
      <c r="A401" s="513" t="s">
        <v>402</v>
      </c>
      <c r="B401" s="513" t="s">
        <v>1163</v>
      </c>
      <c r="C401" s="513" t="s">
        <v>726</v>
      </c>
      <c r="D401" s="513" t="s">
        <v>405</v>
      </c>
      <c r="E401" s="514">
        <v>30</v>
      </c>
      <c r="F401" s="514">
        <v>-0.02</v>
      </c>
      <c r="G401" s="514">
        <v>2040</v>
      </c>
      <c r="H401" s="515">
        <v>6036.14</v>
      </c>
      <c r="I401" s="514">
        <v>19.5</v>
      </c>
      <c r="J401" s="515">
        <v>117704.73</v>
      </c>
      <c r="K401" s="514">
        <v>30</v>
      </c>
      <c r="L401" s="515">
        <v>181084.2</v>
      </c>
      <c r="M401" s="514">
        <v>10.711008</v>
      </c>
      <c r="N401" s="515">
        <v>64653.14</v>
      </c>
      <c r="O401" s="514">
        <v>0.65582640999999997</v>
      </c>
      <c r="P401" s="515">
        <v>3958.66</v>
      </c>
      <c r="Q401" s="515">
        <v>-120.72</v>
      </c>
      <c r="R401" s="515">
        <v>5352.34</v>
      </c>
      <c r="S401" s="504" t="str">
        <f t="shared" si="6"/>
        <v>82</v>
      </c>
    </row>
    <row r="402" spans="1:19" ht="15" x14ac:dyDescent="0.25">
      <c r="A402" s="513" t="s">
        <v>402</v>
      </c>
      <c r="B402" s="513" t="s">
        <v>1163</v>
      </c>
      <c r="C402" s="513" t="s">
        <v>727</v>
      </c>
      <c r="D402" s="513" t="s">
        <v>123</v>
      </c>
      <c r="E402" s="514"/>
      <c r="F402" s="514">
        <v>-0.02</v>
      </c>
      <c r="G402" s="514">
        <v>2040</v>
      </c>
      <c r="H402" s="515">
        <v>173209.91</v>
      </c>
      <c r="I402" s="514">
        <v>19.5</v>
      </c>
      <c r="J402" s="515">
        <v>3377593.25</v>
      </c>
      <c r="K402" s="514">
        <v>39.651513010000002</v>
      </c>
      <c r="L402" s="515">
        <v>6868035</v>
      </c>
      <c r="M402" s="514">
        <v>20.158866369999998</v>
      </c>
      <c r="N402" s="515">
        <v>3491715.43</v>
      </c>
      <c r="O402" s="514">
        <v>0.50277620000000001</v>
      </c>
      <c r="P402" s="515">
        <v>87085.82</v>
      </c>
      <c r="Q402" s="515">
        <v>-3464.2</v>
      </c>
      <c r="R402" s="515">
        <v>117745.15</v>
      </c>
      <c r="S402" s="504" t="str">
        <f t="shared" si="6"/>
        <v>82</v>
      </c>
    </row>
    <row r="403" spans="1:19" ht="15" x14ac:dyDescent="0.25">
      <c r="A403" s="513" t="s">
        <v>402</v>
      </c>
      <c r="B403" s="513" t="s">
        <v>1163</v>
      </c>
      <c r="C403" s="513" t="s">
        <v>1061</v>
      </c>
      <c r="D403" s="513" t="s">
        <v>359</v>
      </c>
      <c r="E403" s="514">
        <v>40</v>
      </c>
      <c r="F403" s="514">
        <v>-0.02</v>
      </c>
      <c r="G403" s="514">
        <v>2042</v>
      </c>
      <c r="H403" s="515">
        <v>10430335.470000001</v>
      </c>
      <c r="I403" s="514">
        <v>17.207701629999999</v>
      </c>
      <c r="J403" s="515">
        <v>179482100.63</v>
      </c>
      <c r="K403" s="514">
        <v>39.54</v>
      </c>
      <c r="L403" s="515">
        <v>412415464.48000002</v>
      </c>
      <c r="M403" s="514">
        <v>22.5</v>
      </c>
      <c r="N403" s="515">
        <v>234682548.08000001</v>
      </c>
      <c r="O403" s="514">
        <v>0.43954936</v>
      </c>
      <c r="P403" s="515">
        <v>4584647.2699999996</v>
      </c>
      <c r="Q403" s="515">
        <v>-208606.71</v>
      </c>
      <c r="R403" s="515">
        <v>4564172.68</v>
      </c>
      <c r="S403" s="504" t="str">
        <f t="shared" si="6"/>
        <v>83</v>
      </c>
    </row>
    <row r="404" spans="1:19" ht="15" x14ac:dyDescent="0.25">
      <c r="A404" s="513" t="s">
        <v>402</v>
      </c>
      <c r="B404" s="513" t="s">
        <v>1163</v>
      </c>
      <c r="C404" s="513" t="s">
        <v>1062</v>
      </c>
      <c r="D404" s="513" t="s">
        <v>405</v>
      </c>
      <c r="E404" s="514">
        <v>30</v>
      </c>
      <c r="F404" s="514">
        <v>-0.02</v>
      </c>
      <c r="G404" s="514">
        <v>2042</v>
      </c>
      <c r="H404" s="515">
        <v>42760.69</v>
      </c>
      <c r="I404" s="514">
        <v>17.5</v>
      </c>
      <c r="J404" s="515">
        <v>748312.08</v>
      </c>
      <c r="K404" s="514">
        <v>30</v>
      </c>
      <c r="L404" s="515">
        <v>1282820.7</v>
      </c>
      <c r="M404" s="514">
        <v>12.547853</v>
      </c>
      <c r="N404" s="515">
        <v>536554.85</v>
      </c>
      <c r="O404" s="514">
        <v>0.59337302999999997</v>
      </c>
      <c r="P404" s="515">
        <v>25373.040000000001</v>
      </c>
      <c r="Q404" s="515">
        <v>-855.21</v>
      </c>
      <c r="R404" s="515">
        <v>25259.73</v>
      </c>
      <c r="S404" s="504" t="str">
        <f t="shared" si="6"/>
        <v>83</v>
      </c>
    </row>
    <row r="405" spans="1:19" ht="15" x14ac:dyDescent="0.25">
      <c r="A405" s="513" t="s">
        <v>402</v>
      </c>
      <c r="B405" s="513" t="s">
        <v>1163</v>
      </c>
      <c r="C405" s="513" t="s">
        <v>1063</v>
      </c>
      <c r="D405" s="513" t="s">
        <v>407</v>
      </c>
      <c r="E405" s="514">
        <v>20</v>
      </c>
      <c r="F405" s="514">
        <v>-0.02</v>
      </c>
      <c r="G405" s="514">
        <v>2042</v>
      </c>
      <c r="H405" s="515">
        <v>60219.48</v>
      </c>
      <c r="I405" s="514">
        <v>17.5</v>
      </c>
      <c r="J405" s="515">
        <v>1053840.8999999999</v>
      </c>
      <c r="K405" s="514">
        <v>20</v>
      </c>
      <c r="L405" s="515">
        <v>1204389.6000000001</v>
      </c>
      <c r="M405" s="514">
        <v>5.0409560000000004</v>
      </c>
      <c r="N405" s="515">
        <v>303563.75</v>
      </c>
      <c r="O405" s="514">
        <v>0.76291127000000003</v>
      </c>
      <c r="P405" s="515">
        <v>45942.12</v>
      </c>
      <c r="Q405" s="515">
        <v>-1204.3900000000001</v>
      </c>
      <c r="R405" s="515">
        <v>45736.94</v>
      </c>
      <c r="S405" s="504" t="str">
        <f t="shared" si="6"/>
        <v>83</v>
      </c>
    </row>
    <row r="406" spans="1:19" ht="15" x14ac:dyDescent="0.25">
      <c r="A406" s="513" t="s">
        <v>402</v>
      </c>
      <c r="B406" s="513" t="s">
        <v>1163</v>
      </c>
      <c r="C406" s="513" t="s">
        <v>640</v>
      </c>
      <c r="D406" s="513" t="s">
        <v>123</v>
      </c>
      <c r="E406" s="514"/>
      <c r="F406" s="514">
        <v>-0.02</v>
      </c>
      <c r="G406" s="514">
        <v>2042</v>
      </c>
      <c r="H406" s="515">
        <v>10533315.640000001</v>
      </c>
      <c r="I406" s="514">
        <v>17.210559310000001</v>
      </c>
      <c r="J406" s="515">
        <v>181284253.59999999</v>
      </c>
      <c r="K406" s="514">
        <v>39.389560609999997</v>
      </c>
      <c r="L406" s="515">
        <v>414902674.77999997</v>
      </c>
      <c r="M406" s="514">
        <v>22.359784399999999</v>
      </c>
      <c r="N406" s="515">
        <v>235522666.68000001</v>
      </c>
      <c r="O406" s="514">
        <v>0.44202248999999999</v>
      </c>
      <c r="P406" s="515">
        <v>4655962.43</v>
      </c>
      <c r="Q406" s="515">
        <v>-210666.31</v>
      </c>
      <c r="R406" s="515">
        <v>4635169.3499999996</v>
      </c>
      <c r="S406" s="504" t="str">
        <f t="shared" si="6"/>
        <v>83</v>
      </c>
    </row>
    <row r="407" spans="1:19" ht="15" x14ac:dyDescent="0.25">
      <c r="A407" s="513" t="s">
        <v>402</v>
      </c>
      <c r="B407" s="513" t="s">
        <v>1163</v>
      </c>
      <c r="C407" s="513" t="s">
        <v>655</v>
      </c>
      <c r="D407" s="513" t="s">
        <v>359</v>
      </c>
      <c r="E407" s="514">
        <v>40</v>
      </c>
      <c r="F407" s="514">
        <v>-0.05</v>
      </c>
      <c r="G407" s="514">
        <v>2042</v>
      </c>
      <c r="H407" s="515">
        <v>1209427.82</v>
      </c>
      <c r="I407" s="514">
        <v>13.937482019999999</v>
      </c>
      <c r="J407" s="515">
        <v>16856378.5</v>
      </c>
      <c r="K407" s="514">
        <v>34.64</v>
      </c>
      <c r="L407" s="515">
        <v>41894579.68</v>
      </c>
      <c r="M407" s="514">
        <v>22.5</v>
      </c>
      <c r="N407" s="515">
        <v>27212125.949999999</v>
      </c>
      <c r="O407" s="514">
        <v>0.36789186000000001</v>
      </c>
      <c r="P407" s="515">
        <v>444938.65</v>
      </c>
      <c r="Q407" s="515">
        <v>-60471.39</v>
      </c>
      <c r="R407" s="515">
        <v>430800.03</v>
      </c>
      <c r="S407" s="504" t="str">
        <f t="shared" si="6"/>
        <v>83</v>
      </c>
    </row>
    <row r="408" spans="1:19" ht="15" x14ac:dyDescent="0.25">
      <c r="A408" s="513" t="s">
        <v>402</v>
      </c>
      <c r="B408" s="513" t="s">
        <v>1163</v>
      </c>
      <c r="C408" s="513" t="s">
        <v>656</v>
      </c>
      <c r="D408" s="513" t="s">
        <v>405</v>
      </c>
      <c r="E408" s="514">
        <v>30</v>
      </c>
      <c r="F408" s="514">
        <v>-0.05</v>
      </c>
      <c r="G408" s="514">
        <v>2042</v>
      </c>
      <c r="H408" s="515">
        <v>128202.8</v>
      </c>
      <c r="I408" s="514">
        <v>17.5</v>
      </c>
      <c r="J408" s="515">
        <v>2243549</v>
      </c>
      <c r="K408" s="514">
        <v>30</v>
      </c>
      <c r="L408" s="515">
        <v>3846084</v>
      </c>
      <c r="M408" s="514">
        <v>12.547853</v>
      </c>
      <c r="N408" s="515">
        <v>1608669.89</v>
      </c>
      <c r="O408" s="514">
        <v>0.61082510999999995</v>
      </c>
      <c r="P408" s="515">
        <v>78309.490000000005</v>
      </c>
      <c r="Q408" s="515">
        <v>-6410.14</v>
      </c>
      <c r="R408" s="515">
        <v>75821.08</v>
      </c>
      <c r="S408" s="504" t="str">
        <f t="shared" si="6"/>
        <v>83</v>
      </c>
    </row>
    <row r="409" spans="1:19" ht="15" x14ac:dyDescent="0.25">
      <c r="A409" s="513" t="s">
        <v>402</v>
      </c>
      <c r="B409" s="513" t="s">
        <v>1163</v>
      </c>
      <c r="C409" s="513" t="s">
        <v>657</v>
      </c>
      <c r="D409" s="513" t="s">
        <v>407</v>
      </c>
      <c r="E409" s="514">
        <v>20</v>
      </c>
      <c r="F409" s="514">
        <v>-0.05</v>
      </c>
      <c r="G409" s="514">
        <v>2042</v>
      </c>
      <c r="H409" s="515">
        <v>16584.57</v>
      </c>
      <c r="I409" s="514">
        <v>17.5</v>
      </c>
      <c r="J409" s="515">
        <v>290229.98</v>
      </c>
      <c r="K409" s="514">
        <v>20</v>
      </c>
      <c r="L409" s="515">
        <v>331691.40000000002</v>
      </c>
      <c r="M409" s="514">
        <v>5.0409560000000004</v>
      </c>
      <c r="N409" s="515">
        <v>83602.09</v>
      </c>
      <c r="O409" s="514">
        <v>0.78534987999999994</v>
      </c>
      <c r="P409" s="515">
        <v>13024.69</v>
      </c>
      <c r="Q409" s="515">
        <v>-829.23</v>
      </c>
      <c r="R409" s="515">
        <v>12610.81</v>
      </c>
      <c r="S409" s="504" t="str">
        <f t="shared" si="6"/>
        <v>83</v>
      </c>
    </row>
    <row r="410" spans="1:19" ht="15" x14ac:dyDescent="0.25">
      <c r="A410" s="513" t="s">
        <v>402</v>
      </c>
      <c r="B410" s="513" t="s">
        <v>1163</v>
      </c>
      <c r="C410" s="513" t="s">
        <v>658</v>
      </c>
      <c r="D410" s="513" t="s">
        <v>123</v>
      </c>
      <c r="E410" s="514"/>
      <c r="F410" s="514">
        <v>-0.05</v>
      </c>
      <c r="G410" s="514">
        <v>2042</v>
      </c>
      <c r="H410" s="515">
        <v>1354215.19</v>
      </c>
      <c r="I410" s="514">
        <v>14.318372460000001</v>
      </c>
      <c r="J410" s="515">
        <v>19390157.48</v>
      </c>
      <c r="K410" s="514">
        <v>34.021443140000002</v>
      </c>
      <c r="L410" s="515">
        <v>46072355.079999998</v>
      </c>
      <c r="M410" s="514">
        <v>21.344021349999998</v>
      </c>
      <c r="N410" s="515">
        <v>28904397.93</v>
      </c>
      <c r="O410" s="514">
        <v>0.39600267</v>
      </c>
      <c r="P410" s="515">
        <v>536272.82999999996</v>
      </c>
      <c r="Q410" s="515">
        <v>-67710.759999999995</v>
      </c>
      <c r="R410" s="515">
        <v>519231.92</v>
      </c>
      <c r="S410" s="504" t="str">
        <f t="shared" si="6"/>
        <v>83</v>
      </c>
    </row>
    <row r="411" spans="1:19" ht="15" x14ac:dyDescent="0.25">
      <c r="A411" s="513" t="s">
        <v>402</v>
      </c>
      <c r="B411" s="513" t="s">
        <v>1163</v>
      </c>
      <c r="C411" s="513" t="s">
        <v>680</v>
      </c>
      <c r="D411" s="513" t="s">
        <v>359</v>
      </c>
      <c r="E411" s="514">
        <v>12</v>
      </c>
      <c r="F411" s="514">
        <v>-7.0000000000000007E-2</v>
      </c>
      <c r="G411" s="514">
        <v>2042</v>
      </c>
      <c r="H411" s="515">
        <v>523263.47</v>
      </c>
      <c r="I411" s="514">
        <v>3.5</v>
      </c>
      <c r="J411" s="515">
        <v>1831422.15</v>
      </c>
      <c r="K411" s="514">
        <v>12</v>
      </c>
      <c r="L411" s="515">
        <v>6279161.6399999997</v>
      </c>
      <c r="M411" s="514">
        <v>8.5</v>
      </c>
      <c r="N411" s="515">
        <v>4447739.5</v>
      </c>
      <c r="O411" s="514">
        <v>0.31208333999999999</v>
      </c>
      <c r="P411" s="515">
        <v>163301.81</v>
      </c>
      <c r="Q411" s="515">
        <v>-36628.44</v>
      </c>
      <c r="R411" s="515">
        <v>150007.01999999999</v>
      </c>
      <c r="S411" s="504" t="str">
        <f t="shared" si="6"/>
        <v>83</v>
      </c>
    </row>
    <row r="412" spans="1:19" ht="15" x14ac:dyDescent="0.25">
      <c r="A412" s="513" t="s">
        <v>402</v>
      </c>
      <c r="B412" s="513" t="s">
        <v>1163</v>
      </c>
      <c r="C412" s="513" t="s">
        <v>681</v>
      </c>
      <c r="D412" s="513" t="s">
        <v>359</v>
      </c>
      <c r="E412" s="514">
        <v>40</v>
      </c>
      <c r="F412" s="514">
        <v>-7.0000000000000007E-2</v>
      </c>
      <c r="G412" s="514">
        <v>2042</v>
      </c>
      <c r="H412" s="515">
        <v>10199164.35</v>
      </c>
      <c r="I412" s="514">
        <v>17.404039690000001</v>
      </c>
      <c r="J412" s="515">
        <v>177506661.19</v>
      </c>
      <c r="K412" s="514">
        <v>39.85</v>
      </c>
      <c r="L412" s="515">
        <v>406436699.35000002</v>
      </c>
      <c r="M412" s="514">
        <v>22.5</v>
      </c>
      <c r="N412" s="515">
        <v>229481197.88</v>
      </c>
      <c r="O412" s="514">
        <v>0.46590361000000002</v>
      </c>
      <c r="P412" s="515">
        <v>4751827.5</v>
      </c>
      <c r="Q412" s="515">
        <v>-713941.5</v>
      </c>
      <c r="R412" s="515">
        <v>4364969.9800000004</v>
      </c>
      <c r="S412" s="504" t="str">
        <f t="shared" si="6"/>
        <v>83</v>
      </c>
    </row>
    <row r="413" spans="1:19" ht="15" x14ac:dyDescent="0.25">
      <c r="A413" s="513" t="s">
        <v>402</v>
      </c>
      <c r="B413" s="513" t="s">
        <v>1163</v>
      </c>
      <c r="C413" s="513" t="s">
        <v>682</v>
      </c>
      <c r="D413" s="513" t="s">
        <v>405</v>
      </c>
      <c r="E413" s="514">
        <v>30</v>
      </c>
      <c r="F413" s="514">
        <v>-7.0000000000000007E-2</v>
      </c>
      <c r="G413" s="514">
        <v>2042</v>
      </c>
      <c r="H413" s="515">
        <v>19327560.18</v>
      </c>
      <c r="I413" s="514">
        <v>16.374843729999998</v>
      </c>
      <c r="J413" s="515">
        <v>316485777.62</v>
      </c>
      <c r="K413" s="514">
        <v>29.69</v>
      </c>
      <c r="L413" s="515">
        <v>573835261.74000001</v>
      </c>
      <c r="M413" s="514">
        <v>13.453685</v>
      </c>
      <c r="N413" s="515">
        <v>260026906.47999999</v>
      </c>
      <c r="O413" s="514">
        <v>0.58509562000000004</v>
      </c>
      <c r="P413" s="515">
        <v>11308470.74</v>
      </c>
      <c r="Q413" s="515">
        <v>-1352929.21</v>
      </c>
      <c r="R413" s="515">
        <v>10387821.369999999</v>
      </c>
      <c r="S413" s="504" t="str">
        <f t="shared" si="6"/>
        <v>83</v>
      </c>
    </row>
    <row r="414" spans="1:19" ht="15" x14ac:dyDescent="0.25">
      <c r="A414" s="513" t="s">
        <v>402</v>
      </c>
      <c r="B414" s="513" t="s">
        <v>1163</v>
      </c>
      <c r="C414" s="513" t="s">
        <v>683</v>
      </c>
      <c r="D414" s="513" t="s">
        <v>407</v>
      </c>
      <c r="E414" s="514">
        <v>20</v>
      </c>
      <c r="F414" s="514">
        <v>-7.0000000000000007E-2</v>
      </c>
      <c r="G414" s="514">
        <v>2042</v>
      </c>
      <c r="H414" s="515">
        <v>2534070.7200000002</v>
      </c>
      <c r="I414" s="514">
        <v>16.359433500000002</v>
      </c>
      <c r="J414" s="515">
        <v>41455961.439999998</v>
      </c>
      <c r="K414" s="514">
        <v>19.989999999999998</v>
      </c>
      <c r="L414" s="515">
        <v>50656073.689999998</v>
      </c>
      <c r="M414" s="514">
        <v>5.9636420000000001</v>
      </c>
      <c r="N414" s="515">
        <v>15112290.58</v>
      </c>
      <c r="O414" s="514">
        <v>0.75079585999999998</v>
      </c>
      <c r="P414" s="515">
        <v>1902569.81</v>
      </c>
      <c r="Q414" s="515">
        <v>-177384.95</v>
      </c>
      <c r="R414" s="515">
        <v>1747677.1</v>
      </c>
      <c r="S414" s="504" t="str">
        <f t="shared" si="6"/>
        <v>83</v>
      </c>
    </row>
    <row r="415" spans="1:19" ht="15" x14ac:dyDescent="0.25">
      <c r="A415" s="513" t="s">
        <v>402</v>
      </c>
      <c r="B415" s="513" t="s">
        <v>1163</v>
      </c>
      <c r="C415" s="513" t="s">
        <v>684</v>
      </c>
      <c r="D415" s="513" t="s">
        <v>123</v>
      </c>
      <c r="E415" s="514"/>
      <c r="F415" s="514">
        <v>-7.0000000000000007E-2</v>
      </c>
      <c r="G415" s="514">
        <v>2042</v>
      </c>
      <c r="H415" s="515">
        <v>32584058.719999999</v>
      </c>
      <c r="I415" s="514">
        <v>16.489039229999999</v>
      </c>
      <c r="J415" s="515">
        <v>537279822.38999999</v>
      </c>
      <c r="K415" s="514">
        <v>31.831737270000001</v>
      </c>
      <c r="L415" s="515">
        <v>1037207196.42</v>
      </c>
      <c r="M415" s="514">
        <v>15.623226649999999</v>
      </c>
      <c r="N415" s="515">
        <v>509068134.43000001</v>
      </c>
      <c r="O415" s="514">
        <v>0.55628949999999999</v>
      </c>
      <c r="P415" s="515">
        <v>18126169.859999999</v>
      </c>
      <c r="Q415" s="515">
        <v>-2280884.11</v>
      </c>
      <c r="R415" s="515">
        <v>16650475.470000001</v>
      </c>
      <c r="S415" s="504" t="str">
        <f t="shared" si="6"/>
        <v>83</v>
      </c>
    </row>
    <row r="416" spans="1:19" ht="15" x14ac:dyDescent="0.25">
      <c r="A416" s="513" t="s">
        <v>402</v>
      </c>
      <c r="B416" s="513" t="s">
        <v>1163</v>
      </c>
      <c r="C416" s="513" t="s">
        <v>705</v>
      </c>
      <c r="D416" s="513" t="s">
        <v>359</v>
      </c>
      <c r="E416" s="514">
        <v>40</v>
      </c>
      <c r="F416" s="514">
        <v>-0.05</v>
      </c>
      <c r="G416" s="514">
        <v>2042</v>
      </c>
      <c r="H416" s="515">
        <v>2226347.89</v>
      </c>
      <c r="I416" s="514">
        <v>17.5</v>
      </c>
      <c r="J416" s="515">
        <v>38961088.079999998</v>
      </c>
      <c r="K416" s="514">
        <v>40</v>
      </c>
      <c r="L416" s="515">
        <v>89053915.599999994</v>
      </c>
      <c r="M416" s="514">
        <v>22.5</v>
      </c>
      <c r="N416" s="515">
        <v>50092827.530000001</v>
      </c>
      <c r="O416" s="514">
        <v>0.45937499999999998</v>
      </c>
      <c r="P416" s="515">
        <v>1022728.56</v>
      </c>
      <c r="Q416" s="515">
        <v>-111317.39</v>
      </c>
      <c r="R416" s="515">
        <v>867782.19</v>
      </c>
      <c r="S416" s="504" t="str">
        <f t="shared" si="6"/>
        <v>83</v>
      </c>
    </row>
    <row r="417" spans="1:20" ht="15" x14ac:dyDescent="0.25">
      <c r="A417" s="513" t="s">
        <v>402</v>
      </c>
      <c r="B417" s="513" t="s">
        <v>1163</v>
      </c>
      <c r="C417" s="513" t="s">
        <v>706</v>
      </c>
      <c r="D417" s="513" t="s">
        <v>405</v>
      </c>
      <c r="E417" s="514">
        <v>30</v>
      </c>
      <c r="F417" s="514">
        <v>-0.05</v>
      </c>
      <c r="G417" s="514">
        <v>2042</v>
      </c>
      <c r="H417" s="515">
        <v>6028238.3799999999</v>
      </c>
      <c r="I417" s="514">
        <v>17.289574170000002</v>
      </c>
      <c r="J417" s="515">
        <v>104225674.59</v>
      </c>
      <c r="K417" s="514">
        <v>29.91</v>
      </c>
      <c r="L417" s="515">
        <v>180304609.94999999</v>
      </c>
      <c r="M417" s="514">
        <v>12.709624</v>
      </c>
      <c r="N417" s="515">
        <v>76616643.189999998</v>
      </c>
      <c r="O417" s="514">
        <v>0.60375250000000003</v>
      </c>
      <c r="P417" s="515">
        <v>3639564</v>
      </c>
      <c r="Q417" s="515">
        <v>-301411.92</v>
      </c>
      <c r="R417" s="515">
        <v>3088159.39</v>
      </c>
      <c r="S417" s="504" t="str">
        <f t="shared" si="6"/>
        <v>83</v>
      </c>
    </row>
    <row r="418" spans="1:20" ht="15" x14ac:dyDescent="0.25">
      <c r="A418" s="513" t="s">
        <v>402</v>
      </c>
      <c r="B418" s="513" t="s">
        <v>1163</v>
      </c>
      <c r="C418" s="513" t="s">
        <v>707</v>
      </c>
      <c r="D418" s="513" t="s">
        <v>407</v>
      </c>
      <c r="E418" s="514">
        <v>20</v>
      </c>
      <c r="F418" s="514">
        <v>-0.05</v>
      </c>
      <c r="G418" s="514">
        <v>2042</v>
      </c>
      <c r="H418" s="515">
        <v>801483.75</v>
      </c>
      <c r="I418" s="514">
        <v>16.445828819999999</v>
      </c>
      <c r="J418" s="515">
        <v>13181064.560000001</v>
      </c>
      <c r="K418" s="514">
        <v>20</v>
      </c>
      <c r="L418" s="515">
        <v>16029675</v>
      </c>
      <c r="M418" s="514">
        <v>5.8346879999999999</v>
      </c>
      <c r="N418" s="515">
        <v>4676407.62</v>
      </c>
      <c r="O418" s="514">
        <v>0.74364328999999996</v>
      </c>
      <c r="P418" s="515">
        <v>596018.01</v>
      </c>
      <c r="Q418" s="515">
        <v>-40074.19</v>
      </c>
      <c r="R418" s="515">
        <v>505719.53</v>
      </c>
      <c r="S418" s="504" t="str">
        <f t="shared" si="6"/>
        <v>83</v>
      </c>
    </row>
    <row r="419" spans="1:20" ht="15" x14ac:dyDescent="0.25">
      <c r="A419" s="513" t="s">
        <v>402</v>
      </c>
      <c r="B419" s="513" t="s">
        <v>1163</v>
      </c>
      <c r="C419" s="513" t="s">
        <v>708</v>
      </c>
      <c r="D419" s="513" t="s">
        <v>123</v>
      </c>
      <c r="E419" s="514"/>
      <c r="F419" s="514">
        <v>-0.05</v>
      </c>
      <c r="G419" s="514">
        <v>2042</v>
      </c>
      <c r="H419" s="515">
        <v>9056070.0199999996</v>
      </c>
      <c r="I419" s="514">
        <v>17.266631870000001</v>
      </c>
      <c r="J419" s="515">
        <v>156367827.22</v>
      </c>
      <c r="K419" s="514">
        <v>31.513471070000001</v>
      </c>
      <c r="L419" s="515">
        <v>285388200.55000001</v>
      </c>
      <c r="M419" s="514">
        <v>14.508045770000001</v>
      </c>
      <c r="N419" s="515">
        <v>131385878.34</v>
      </c>
      <c r="O419" s="514">
        <v>0.58063935</v>
      </c>
      <c r="P419" s="515">
        <v>5258310.57</v>
      </c>
      <c r="Q419" s="515">
        <v>-452803.5</v>
      </c>
      <c r="R419" s="515">
        <v>4461661.1100000003</v>
      </c>
      <c r="S419" s="504" t="str">
        <f t="shared" si="6"/>
        <v>83</v>
      </c>
    </row>
    <row r="420" spans="1:20" ht="15" x14ac:dyDescent="0.25">
      <c r="A420" s="513" t="s">
        <v>402</v>
      </c>
      <c r="B420" s="513" t="s">
        <v>1163</v>
      </c>
      <c r="C420" s="513" t="s">
        <v>728</v>
      </c>
      <c r="D420" s="513" t="s">
        <v>359</v>
      </c>
      <c r="E420" s="514">
        <v>40</v>
      </c>
      <c r="F420" s="514">
        <v>-0.02</v>
      </c>
      <c r="G420" s="514">
        <v>2042</v>
      </c>
      <c r="H420" s="515">
        <v>427148.92</v>
      </c>
      <c r="I420" s="514">
        <v>17.5</v>
      </c>
      <c r="J420" s="515">
        <v>7475106.0999999996</v>
      </c>
      <c r="K420" s="514">
        <v>40</v>
      </c>
      <c r="L420" s="515">
        <v>17085956.800000001</v>
      </c>
      <c r="M420" s="514">
        <v>22.5</v>
      </c>
      <c r="N420" s="515">
        <v>9610850.6999999993</v>
      </c>
      <c r="O420" s="514">
        <v>0.44625000999999997</v>
      </c>
      <c r="P420" s="515">
        <v>190615.21</v>
      </c>
      <c r="Q420" s="515">
        <v>-8542.98</v>
      </c>
      <c r="R420" s="515">
        <v>224261.94</v>
      </c>
      <c r="S420" s="504" t="str">
        <f t="shared" si="6"/>
        <v>83</v>
      </c>
      <c r="T420" s="394"/>
    </row>
    <row r="421" spans="1:20" ht="15" x14ac:dyDescent="0.25">
      <c r="A421" s="513" t="s">
        <v>402</v>
      </c>
      <c r="B421" s="513" t="s">
        <v>1163</v>
      </c>
      <c r="C421" s="513" t="s">
        <v>729</v>
      </c>
      <c r="D421" s="513" t="s">
        <v>405</v>
      </c>
      <c r="E421" s="514">
        <v>30</v>
      </c>
      <c r="F421" s="514">
        <v>-0.02</v>
      </c>
      <c r="G421" s="514">
        <v>2042</v>
      </c>
      <c r="H421" s="515">
        <v>5761.5</v>
      </c>
      <c r="I421" s="514">
        <v>17.5</v>
      </c>
      <c r="J421" s="515">
        <v>100826.25</v>
      </c>
      <c r="K421" s="514">
        <v>30</v>
      </c>
      <c r="L421" s="515">
        <v>172845</v>
      </c>
      <c r="M421" s="514">
        <v>12.547853</v>
      </c>
      <c r="N421" s="515">
        <v>72294.460000000006</v>
      </c>
      <c r="O421" s="514">
        <v>0.59337324999999996</v>
      </c>
      <c r="P421" s="515">
        <v>3418.72</v>
      </c>
      <c r="Q421" s="515">
        <v>-115.23</v>
      </c>
      <c r="R421" s="515">
        <v>4022.18</v>
      </c>
      <c r="S421" s="504" t="str">
        <f t="shared" si="6"/>
        <v>83</v>
      </c>
      <c r="T421" s="394"/>
    </row>
    <row r="422" spans="1:20" ht="15" x14ac:dyDescent="0.25">
      <c r="A422" s="513" t="s">
        <v>402</v>
      </c>
      <c r="B422" s="513" t="s">
        <v>1163</v>
      </c>
      <c r="C422" s="513" t="s">
        <v>730</v>
      </c>
      <c r="D422" s="513" t="s">
        <v>123</v>
      </c>
      <c r="E422" s="514"/>
      <c r="F422" s="514">
        <v>-0.02</v>
      </c>
      <c r="G422" s="514">
        <v>2042</v>
      </c>
      <c r="H422" s="515">
        <v>432910.42</v>
      </c>
      <c r="I422" s="514">
        <v>17.5</v>
      </c>
      <c r="J422" s="515">
        <v>7575932.3499999996</v>
      </c>
      <c r="K422" s="514">
        <v>39.866912419999998</v>
      </c>
      <c r="L422" s="515">
        <v>17258801.800000001</v>
      </c>
      <c r="M422" s="514">
        <v>22.367549279999999</v>
      </c>
      <c r="N422" s="515">
        <v>9683145.1600000001</v>
      </c>
      <c r="O422" s="514">
        <v>0.44820803999999997</v>
      </c>
      <c r="P422" s="515">
        <v>194033.93</v>
      </c>
      <c r="Q422" s="515">
        <v>-8658.2099999999991</v>
      </c>
      <c r="R422" s="515">
        <v>228284.12</v>
      </c>
      <c r="S422" s="504" t="str">
        <f t="shared" si="6"/>
        <v>83</v>
      </c>
      <c r="T422" s="394"/>
    </row>
    <row r="423" spans="1:20" ht="15" x14ac:dyDescent="0.25">
      <c r="A423" s="513" t="s">
        <v>402</v>
      </c>
      <c r="B423" s="513" t="s">
        <v>1163</v>
      </c>
      <c r="C423" s="513" t="s">
        <v>1064</v>
      </c>
      <c r="D423" s="513" t="s">
        <v>359</v>
      </c>
      <c r="E423" s="514">
        <v>40</v>
      </c>
      <c r="F423" s="514">
        <v>-0.02</v>
      </c>
      <c r="G423" s="514">
        <v>2047</v>
      </c>
      <c r="H423" s="515">
        <v>5593228.2999999998</v>
      </c>
      <c r="I423" s="514">
        <v>12.171805129999999</v>
      </c>
      <c r="J423" s="515">
        <v>68079684.890000001</v>
      </c>
      <c r="K423" s="514">
        <v>39.54</v>
      </c>
      <c r="L423" s="515">
        <v>221156246.97999999</v>
      </c>
      <c r="M423" s="514">
        <v>27.5</v>
      </c>
      <c r="N423" s="515">
        <v>153813778.25</v>
      </c>
      <c r="O423" s="514">
        <v>0.31064330000000001</v>
      </c>
      <c r="P423" s="515">
        <v>1737498.9</v>
      </c>
      <c r="Q423" s="515">
        <v>-111864.57</v>
      </c>
      <c r="R423" s="515">
        <v>1623861.03</v>
      </c>
      <c r="S423" s="504" t="str">
        <f t="shared" si="6"/>
        <v>84</v>
      </c>
      <c r="T423" s="394"/>
    </row>
    <row r="424" spans="1:20" ht="15" x14ac:dyDescent="0.25">
      <c r="A424" s="513" t="s">
        <v>402</v>
      </c>
      <c r="B424" s="513" t="s">
        <v>1163</v>
      </c>
      <c r="C424" s="513" t="s">
        <v>1065</v>
      </c>
      <c r="D424" s="513" t="s">
        <v>405</v>
      </c>
      <c r="E424" s="514">
        <v>30</v>
      </c>
      <c r="F424" s="514">
        <v>-0.02</v>
      </c>
      <c r="G424" s="514">
        <v>2047</v>
      </c>
      <c r="H424" s="515">
        <v>140570.43</v>
      </c>
      <c r="I424" s="514">
        <v>12.5</v>
      </c>
      <c r="J424" s="515">
        <v>1757130.38</v>
      </c>
      <c r="K424" s="514">
        <v>30</v>
      </c>
      <c r="L424" s="515">
        <v>4217112.9000000004</v>
      </c>
      <c r="M424" s="514">
        <v>17.456125</v>
      </c>
      <c r="N424" s="515">
        <v>2453815</v>
      </c>
      <c r="O424" s="514">
        <v>0.42649176</v>
      </c>
      <c r="P424" s="515">
        <v>59952.13</v>
      </c>
      <c r="Q424" s="515">
        <v>-2811.41</v>
      </c>
      <c r="R424" s="515">
        <v>56031.07</v>
      </c>
      <c r="S424" s="504" t="str">
        <f t="shared" si="6"/>
        <v>84</v>
      </c>
      <c r="T424" s="394"/>
    </row>
    <row r="425" spans="1:20" ht="15" x14ac:dyDescent="0.25">
      <c r="A425" s="513" t="s">
        <v>402</v>
      </c>
      <c r="B425" s="513" t="s">
        <v>1163</v>
      </c>
      <c r="C425" s="513" t="s">
        <v>641</v>
      </c>
      <c r="D425" s="513" t="s">
        <v>123</v>
      </c>
      <c r="E425" s="514"/>
      <c r="F425" s="514">
        <v>-0.02</v>
      </c>
      <c r="G425" s="514">
        <v>2047</v>
      </c>
      <c r="H425" s="515">
        <v>5811519.6500000004</v>
      </c>
      <c r="I425" s="514">
        <v>12.016962769798084</v>
      </c>
      <c r="J425" s="515">
        <v>69836815.269999996</v>
      </c>
      <c r="K425" s="514">
        <v>38.780452180007678</v>
      </c>
      <c r="L425" s="515">
        <v>225373359.88</v>
      </c>
      <c r="M425" s="514">
        <v>26.889282435791127</v>
      </c>
      <c r="N425" s="515">
        <v>156267593.25</v>
      </c>
      <c r="O425" s="514">
        <v>0.30929105264231527</v>
      </c>
      <c r="P425" s="515">
        <v>1797451.0299999998</v>
      </c>
      <c r="Q425" s="515">
        <v>-114675.98000000001</v>
      </c>
      <c r="R425" s="515">
        <v>1679892.1</v>
      </c>
      <c r="S425" s="504" t="str">
        <f t="shared" si="6"/>
        <v>84</v>
      </c>
      <c r="T425" s="394"/>
    </row>
    <row r="426" spans="1:20" ht="15" x14ac:dyDescent="0.25">
      <c r="A426" s="513" t="s">
        <v>402</v>
      </c>
      <c r="B426" s="513" t="s">
        <v>1163</v>
      </c>
      <c r="C426" s="513" t="s">
        <v>659</v>
      </c>
      <c r="D426" s="513" t="s">
        <v>359</v>
      </c>
      <c r="E426" s="514">
        <v>50</v>
      </c>
      <c r="F426" s="514">
        <v>-0.05</v>
      </c>
      <c r="G426" s="514">
        <v>2057</v>
      </c>
      <c r="H426" s="515">
        <v>1671908.7</v>
      </c>
      <c r="I426" s="514">
        <v>11.430922860000001</v>
      </c>
      <c r="J426" s="515">
        <v>19111459.379999999</v>
      </c>
      <c r="K426" s="514">
        <v>48.71</v>
      </c>
      <c r="L426" s="515">
        <v>81438672.780000001</v>
      </c>
      <c r="M426" s="514">
        <v>37.5</v>
      </c>
      <c r="N426" s="515">
        <v>62696576.25</v>
      </c>
      <c r="O426" s="514">
        <v>0.24162032999999999</v>
      </c>
      <c r="P426" s="515">
        <v>403967.13</v>
      </c>
      <c r="Q426" s="515">
        <v>-83595.44</v>
      </c>
      <c r="R426" s="515">
        <v>210352.22</v>
      </c>
      <c r="S426" s="504" t="str">
        <f t="shared" si="6"/>
        <v>84</v>
      </c>
    </row>
    <row r="427" spans="1:20" ht="15" x14ac:dyDescent="0.25">
      <c r="A427" s="513" t="s">
        <v>402</v>
      </c>
      <c r="B427" s="513" t="s">
        <v>1163</v>
      </c>
      <c r="C427" s="513" t="s">
        <v>660</v>
      </c>
      <c r="D427" s="513" t="s">
        <v>405</v>
      </c>
      <c r="E427" s="514">
        <v>30</v>
      </c>
      <c r="F427" s="514">
        <v>-0.05</v>
      </c>
      <c r="G427" s="514">
        <v>2057</v>
      </c>
      <c r="H427" s="515">
        <v>42908.53</v>
      </c>
      <c r="I427" s="514">
        <v>2.5</v>
      </c>
      <c r="J427" s="515">
        <v>107271.33</v>
      </c>
      <c r="K427" s="514">
        <v>30</v>
      </c>
      <c r="L427" s="515">
        <v>1287255.8999999999</v>
      </c>
      <c r="M427" s="514">
        <v>27.454346000000001</v>
      </c>
      <c r="N427" s="515">
        <v>1178025.6299999999</v>
      </c>
      <c r="O427" s="514">
        <v>8.9097899999999994E-2</v>
      </c>
      <c r="P427" s="515">
        <v>3823.06</v>
      </c>
      <c r="Q427" s="515">
        <v>-2145.4299999999998</v>
      </c>
      <c r="R427" s="515">
        <v>1990.73</v>
      </c>
      <c r="S427" s="504" t="str">
        <f t="shared" si="6"/>
        <v>84</v>
      </c>
    </row>
    <row r="428" spans="1:20" ht="15" x14ac:dyDescent="0.25">
      <c r="A428" s="513" t="s">
        <v>402</v>
      </c>
      <c r="B428" s="513" t="s">
        <v>1163</v>
      </c>
      <c r="C428" s="513" t="s">
        <v>661</v>
      </c>
      <c r="D428" s="513" t="s">
        <v>407</v>
      </c>
      <c r="E428" s="514">
        <v>20</v>
      </c>
      <c r="F428" s="514">
        <v>-0.05</v>
      </c>
      <c r="G428" s="514">
        <v>2057</v>
      </c>
      <c r="H428" s="515">
        <v>452610.59</v>
      </c>
      <c r="I428" s="514">
        <v>7.9206652599999998</v>
      </c>
      <c r="J428" s="515">
        <v>3584976.98</v>
      </c>
      <c r="K428" s="514">
        <v>20</v>
      </c>
      <c r="L428" s="515">
        <v>9052211.8000000007</v>
      </c>
      <c r="M428" s="514">
        <v>12.425387000000001</v>
      </c>
      <c r="N428" s="515">
        <v>5623861.7400000002</v>
      </c>
      <c r="O428" s="514">
        <v>0.39766720999999999</v>
      </c>
      <c r="P428" s="515">
        <v>179988.39</v>
      </c>
      <c r="Q428" s="515">
        <v>-22630.53</v>
      </c>
      <c r="R428" s="515">
        <v>93722.86</v>
      </c>
      <c r="S428" s="504" t="str">
        <f t="shared" si="6"/>
        <v>84</v>
      </c>
    </row>
    <row r="429" spans="1:20" ht="15" x14ac:dyDescent="0.25">
      <c r="A429" s="513" t="s">
        <v>402</v>
      </c>
      <c r="B429" s="513" t="s">
        <v>1163</v>
      </c>
      <c r="C429" s="513" t="s">
        <v>662</v>
      </c>
      <c r="D429" s="513" t="s">
        <v>123</v>
      </c>
      <c r="E429" s="514"/>
      <c r="F429" s="514">
        <v>-0.05</v>
      </c>
      <c r="G429" s="514">
        <v>2057</v>
      </c>
      <c r="H429" s="515">
        <v>2167427.8199999998</v>
      </c>
      <c r="I429" s="514">
        <v>10.521092080000001</v>
      </c>
      <c r="J429" s="515">
        <v>22803707.68</v>
      </c>
      <c r="K429" s="514">
        <v>42.344266150000003</v>
      </c>
      <c r="L429" s="515">
        <v>91778140.480000004</v>
      </c>
      <c r="M429" s="514">
        <v>32.064949509999998</v>
      </c>
      <c r="N429" s="515">
        <v>69498463.620000005</v>
      </c>
      <c r="O429" s="514">
        <v>0.27118714999999999</v>
      </c>
      <c r="P429" s="515">
        <v>587778.57999999996</v>
      </c>
      <c r="Q429" s="515">
        <v>-108371.39</v>
      </c>
      <c r="R429" s="515">
        <v>306065.81</v>
      </c>
      <c r="S429" s="504" t="str">
        <f t="shared" si="6"/>
        <v>84</v>
      </c>
    </row>
    <row r="430" spans="1:20" ht="15" x14ac:dyDescent="0.25">
      <c r="A430" s="513" t="s">
        <v>402</v>
      </c>
      <c r="B430" s="513" t="s">
        <v>1163</v>
      </c>
      <c r="C430" s="513" t="s">
        <v>892</v>
      </c>
      <c r="D430" s="513" t="s">
        <v>359</v>
      </c>
      <c r="E430" s="514">
        <v>12</v>
      </c>
      <c r="F430" s="514">
        <v>-7.0000000000000007E-2</v>
      </c>
      <c r="G430" s="514">
        <v>2047</v>
      </c>
      <c r="H430" s="515">
        <v>571112.97</v>
      </c>
      <c r="I430" s="514">
        <v>3.5</v>
      </c>
      <c r="J430" s="515">
        <v>1998895.4</v>
      </c>
      <c r="K430" s="514">
        <v>12</v>
      </c>
      <c r="L430" s="515">
        <v>6853355.6399999997</v>
      </c>
      <c r="M430" s="514">
        <v>8.5</v>
      </c>
      <c r="N430" s="515">
        <v>4854460.25</v>
      </c>
      <c r="O430" s="514">
        <v>0.31208332999999999</v>
      </c>
      <c r="P430" s="515">
        <v>178234.84</v>
      </c>
      <c r="Q430" s="515">
        <v>-39977.910000000003</v>
      </c>
      <c r="R430" s="515">
        <v>58350.09</v>
      </c>
      <c r="S430" s="504" t="str">
        <f t="shared" si="6"/>
        <v>84</v>
      </c>
    </row>
    <row r="431" spans="1:20" ht="15" x14ac:dyDescent="0.25">
      <c r="A431" s="513" t="s">
        <v>402</v>
      </c>
      <c r="B431" s="513" t="s">
        <v>1163</v>
      </c>
      <c r="C431" s="513" t="s">
        <v>685</v>
      </c>
      <c r="D431" s="513" t="s">
        <v>359</v>
      </c>
      <c r="E431" s="514">
        <v>40</v>
      </c>
      <c r="F431" s="514">
        <v>-7.0000000000000007E-2</v>
      </c>
      <c r="G431" s="514">
        <v>2047</v>
      </c>
      <c r="H431" s="515">
        <v>5299637.21</v>
      </c>
      <c r="I431" s="514">
        <v>11.675164860000001</v>
      </c>
      <c r="J431" s="515">
        <v>61874138.130000003</v>
      </c>
      <c r="K431" s="514">
        <v>39.130000000000003</v>
      </c>
      <c r="L431" s="515">
        <v>207374804.03</v>
      </c>
      <c r="M431" s="514">
        <v>27.5</v>
      </c>
      <c r="N431" s="515">
        <v>145740023.28</v>
      </c>
      <c r="O431" s="514">
        <v>0.31797583000000001</v>
      </c>
      <c r="P431" s="515">
        <v>1685156.53</v>
      </c>
      <c r="Q431" s="515">
        <v>-370974.6</v>
      </c>
      <c r="R431" s="515">
        <v>551682.43000000005</v>
      </c>
      <c r="S431" s="504" t="str">
        <f t="shared" si="6"/>
        <v>84</v>
      </c>
    </row>
    <row r="432" spans="1:20" ht="15" x14ac:dyDescent="0.25">
      <c r="A432" s="513" t="s">
        <v>402</v>
      </c>
      <c r="B432" s="513" t="s">
        <v>1163</v>
      </c>
      <c r="C432" s="513" t="s">
        <v>686</v>
      </c>
      <c r="D432" s="513" t="s">
        <v>405</v>
      </c>
      <c r="E432" s="514">
        <v>30</v>
      </c>
      <c r="F432" s="514">
        <v>-7.0000000000000007E-2</v>
      </c>
      <c r="G432" s="514">
        <v>2047</v>
      </c>
      <c r="H432" s="515">
        <v>15099862.970000001</v>
      </c>
      <c r="I432" s="514">
        <v>11.559423199999999</v>
      </c>
      <c r="J432" s="515">
        <v>174545706.31</v>
      </c>
      <c r="K432" s="514">
        <v>29.93</v>
      </c>
      <c r="L432" s="515">
        <v>451938898.69</v>
      </c>
      <c r="M432" s="514">
        <v>18.300511</v>
      </c>
      <c r="N432" s="515">
        <v>276335208.38</v>
      </c>
      <c r="O432" s="514">
        <v>0.41581991000000001</v>
      </c>
      <c r="P432" s="515">
        <v>6278823.7300000004</v>
      </c>
      <c r="Q432" s="515">
        <v>-1056990.4099999999</v>
      </c>
      <c r="R432" s="515">
        <v>2055545.99</v>
      </c>
      <c r="S432" s="504" t="str">
        <f t="shared" si="6"/>
        <v>84</v>
      </c>
    </row>
    <row r="433" spans="1:23" ht="15" x14ac:dyDescent="0.25">
      <c r="A433" s="513" t="s">
        <v>402</v>
      </c>
      <c r="B433" s="513" t="s">
        <v>1163</v>
      </c>
      <c r="C433" s="513" t="s">
        <v>687</v>
      </c>
      <c r="D433" s="513" t="s">
        <v>407</v>
      </c>
      <c r="E433" s="514">
        <v>20</v>
      </c>
      <c r="F433" s="514">
        <v>-7.0000000000000007E-2</v>
      </c>
      <c r="G433" s="514">
        <v>2047</v>
      </c>
      <c r="H433" s="515">
        <v>1062662.27</v>
      </c>
      <c r="I433" s="514">
        <v>11.929520500000001</v>
      </c>
      <c r="J433" s="515">
        <v>12677051.33</v>
      </c>
      <c r="K433" s="514">
        <v>20</v>
      </c>
      <c r="L433" s="515">
        <v>21253245.399999999</v>
      </c>
      <c r="M433" s="514">
        <v>8.6676660000000005</v>
      </c>
      <c r="N433" s="515">
        <v>9210801.6300000008</v>
      </c>
      <c r="O433" s="514">
        <v>0.60627984999999995</v>
      </c>
      <c r="P433" s="515">
        <v>644270.72</v>
      </c>
      <c r="Q433" s="515">
        <v>-74386.36</v>
      </c>
      <c r="R433" s="515">
        <v>210919.78</v>
      </c>
      <c r="S433" s="504" t="str">
        <f t="shared" si="6"/>
        <v>84</v>
      </c>
    </row>
    <row r="434" spans="1:23" ht="15" x14ac:dyDescent="0.25">
      <c r="A434" s="513" t="s">
        <v>402</v>
      </c>
      <c r="B434" s="513" t="s">
        <v>1163</v>
      </c>
      <c r="C434" s="513" t="s">
        <v>688</v>
      </c>
      <c r="D434" s="513" t="s">
        <v>123</v>
      </c>
      <c r="E434" s="514"/>
      <c r="F434" s="514">
        <v>-7.0000000000000007E-2</v>
      </c>
      <c r="G434" s="514">
        <v>2047</v>
      </c>
      <c r="H434" s="515">
        <v>22033275.420000002</v>
      </c>
      <c r="I434" s="514">
        <v>11.39620807</v>
      </c>
      <c r="J434" s="515">
        <v>251095791.16</v>
      </c>
      <c r="K434" s="514">
        <v>31.199188079999999</v>
      </c>
      <c r="L434" s="515">
        <v>687420303.75999999</v>
      </c>
      <c r="M434" s="514">
        <v>19.79462813</v>
      </c>
      <c r="N434" s="515">
        <v>436140493.52999997</v>
      </c>
      <c r="O434" s="514">
        <v>0.39878255000000001</v>
      </c>
      <c r="P434" s="515">
        <v>8786485.8200000003</v>
      </c>
      <c r="Q434" s="515">
        <v>-1542329.28</v>
      </c>
      <c r="R434" s="515">
        <v>2876498.29</v>
      </c>
      <c r="S434" s="504" t="str">
        <f t="shared" si="6"/>
        <v>84</v>
      </c>
    </row>
    <row r="435" spans="1:23" ht="15" x14ac:dyDescent="0.25">
      <c r="A435" s="513" t="s">
        <v>402</v>
      </c>
      <c r="B435" s="513" t="s">
        <v>1163</v>
      </c>
      <c r="C435" s="513" t="s">
        <v>709</v>
      </c>
      <c r="D435" s="513" t="s">
        <v>359</v>
      </c>
      <c r="E435" s="514">
        <v>40</v>
      </c>
      <c r="F435" s="514">
        <v>-0.05</v>
      </c>
      <c r="G435" s="514">
        <v>2047</v>
      </c>
      <c r="H435" s="515">
        <v>2910866.65</v>
      </c>
      <c r="I435" s="514">
        <v>12.5</v>
      </c>
      <c r="J435" s="515">
        <v>36385833.130000003</v>
      </c>
      <c r="K435" s="514">
        <v>40</v>
      </c>
      <c r="L435" s="515">
        <v>116434666</v>
      </c>
      <c r="M435" s="514">
        <v>27.5</v>
      </c>
      <c r="N435" s="515">
        <v>80048832.879999995</v>
      </c>
      <c r="O435" s="514">
        <v>0.328125</v>
      </c>
      <c r="P435" s="515">
        <v>955128.12</v>
      </c>
      <c r="Q435" s="515">
        <v>-145543.32999999999</v>
      </c>
      <c r="R435" s="515">
        <v>1175096.6599999999</v>
      </c>
      <c r="S435" s="504" t="str">
        <f t="shared" si="6"/>
        <v>84</v>
      </c>
    </row>
    <row r="436" spans="1:23" ht="15" x14ac:dyDescent="0.25">
      <c r="A436" s="513" t="s">
        <v>402</v>
      </c>
      <c r="B436" s="513" t="s">
        <v>1163</v>
      </c>
      <c r="C436" s="513" t="s">
        <v>710</v>
      </c>
      <c r="D436" s="513" t="s">
        <v>405</v>
      </c>
      <c r="E436" s="514">
        <v>30</v>
      </c>
      <c r="F436" s="514">
        <v>-0.05</v>
      </c>
      <c r="G436" s="514">
        <v>2047</v>
      </c>
      <c r="H436" s="515">
        <v>2413564.48</v>
      </c>
      <c r="I436" s="514">
        <v>12.125268159999999</v>
      </c>
      <c r="J436" s="515">
        <v>29265116.550000001</v>
      </c>
      <c r="K436" s="514">
        <v>29.93</v>
      </c>
      <c r="L436" s="515">
        <v>72237984.890000001</v>
      </c>
      <c r="M436" s="514">
        <v>17.773423000000001</v>
      </c>
      <c r="N436" s="515">
        <v>42897302.439999998</v>
      </c>
      <c r="O436" s="514">
        <v>0.42639345000000001</v>
      </c>
      <c r="P436" s="515">
        <v>1029128.09</v>
      </c>
      <c r="Q436" s="515">
        <v>-120678.22</v>
      </c>
      <c r="R436" s="515">
        <v>1266139.02</v>
      </c>
      <c r="S436" s="504" t="str">
        <f t="shared" si="6"/>
        <v>84</v>
      </c>
    </row>
    <row r="437" spans="1:23" ht="15" x14ac:dyDescent="0.25">
      <c r="A437" s="513" t="s">
        <v>402</v>
      </c>
      <c r="B437" s="513" t="s">
        <v>1163</v>
      </c>
      <c r="C437" s="513" t="s">
        <v>711</v>
      </c>
      <c r="D437" s="513" t="s">
        <v>407</v>
      </c>
      <c r="E437" s="514">
        <v>20</v>
      </c>
      <c r="F437" s="514">
        <v>-0.05</v>
      </c>
      <c r="G437" s="514">
        <v>2047</v>
      </c>
      <c r="H437" s="515">
        <v>238579.22</v>
      </c>
      <c r="I437" s="514">
        <v>9.7927660700000008</v>
      </c>
      <c r="J437" s="515">
        <v>2336350.4900000002</v>
      </c>
      <c r="K437" s="514">
        <v>20</v>
      </c>
      <c r="L437" s="515">
        <v>4771584.4000000004</v>
      </c>
      <c r="M437" s="514">
        <v>10.676816000000001</v>
      </c>
      <c r="N437" s="515">
        <v>2547266.4300000002</v>
      </c>
      <c r="O437" s="514">
        <v>0.48946719</v>
      </c>
      <c r="P437" s="515">
        <v>116776.7</v>
      </c>
      <c r="Q437" s="515">
        <v>-11928.96</v>
      </c>
      <c r="R437" s="515">
        <v>143670.69</v>
      </c>
      <c r="S437" s="504" t="str">
        <f t="shared" si="6"/>
        <v>84</v>
      </c>
    </row>
    <row r="438" spans="1:23" ht="15" x14ac:dyDescent="0.25">
      <c r="A438" s="513" t="s">
        <v>402</v>
      </c>
      <c r="B438" s="513" t="s">
        <v>1163</v>
      </c>
      <c r="C438" s="513" t="s">
        <v>712</v>
      </c>
      <c r="D438" s="513" t="s">
        <v>123</v>
      </c>
      <c r="E438" s="514"/>
      <c r="F438" s="514">
        <v>-0.05</v>
      </c>
      <c r="G438" s="514">
        <v>2047</v>
      </c>
      <c r="H438" s="515">
        <v>5563010.3499999996</v>
      </c>
      <c r="I438" s="514">
        <v>12.221314700000001</v>
      </c>
      <c r="J438" s="515">
        <v>67987300.159999996</v>
      </c>
      <c r="K438" s="514">
        <v>34.773301349999997</v>
      </c>
      <c r="L438" s="515">
        <v>193444235.28999999</v>
      </c>
      <c r="M438" s="514">
        <v>22.55854184</v>
      </c>
      <c r="N438" s="515">
        <v>125493401.75</v>
      </c>
      <c r="O438" s="514">
        <v>0.37767912999999997</v>
      </c>
      <c r="P438" s="515">
        <v>2101032.91</v>
      </c>
      <c r="Q438" s="515">
        <v>-278150.52</v>
      </c>
      <c r="R438" s="515">
        <v>2584906.37</v>
      </c>
      <c r="S438" s="504" t="str">
        <f t="shared" si="6"/>
        <v>84</v>
      </c>
    </row>
    <row r="439" spans="1:23" ht="15" x14ac:dyDescent="0.25">
      <c r="A439" s="513" t="s">
        <v>402</v>
      </c>
      <c r="B439" s="513" t="s">
        <v>1163</v>
      </c>
      <c r="C439" s="513" t="s">
        <v>1066</v>
      </c>
      <c r="D439" s="513" t="s">
        <v>359</v>
      </c>
      <c r="E439" s="514">
        <v>40</v>
      </c>
      <c r="F439" s="514">
        <v>-0.02</v>
      </c>
      <c r="G439" s="514">
        <v>2047</v>
      </c>
      <c r="H439" s="515">
        <v>5595357.3799999999</v>
      </c>
      <c r="I439" s="514">
        <v>12.16708691</v>
      </c>
      <c r="J439" s="515">
        <v>68079199.540000007</v>
      </c>
      <c r="K439" s="514">
        <v>39.54</v>
      </c>
      <c r="L439" s="515">
        <v>221240430.81</v>
      </c>
      <c r="M439" s="514">
        <v>27.5</v>
      </c>
      <c r="N439" s="515">
        <v>153872327.94999999</v>
      </c>
      <c r="O439" s="514">
        <v>0.31052246</v>
      </c>
      <c r="P439" s="515">
        <v>1737484.12</v>
      </c>
      <c r="Q439" s="515">
        <v>-111907.15</v>
      </c>
      <c r="R439" s="515">
        <v>1622722.63</v>
      </c>
      <c r="S439" s="504" t="str">
        <f t="shared" si="6"/>
        <v>85</v>
      </c>
      <c r="T439" s="309"/>
    </row>
    <row r="440" spans="1:23" ht="15" x14ac:dyDescent="0.25">
      <c r="A440" s="513" t="s">
        <v>402</v>
      </c>
      <c r="B440" s="513" t="s">
        <v>1163</v>
      </c>
      <c r="C440" s="513" t="s">
        <v>1067</v>
      </c>
      <c r="D440" s="513" t="s">
        <v>405</v>
      </c>
      <c r="E440" s="514">
        <v>30</v>
      </c>
      <c r="F440" s="514">
        <v>-0.02</v>
      </c>
      <c r="G440" s="514">
        <v>2047</v>
      </c>
      <c r="H440" s="515">
        <v>151222.73000000001</v>
      </c>
      <c r="I440" s="514">
        <v>12.5</v>
      </c>
      <c r="J440" s="515">
        <v>1890284.13</v>
      </c>
      <c r="K440" s="514">
        <v>30</v>
      </c>
      <c r="L440" s="515">
        <v>4536681.9000000004</v>
      </c>
      <c r="M440" s="514">
        <v>17.456125</v>
      </c>
      <c r="N440" s="515">
        <v>2639762.88</v>
      </c>
      <c r="O440" s="514">
        <v>0.42649176999999999</v>
      </c>
      <c r="P440" s="515">
        <v>64495.25</v>
      </c>
      <c r="Q440" s="515">
        <v>-3024.45</v>
      </c>
      <c r="R440" s="515">
        <v>60235.31</v>
      </c>
      <c r="S440" s="504" t="str">
        <f t="shared" si="6"/>
        <v>85</v>
      </c>
      <c r="T440" s="309"/>
    </row>
    <row r="441" spans="1:23" ht="15" x14ac:dyDescent="0.25">
      <c r="A441" s="513" t="s">
        <v>402</v>
      </c>
      <c r="B441" s="513" t="s">
        <v>1163</v>
      </c>
      <c r="C441" s="513" t="s">
        <v>642</v>
      </c>
      <c r="D441" s="513" t="s">
        <v>123</v>
      </c>
      <c r="E441" s="514"/>
      <c r="F441" s="514">
        <v>-0.02</v>
      </c>
      <c r="G441" s="514">
        <v>2047</v>
      </c>
      <c r="H441" s="515">
        <v>5746580.1100000003</v>
      </c>
      <c r="I441" s="514">
        <v>12.175847600000001</v>
      </c>
      <c r="J441" s="515">
        <v>69969483.670000002</v>
      </c>
      <c r="K441" s="514">
        <v>39.288952449999996</v>
      </c>
      <c r="L441" s="515">
        <v>225777112.71000001</v>
      </c>
      <c r="M441" s="514">
        <v>27.23569285</v>
      </c>
      <c r="N441" s="515">
        <v>156512090.83000001</v>
      </c>
      <c r="O441" s="514">
        <v>0.31357422000000001</v>
      </c>
      <c r="P441" s="515">
        <v>1801979.37</v>
      </c>
      <c r="Q441" s="515">
        <v>-114931.6</v>
      </c>
      <c r="R441" s="515">
        <v>1682957.94</v>
      </c>
      <c r="S441" s="504" t="str">
        <f t="shared" si="6"/>
        <v>85</v>
      </c>
    </row>
    <row r="442" spans="1:23" ht="15" x14ac:dyDescent="0.25">
      <c r="A442" s="516" t="s">
        <v>402</v>
      </c>
      <c r="B442" s="516" t="s">
        <v>1163</v>
      </c>
      <c r="C442" s="516" t="s">
        <v>663</v>
      </c>
      <c r="D442" s="516" t="s">
        <v>359</v>
      </c>
      <c r="E442" s="517">
        <v>40</v>
      </c>
      <c r="F442" s="517">
        <v>-0.05</v>
      </c>
      <c r="G442" s="517">
        <v>2047</v>
      </c>
      <c r="H442" s="518">
        <v>1376668.38</v>
      </c>
      <c r="I442" s="517">
        <v>12.34799102</v>
      </c>
      <c r="J442" s="518">
        <v>16999088.789999999</v>
      </c>
      <c r="K442" s="517">
        <v>39.78</v>
      </c>
      <c r="L442" s="518">
        <v>54763868.159999996</v>
      </c>
      <c r="M442" s="517">
        <v>27.5</v>
      </c>
      <c r="N442" s="518">
        <v>37858380.450000003</v>
      </c>
      <c r="O442" s="517">
        <v>0.32420601999999998</v>
      </c>
      <c r="P442" s="518">
        <v>446324.17</v>
      </c>
      <c r="Q442" s="518">
        <v>-68833.42</v>
      </c>
      <c r="R442" s="518">
        <v>311344.49</v>
      </c>
      <c r="S442" s="504" t="str">
        <f t="shared" si="6"/>
        <v>85</v>
      </c>
    </row>
    <row r="443" spans="1:23" ht="15" x14ac:dyDescent="0.25">
      <c r="A443" s="516" t="s">
        <v>402</v>
      </c>
      <c r="B443" s="516" t="s">
        <v>1163</v>
      </c>
      <c r="C443" s="516" t="s">
        <v>665</v>
      </c>
      <c r="D443" s="516" t="s">
        <v>405</v>
      </c>
      <c r="E443" s="517">
        <v>20</v>
      </c>
      <c r="F443" s="517">
        <v>-0.05</v>
      </c>
      <c r="G443" s="517">
        <v>2047</v>
      </c>
      <c r="H443" s="518">
        <v>823381.24</v>
      </c>
      <c r="I443" s="517">
        <v>9.2359193699999995</v>
      </c>
      <c r="J443" s="518">
        <v>7604682.7400000002</v>
      </c>
      <c r="K443" s="517">
        <v>20</v>
      </c>
      <c r="L443" s="518">
        <v>16467624.800000001</v>
      </c>
      <c r="M443" s="517">
        <v>10.834172000000001</v>
      </c>
      <c r="N443" s="518">
        <v>8920653.9800000004</v>
      </c>
      <c r="O443" s="517">
        <v>0.48120594999999999</v>
      </c>
      <c r="P443" s="518">
        <v>396215.95</v>
      </c>
      <c r="Q443" s="518">
        <v>-41169.06</v>
      </c>
      <c r="R443" s="518">
        <v>276390.27</v>
      </c>
      <c r="S443" s="504" t="str">
        <f t="shared" si="6"/>
        <v>85</v>
      </c>
    </row>
    <row r="444" spans="1:23" ht="15" x14ac:dyDescent="0.25">
      <c r="A444" s="516" t="s">
        <v>402</v>
      </c>
      <c r="B444" s="516" t="s">
        <v>1163</v>
      </c>
      <c r="C444" s="516" t="s">
        <v>666</v>
      </c>
      <c r="D444" s="516" t="s">
        <v>123</v>
      </c>
      <c r="E444" s="517"/>
      <c r="F444" s="517">
        <v>-0.05</v>
      </c>
      <c r="G444" s="517">
        <v>2047</v>
      </c>
      <c r="H444" s="518">
        <v>2200049.62</v>
      </c>
      <c r="I444" s="517">
        <v>11.183280279832962</v>
      </c>
      <c r="J444" s="518">
        <v>24603771.530000001</v>
      </c>
      <c r="K444" s="517">
        <v>32.377221091949728</v>
      </c>
      <c r="L444" s="518">
        <v>71231492.959999993</v>
      </c>
      <c r="M444" s="517">
        <v>21.262717897244521</v>
      </c>
      <c r="N444" s="518">
        <v>46779034.430000007</v>
      </c>
      <c r="O444" s="517">
        <v>0.38296414423598318</v>
      </c>
      <c r="P444" s="518">
        <v>842540.12</v>
      </c>
      <c r="Q444" s="518">
        <v>-110002.48</v>
      </c>
      <c r="R444" s="518">
        <v>587734.76</v>
      </c>
      <c r="S444" s="504" t="str">
        <f t="shared" si="6"/>
        <v>85</v>
      </c>
    </row>
    <row r="445" spans="1:23" ht="15" x14ac:dyDescent="0.25">
      <c r="A445" s="513" t="s">
        <v>402</v>
      </c>
      <c r="B445" s="513" t="s">
        <v>1163</v>
      </c>
      <c r="C445" s="513" t="s">
        <v>889</v>
      </c>
      <c r="D445" s="513" t="s">
        <v>359</v>
      </c>
      <c r="E445" s="514">
        <v>12</v>
      </c>
      <c r="F445" s="514">
        <v>-7.0000000000000007E-2</v>
      </c>
      <c r="G445" s="514">
        <v>2047</v>
      </c>
      <c r="H445" s="515">
        <v>424861.6</v>
      </c>
      <c r="I445" s="514">
        <v>3.5</v>
      </c>
      <c r="J445" s="515">
        <v>1487015.6</v>
      </c>
      <c r="K445" s="514">
        <v>12</v>
      </c>
      <c r="L445" s="515">
        <v>5098339.2</v>
      </c>
      <c r="M445" s="514">
        <v>8.5</v>
      </c>
      <c r="N445" s="515">
        <v>3611323.6</v>
      </c>
      <c r="O445" s="514">
        <v>0.31208332</v>
      </c>
      <c r="P445" s="515">
        <v>132592.22</v>
      </c>
      <c r="Q445" s="515">
        <v>-29740.31</v>
      </c>
      <c r="R445" s="515">
        <v>33248.269999999997</v>
      </c>
      <c r="S445" s="504" t="str">
        <f t="shared" si="6"/>
        <v>85</v>
      </c>
    </row>
    <row r="446" spans="1:23" ht="15" x14ac:dyDescent="0.25">
      <c r="A446" s="513" t="s">
        <v>402</v>
      </c>
      <c r="B446" s="513" t="s">
        <v>1163</v>
      </c>
      <c r="C446" s="513" t="s">
        <v>689</v>
      </c>
      <c r="D446" s="513" t="s">
        <v>359</v>
      </c>
      <c r="E446" s="514">
        <v>40</v>
      </c>
      <c r="F446" s="514">
        <v>-7.0000000000000007E-2</v>
      </c>
      <c r="G446" s="514">
        <v>2047</v>
      </c>
      <c r="H446" s="515">
        <v>3745635.27</v>
      </c>
      <c r="I446" s="514">
        <v>12.5</v>
      </c>
      <c r="J446" s="515">
        <v>46820440.880000003</v>
      </c>
      <c r="K446" s="514">
        <v>40</v>
      </c>
      <c r="L446" s="515">
        <v>149825410.80000001</v>
      </c>
      <c r="M446" s="514">
        <v>27.5</v>
      </c>
      <c r="N446" s="515">
        <v>103004969.93000001</v>
      </c>
      <c r="O446" s="514">
        <v>0.33437499999999998</v>
      </c>
      <c r="P446" s="515">
        <v>1252446.79</v>
      </c>
      <c r="Q446" s="515">
        <v>-262194.46999999997</v>
      </c>
      <c r="R446" s="515">
        <v>314058.33</v>
      </c>
      <c r="S446" s="504" t="str">
        <f t="shared" si="6"/>
        <v>85</v>
      </c>
    </row>
    <row r="447" spans="1:23" ht="15" x14ac:dyDescent="0.25">
      <c r="A447" s="513" t="s">
        <v>402</v>
      </c>
      <c r="B447" s="513" t="s">
        <v>1163</v>
      </c>
      <c r="C447" s="513" t="s">
        <v>690</v>
      </c>
      <c r="D447" s="513" t="s">
        <v>405</v>
      </c>
      <c r="E447" s="514">
        <v>30</v>
      </c>
      <c r="F447" s="514">
        <v>-7.0000000000000007E-2</v>
      </c>
      <c r="G447" s="514">
        <v>2047</v>
      </c>
      <c r="H447" s="515">
        <v>14933841.109999999</v>
      </c>
      <c r="I447" s="514">
        <v>11.62083906</v>
      </c>
      <c r="J447" s="515">
        <v>173543764.08000001</v>
      </c>
      <c r="K447" s="514">
        <v>29.96</v>
      </c>
      <c r="L447" s="515">
        <v>447417879.66000003</v>
      </c>
      <c r="M447" s="514">
        <v>18.253336999999998</v>
      </c>
      <c r="N447" s="515">
        <v>272592434.49000001</v>
      </c>
      <c r="O447" s="514">
        <v>0.41799027999999999</v>
      </c>
      <c r="P447" s="515">
        <v>6242200.4400000004</v>
      </c>
      <c r="Q447" s="515">
        <v>-1045368.88</v>
      </c>
      <c r="R447" s="515">
        <v>1565268.15</v>
      </c>
      <c r="S447" s="504" t="str">
        <f t="shared" si="6"/>
        <v>85</v>
      </c>
    </row>
    <row r="448" spans="1:23" ht="15" x14ac:dyDescent="0.25">
      <c r="A448" s="513" t="s">
        <v>402</v>
      </c>
      <c r="B448" s="513" t="s">
        <v>1163</v>
      </c>
      <c r="C448" s="513" t="s">
        <v>691</v>
      </c>
      <c r="D448" s="513" t="s">
        <v>407</v>
      </c>
      <c r="E448" s="514">
        <v>20</v>
      </c>
      <c r="F448" s="514">
        <v>-7.0000000000000007E-2</v>
      </c>
      <c r="G448" s="514">
        <v>2047</v>
      </c>
      <c r="H448" s="515">
        <v>995303.71</v>
      </c>
      <c r="I448" s="514">
        <v>12.5</v>
      </c>
      <c r="J448" s="515">
        <v>12441296.380000001</v>
      </c>
      <c r="K448" s="514">
        <v>20</v>
      </c>
      <c r="L448" s="515">
        <v>19906074.199999999</v>
      </c>
      <c r="M448" s="514">
        <v>8.1383229999999998</v>
      </c>
      <c r="N448" s="515">
        <v>8100103.0800000001</v>
      </c>
      <c r="O448" s="514">
        <v>0.63459973000000003</v>
      </c>
      <c r="P448" s="515">
        <v>631619.47</v>
      </c>
      <c r="Q448" s="515">
        <v>-69671.259999999995</v>
      </c>
      <c r="R448" s="515">
        <v>158382.26999999999</v>
      </c>
      <c r="S448" s="504" t="str">
        <f t="shared" si="6"/>
        <v>85</v>
      </c>
      <c r="T448" s="447"/>
      <c r="U448" s="447"/>
      <c r="V448" s="447"/>
      <c r="W448" s="447"/>
    </row>
    <row r="449" spans="1:23" ht="15" x14ac:dyDescent="0.25">
      <c r="A449" s="513" t="s">
        <v>402</v>
      </c>
      <c r="B449" s="513" t="s">
        <v>1163</v>
      </c>
      <c r="C449" s="513" t="s">
        <v>692</v>
      </c>
      <c r="D449" s="513" t="s">
        <v>123</v>
      </c>
      <c r="E449" s="514"/>
      <c r="F449" s="514">
        <v>-7.0000000000000007E-2</v>
      </c>
      <c r="G449" s="514">
        <v>2047</v>
      </c>
      <c r="H449" s="515">
        <v>20099641.690000001</v>
      </c>
      <c r="I449" s="514">
        <v>11.65655192</v>
      </c>
      <c r="J449" s="515">
        <v>234292516.93000001</v>
      </c>
      <c r="K449" s="514">
        <v>30.958149079999998</v>
      </c>
      <c r="L449" s="515">
        <v>622247703.86000001</v>
      </c>
      <c r="M449" s="514">
        <v>19.26943958</v>
      </c>
      <c r="N449" s="515">
        <v>387308831.08999997</v>
      </c>
      <c r="O449" s="514">
        <v>0.41089583000000002</v>
      </c>
      <c r="P449" s="515">
        <v>8258858.9199999999</v>
      </c>
      <c r="Q449" s="515">
        <v>-1406974.92</v>
      </c>
      <c r="R449" s="515">
        <v>2070957.02</v>
      </c>
      <c r="S449" s="504" t="str">
        <f t="shared" si="6"/>
        <v>85</v>
      </c>
      <c r="T449" s="447"/>
      <c r="U449" s="447"/>
      <c r="V449" s="447"/>
      <c r="W449" s="447"/>
    </row>
    <row r="450" spans="1:23" ht="15" x14ac:dyDescent="0.25">
      <c r="A450" s="513" t="s">
        <v>402</v>
      </c>
      <c r="B450" s="513" t="s">
        <v>1163</v>
      </c>
      <c r="C450" s="513" t="s">
        <v>713</v>
      </c>
      <c r="D450" s="513" t="s">
        <v>359</v>
      </c>
      <c r="E450" s="514">
        <v>40</v>
      </c>
      <c r="F450" s="514">
        <v>-0.05</v>
      </c>
      <c r="G450" s="514">
        <v>2047</v>
      </c>
      <c r="H450" s="515">
        <v>2863099.86</v>
      </c>
      <c r="I450" s="514">
        <v>12.5</v>
      </c>
      <c r="J450" s="515">
        <v>35788748.25</v>
      </c>
      <c r="K450" s="514">
        <v>40</v>
      </c>
      <c r="L450" s="515">
        <v>114523994.40000001</v>
      </c>
      <c r="M450" s="514">
        <v>27.5</v>
      </c>
      <c r="N450" s="515">
        <v>78735246.150000006</v>
      </c>
      <c r="O450" s="514">
        <v>0.328125</v>
      </c>
      <c r="P450" s="515">
        <v>939454.64</v>
      </c>
      <c r="Q450" s="515">
        <v>-143154.99</v>
      </c>
      <c r="R450" s="515">
        <v>1157820</v>
      </c>
      <c r="S450" s="504" t="str">
        <f t="shared" ref="S450:S460" si="7">MID(C450,5,2)</f>
        <v>85</v>
      </c>
      <c r="T450" s="447"/>
      <c r="U450" s="447"/>
      <c r="V450" s="447"/>
      <c r="W450" s="447"/>
    </row>
    <row r="451" spans="1:23" ht="15" x14ac:dyDescent="0.25">
      <c r="A451" s="513" t="s">
        <v>402</v>
      </c>
      <c r="B451" s="513" t="s">
        <v>1163</v>
      </c>
      <c r="C451" s="513" t="s">
        <v>714</v>
      </c>
      <c r="D451" s="513" t="s">
        <v>405</v>
      </c>
      <c r="E451" s="514">
        <v>30</v>
      </c>
      <c r="F451" s="514">
        <v>-0.05</v>
      </c>
      <c r="G451" s="514">
        <v>2047</v>
      </c>
      <c r="H451" s="515">
        <v>2375361.9300000002</v>
      </c>
      <c r="I451" s="514">
        <v>12.24039514</v>
      </c>
      <c r="J451" s="515">
        <v>29075368.629999999</v>
      </c>
      <c r="K451" s="514">
        <v>29.95</v>
      </c>
      <c r="L451" s="515">
        <v>71142089.799999997</v>
      </c>
      <c r="M451" s="514">
        <v>17.676995999999999</v>
      </c>
      <c r="N451" s="515">
        <v>41989263.340000004</v>
      </c>
      <c r="O451" s="514">
        <v>0.43030534999999998</v>
      </c>
      <c r="P451" s="515">
        <v>1022130.94</v>
      </c>
      <c r="Q451" s="515">
        <v>-118768.1</v>
      </c>
      <c r="R451" s="515">
        <v>1259713.45</v>
      </c>
      <c r="S451" s="504" t="str">
        <f t="shared" si="7"/>
        <v>85</v>
      </c>
      <c r="T451" s="447"/>
      <c r="U451" s="447"/>
      <c r="V451" s="447"/>
      <c r="W451" s="447"/>
    </row>
    <row r="452" spans="1:23" ht="15" x14ac:dyDescent="0.25">
      <c r="A452" s="513" t="s">
        <v>402</v>
      </c>
      <c r="B452" s="513" t="s">
        <v>1163</v>
      </c>
      <c r="C452" s="513" t="s">
        <v>715</v>
      </c>
      <c r="D452" s="513" t="s">
        <v>407</v>
      </c>
      <c r="E452" s="514">
        <v>20</v>
      </c>
      <c r="F452" s="514">
        <v>-0.05</v>
      </c>
      <c r="G452" s="514">
        <v>2047</v>
      </c>
      <c r="H452" s="515">
        <v>226593.11</v>
      </c>
      <c r="I452" s="514">
        <v>11.283844220000001</v>
      </c>
      <c r="J452" s="515">
        <v>2556841.36</v>
      </c>
      <c r="K452" s="514">
        <v>20</v>
      </c>
      <c r="L452" s="515">
        <v>4531862.2</v>
      </c>
      <c r="M452" s="514">
        <v>9.2757260000000006</v>
      </c>
      <c r="N452" s="515">
        <v>2101815.6</v>
      </c>
      <c r="O452" s="514">
        <v>0.56302439999999998</v>
      </c>
      <c r="P452" s="515">
        <v>127577.45</v>
      </c>
      <c r="Q452" s="515">
        <v>-11329.66</v>
      </c>
      <c r="R452" s="515">
        <v>157231.35999999999</v>
      </c>
      <c r="S452" s="504" t="str">
        <f t="shared" si="7"/>
        <v>85</v>
      </c>
      <c r="T452" s="447"/>
      <c r="U452" s="447"/>
      <c r="V452" s="447"/>
      <c r="W452" s="447"/>
    </row>
    <row r="453" spans="1:23" ht="15" x14ac:dyDescent="0.25">
      <c r="A453" s="513" t="s">
        <v>402</v>
      </c>
      <c r="B453" s="513" t="s">
        <v>1163</v>
      </c>
      <c r="C453" s="513" t="s">
        <v>716</v>
      </c>
      <c r="D453" s="513" t="s">
        <v>123</v>
      </c>
      <c r="E453" s="514"/>
      <c r="F453" s="514">
        <v>-0.05</v>
      </c>
      <c r="G453" s="514">
        <v>2047</v>
      </c>
      <c r="H453" s="515">
        <v>5465054.9000000004</v>
      </c>
      <c r="I453" s="514">
        <v>12.336739420000001</v>
      </c>
      <c r="J453" s="515">
        <v>67420958.230000004</v>
      </c>
      <c r="K453" s="514">
        <v>34.802568299999997</v>
      </c>
      <c r="L453" s="515">
        <v>190197946.40000001</v>
      </c>
      <c r="M453" s="514">
        <v>22.474856580000001</v>
      </c>
      <c r="N453" s="515">
        <v>122826325.09</v>
      </c>
      <c r="O453" s="514">
        <v>0.38227667999999998</v>
      </c>
      <c r="P453" s="515">
        <v>2089163.03</v>
      </c>
      <c r="Q453" s="515">
        <v>-273252.75</v>
      </c>
      <c r="R453" s="515">
        <v>2574764.81</v>
      </c>
      <c r="S453" s="504" t="str">
        <f t="shared" si="7"/>
        <v>85</v>
      </c>
      <c r="T453" s="447"/>
      <c r="U453" s="447"/>
      <c r="V453" s="447"/>
      <c r="W453" s="447"/>
    </row>
    <row r="454" spans="1:23" ht="15" x14ac:dyDescent="0.25">
      <c r="A454" s="513" t="s">
        <v>402</v>
      </c>
      <c r="B454" s="513" t="s">
        <v>1163</v>
      </c>
      <c r="C454" s="513" t="s">
        <v>880</v>
      </c>
      <c r="D454" s="513" t="s">
        <v>359</v>
      </c>
      <c r="E454" s="514">
        <v>40</v>
      </c>
      <c r="F454" s="514">
        <v>-0.05</v>
      </c>
      <c r="G454" s="514">
        <v>2047</v>
      </c>
      <c r="H454" s="515">
        <v>120732186.75</v>
      </c>
      <c r="I454" s="514">
        <v>2.5</v>
      </c>
      <c r="J454" s="515">
        <v>301830466.88</v>
      </c>
      <c r="K454" s="514">
        <v>30</v>
      </c>
      <c r="L454" s="515">
        <v>3621965602.5</v>
      </c>
      <c r="M454" s="514">
        <v>27.5</v>
      </c>
      <c r="N454" s="515">
        <v>3320135135.6300001</v>
      </c>
      <c r="O454" s="514">
        <v>8.7499999999999994E-2</v>
      </c>
      <c r="P454" s="515">
        <v>10564066.34</v>
      </c>
      <c r="Q454" s="515">
        <v>-6036609.3399999999</v>
      </c>
      <c r="R454" s="515">
        <v>8897861.4000000004</v>
      </c>
      <c r="S454" s="504" t="str">
        <f t="shared" si="7"/>
        <v>86</v>
      </c>
      <c r="T454" s="447"/>
      <c r="U454" s="447"/>
      <c r="V454" s="447"/>
      <c r="W454" s="447"/>
    </row>
    <row r="455" spans="1:23" ht="15" x14ac:dyDescent="0.25">
      <c r="A455" s="513" t="s">
        <v>402</v>
      </c>
      <c r="B455" s="513" t="s">
        <v>1163</v>
      </c>
      <c r="C455" s="513" t="s">
        <v>881</v>
      </c>
      <c r="D455" s="513" t="s">
        <v>405</v>
      </c>
      <c r="E455" s="514">
        <v>30</v>
      </c>
      <c r="F455" s="514">
        <v>-0.05</v>
      </c>
      <c r="G455" s="514">
        <v>2047</v>
      </c>
      <c r="H455" s="515">
        <v>84848100.459999993</v>
      </c>
      <c r="I455" s="514">
        <v>2.4994218099999999</v>
      </c>
      <c r="J455" s="515">
        <v>212071192.91</v>
      </c>
      <c r="K455" s="514">
        <v>28.14</v>
      </c>
      <c r="L455" s="515">
        <v>2387625546.9400001</v>
      </c>
      <c r="M455" s="514">
        <v>25.406248000000001</v>
      </c>
      <c r="N455" s="515">
        <v>2155671882.6199999</v>
      </c>
      <c r="O455" s="514">
        <v>0.10188119</v>
      </c>
      <c r="P455" s="515">
        <v>8644425.5800000001</v>
      </c>
      <c r="Q455" s="515">
        <v>-4242405.0199999996</v>
      </c>
      <c r="R455" s="515">
        <v>7280993.7199999997</v>
      </c>
      <c r="S455" s="504" t="str">
        <f t="shared" si="7"/>
        <v>86</v>
      </c>
      <c r="T455" s="447"/>
      <c r="U455" s="447"/>
      <c r="V455" s="447"/>
      <c r="W455" s="447"/>
    </row>
    <row r="456" spans="1:23" ht="15" x14ac:dyDescent="0.25">
      <c r="A456" s="513" t="s">
        <v>402</v>
      </c>
      <c r="B456" s="513" t="s">
        <v>1163</v>
      </c>
      <c r="C456" s="513" t="s">
        <v>882</v>
      </c>
      <c r="D456" s="513" t="s">
        <v>407</v>
      </c>
      <c r="E456" s="514">
        <v>20</v>
      </c>
      <c r="F456" s="514">
        <v>-0.05</v>
      </c>
      <c r="G456" s="514">
        <v>2047</v>
      </c>
      <c r="H456" s="515">
        <v>7998760.0700000003</v>
      </c>
      <c r="I456" s="514">
        <v>2.5</v>
      </c>
      <c r="J456" s="515">
        <v>19996900.18</v>
      </c>
      <c r="K456" s="514">
        <v>20</v>
      </c>
      <c r="L456" s="515">
        <v>159975201.40000001</v>
      </c>
      <c r="M456" s="514">
        <v>17.476051999999999</v>
      </c>
      <c r="N456" s="515">
        <v>139786746.91999999</v>
      </c>
      <c r="O456" s="514">
        <v>0.13250729999999999</v>
      </c>
      <c r="P456" s="515">
        <v>1059894.07</v>
      </c>
      <c r="Q456" s="515">
        <v>-399938</v>
      </c>
      <c r="R456" s="515">
        <v>892723.52</v>
      </c>
      <c r="S456" s="504" t="str">
        <f t="shared" si="7"/>
        <v>86</v>
      </c>
      <c r="T456" s="447"/>
      <c r="U456" s="447"/>
      <c r="V456" s="447"/>
      <c r="W456" s="447"/>
    </row>
    <row r="457" spans="1:23" ht="15" x14ac:dyDescent="0.25">
      <c r="A457" s="513" t="s">
        <v>402</v>
      </c>
      <c r="B457" s="513" t="s">
        <v>1163</v>
      </c>
      <c r="C457" s="513" t="s">
        <v>1082</v>
      </c>
      <c r="D457" s="513" t="s">
        <v>123</v>
      </c>
      <c r="E457" s="514"/>
      <c r="F457" s="514">
        <v>-0.05</v>
      </c>
      <c r="G457" s="514">
        <v>2047</v>
      </c>
      <c r="H457" s="515">
        <v>213579047.28</v>
      </c>
      <c r="I457" s="514">
        <v>2.4997702999999998</v>
      </c>
      <c r="J457" s="515">
        <v>533898559.95999998</v>
      </c>
      <c r="K457" s="514">
        <v>28.886571180000001</v>
      </c>
      <c r="L457" s="515">
        <v>6169566350.8400002</v>
      </c>
      <c r="M457" s="514">
        <v>26.292812130000002</v>
      </c>
      <c r="N457" s="515">
        <v>5615593765.1599998</v>
      </c>
      <c r="O457" s="514">
        <v>9.4898759999999999E-2</v>
      </c>
      <c r="P457" s="515">
        <v>20268385.989999998</v>
      </c>
      <c r="Q457" s="515">
        <v>-10678952.359999999</v>
      </c>
      <c r="R457" s="515">
        <v>17071578.640000001</v>
      </c>
      <c r="S457" s="504" t="str">
        <f t="shared" si="7"/>
        <v>86</v>
      </c>
      <c r="T457" s="447"/>
      <c r="U457" s="447"/>
      <c r="V457" s="447"/>
      <c r="W457" s="447"/>
    </row>
    <row r="458" spans="1:23" ht="15" x14ac:dyDescent="0.25">
      <c r="A458" s="513" t="s">
        <v>402</v>
      </c>
      <c r="B458" s="513" t="s">
        <v>1163</v>
      </c>
      <c r="C458" s="513" t="s">
        <v>875</v>
      </c>
      <c r="D458" s="513" t="s">
        <v>405</v>
      </c>
      <c r="E458" s="514">
        <v>35</v>
      </c>
      <c r="F458" s="514">
        <v>-0.05</v>
      </c>
      <c r="G458" s="514">
        <v>2057</v>
      </c>
      <c r="H458" s="515">
        <v>9909494.6899999995</v>
      </c>
      <c r="I458" s="514">
        <v>2.5</v>
      </c>
      <c r="J458" s="515">
        <v>24773736.73</v>
      </c>
      <c r="K458" s="514">
        <v>34.68</v>
      </c>
      <c r="L458" s="515">
        <v>343661275.85000002</v>
      </c>
      <c r="M458" s="514">
        <v>31.795743999999999</v>
      </c>
      <c r="N458" s="515">
        <v>315079756.32999998</v>
      </c>
      <c r="O458" s="514">
        <v>8.7257470000000004E-2</v>
      </c>
      <c r="P458" s="515">
        <v>864677.47</v>
      </c>
      <c r="Q458" s="515">
        <v>-495474.73</v>
      </c>
      <c r="R458" s="515">
        <v>1742847.79</v>
      </c>
      <c r="S458" s="504" t="str">
        <f t="shared" si="7"/>
        <v>86</v>
      </c>
    </row>
    <row r="459" spans="1:23" ht="15" x14ac:dyDescent="0.25">
      <c r="A459" s="513" t="s">
        <v>402</v>
      </c>
      <c r="B459" s="513" t="s">
        <v>1163</v>
      </c>
      <c r="C459" s="513" t="s">
        <v>874</v>
      </c>
      <c r="D459" s="513" t="s">
        <v>407</v>
      </c>
      <c r="E459" s="514">
        <v>20</v>
      </c>
      <c r="F459" s="514">
        <v>-0.05</v>
      </c>
      <c r="G459" s="514">
        <v>2057</v>
      </c>
      <c r="H459" s="515">
        <v>511193.26</v>
      </c>
      <c r="I459" s="514">
        <v>2.2122404200000001</v>
      </c>
      <c r="J459" s="515">
        <v>1130882.3899999999</v>
      </c>
      <c r="K459" s="514">
        <v>20</v>
      </c>
      <c r="L459" s="515">
        <v>10223865.199999999</v>
      </c>
      <c r="M459" s="514">
        <v>17.787844</v>
      </c>
      <c r="N459" s="515">
        <v>9093025.9600000009</v>
      </c>
      <c r="O459" s="514">
        <v>0.11613819</v>
      </c>
      <c r="P459" s="515">
        <v>59369.06</v>
      </c>
      <c r="Q459" s="515">
        <v>-25559.66</v>
      </c>
      <c r="R459" s="515">
        <v>119664.54</v>
      </c>
      <c r="S459" s="504" t="str">
        <f t="shared" si="7"/>
        <v>86</v>
      </c>
    </row>
    <row r="460" spans="1:23" ht="15" x14ac:dyDescent="0.25">
      <c r="A460" s="513" t="s">
        <v>402</v>
      </c>
      <c r="B460" s="513" t="s">
        <v>1163</v>
      </c>
      <c r="C460" s="513" t="s">
        <v>1084</v>
      </c>
      <c r="D460" s="513" t="s">
        <v>123</v>
      </c>
      <c r="E460" s="514"/>
      <c r="F460" s="514">
        <v>-0.05</v>
      </c>
      <c r="G460" s="514">
        <v>2057</v>
      </c>
      <c r="H460" s="515">
        <v>10420687.949999999</v>
      </c>
      <c r="I460" s="514">
        <v>2.48588378</v>
      </c>
      <c r="J460" s="515">
        <v>25904619.120000001</v>
      </c>
      <c r="K460" s="514">
        <v>33.959863570000003</v>
      </c>
      <c r="L460" s="515">
        <v>353885141.05000001</v>
      </c>
      <c r="M460" s="514">
        <v>31.10857785</v>
      </c>
      <c r="N460" s="515">
        <v>324172782.30000001</v>
      </c>
      <c r="O460" s="514">
        <v>8.8674230000000007E-2</v>
      </c>
      <c r="P460" s="515">
        <v>924046.53</v>
      </c>
      <c r="Q460" s="515">
        <v>-521034.4</v>
      </c>
      <c r="R460" s="515">
        <v>1862512.33</v>
      </c>
      <c r="S460" s="504" t="str">
        <f t="shared" si="7"/>
        <v>86</v>
      </c>
    </row>
    <row r="465" spans="8:8" x14ac:dyDescent="0.2">
      <c r="H465" s="40"/>
    </row>
  </sheetData>
  <sortState xmlns:xlrd2="http://schemas.microsoft.com/office/spreadsheetml/2017/richdata2" ref="A2:S460">
    <sortCondition ref="S1:S460"/>
  </sortState>
  <phoneticPr fontId="21" type="noConversion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">
    <tabColor theme="7" tint="-0.249977111117893"/>
    <pageSetUpPr fitToPage="1"/>
  </sheetPr>
  <dimension ref="A1:AA67"/>
  <sheetViews>
    <sheetView view="pageBreakPreview" zoomScale="112" zoomScaleNormal="100" zoomScaleSheetLayoutView="112" workbookViewId="0">
      <pane xSplit="4" ySplit="10" topLeftCell="E11" activePane="bottomRight" state="frozen"/>
      <selection activeCell="N52" sqref="N52"/>
      <selection pane="topRight" activeCell="N52" sqref="N52"/>
      <selection pane="bottomLeft" activeCell="N52" sqref="N52"/>
      <selection pane="bottomRight" activeCell="L52" sqref="L52"/>
    </sheetView>
  </sheetViews>
  <sheetFormatPr defaultColWidth="9.140625" defaultRowHeight="12.75" x14ac:dyDescent="0.2"/>
  <cols>
    <col min="1" max="1" width="34.71093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7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7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7" ht="15.75" x14ac:dyDescent="0.25">
      <c r="A3" s="397"/>
      <c r="B3" s="397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7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7" x14ac:dyDescent="0.2">
      <c r="A5" s="49"/>
      <c r="B5" s="49"/>
      <c r="R5" s="48"/>
    </row>
    <row r="6" spans="1:27" ht="15.75" x14ac:dyDescent="0.25">
      <c r="A6" s="49"/>
      <c r="B6" s="49"/>
      <c r="C6" s="73" t="s">
        <v>20</v>
      </c>
      <c r="D6" s="71"/>
      <c r="E6" s="29"/>
      <c r="M6" s="404"/>
      <c r="N6" s="404"/>
      <c r="R6" s="48"/>
    </row>
    <row r="7" spans="1:27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7" ht="15.95" customHeight="1" x14ac:dyDescent="0.2">
      <c r="A8" s="49"/>
      <c r="B8" s="49"/>
      <c r="C8" s="359">
        <f>IFERROR(VLOOKUP($A13,'PP DS Query'!$C$1:$R$1005,5,FALSE),0)</f>
        <v>2045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7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462" t="s">
        <v>37</v>
      </c>
      <c r="R9" s="48"/>
    </row>
    <row r="10" spans="1:27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7" ht="15.95" customHeight="1" x14ac:dyDescent="0.2">
      <c r="A11" s="49"/>
      <c r="B11" s="49"/>
      <c r="C11" s="38"/>
      <c r="E11" s="50"/>
      <c r="F11" s="351"/>
      <c r="G11" s="406"/>
      <c r="H11" s="351"/>
      <c r="I11" s="406"/>
      <c r="J11" s="351"/>
      <c r="K11" s="406"/>
      <c r="L11" s="351"/>
      <c r="M11" s="405"/>
      <c r="N11" s="351"/>
      <c r="O11" s="409"/>
      <c r="P11" s="407"/>
      <c r="Q11" s="407"/>
      <c r="R11" s="48"/>
      <c r="U11"/>
      <c r="V11"/>
      <c r="W11" s="401"/>
      <c r="X11"/>
      <c r="Y11"/>
      <c r="Z11" s="401"/>
      <c r="AA11"/>
    </row>
    <row r="12" spans="1:27" ht="15.95" customHeight="1" x14ac:dyDescent="0.2">
      <c r="A12" s="49"/>
      <c r="B12" s="49"/>
      <c r="C12" s="231" t="s">
        <v>1167</v>
      </c>
      <c r="E12" s="50"/>
      <c r="P12" s="18"/>
      <c r="Q12" s="18"/>
      <c r="R12" s="48"/>
      <c r="U12" s="76"/>
      <c r="V12" s="394"/>
      <c r="W12" s="402"/>
      <c r="X12"/>
      <c r="Y12"/>
      <c r="Z12" s="402"/>
      <c r="AA12"/>
    </row>
    <row r="13" spans="1:27" ht="15.95" customHeight="1" x14ac:dyDescent="0.2">
      <c r="A13" s="49" t="s">
        <v>403</v>
      </c>
      <c r="B13" s="499">
        <f>IFERROR(VLOOKUP($A13,'PP DS Query'!$C$1:$R$1005,5,FALSE),0)</f>
        <v>2045</v>
      </c>
      <c r="C13" s="33">
        <f>IFERROR(VLOOKUP($A13,'PP DS Query'!$C$1:$R$1005,3,FALSE),0)</f>
        <v>75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161128605.15000001</v>
      </c>
      <c r="G13" s="523">
        <f>IFERROR(VLOOKUP($A13,'PP DS Query'!$C$1:$R$1005,7,FALSE),0)</f>
        <v>14.27004041</v>
      </c>
      <c r="H13" s="358">
        <f>IFERROR(VLOOKUP($A13,'PP DS Query'!$C$1:$R$1005,8,FALSE),0)</f>
        <v>2299311705.9000001</v>
      </c>
      <c r="I13" s="523">
        <f>IFERROR(VLOOKUP($A13,'PP DS Query'!$C$1:$R$1005,9,FALSE),0)</f>
        <v>37.159999999999997</v>
      </c>
      <c r="J13" s="358">
        <f>IFERROR(VLOOKUP($A13,'PP DS Query'!$C$1:$R$1005,10,FALSE),0)</f>
        <v>5987538967.3699999</v>
      </c>
      <c r="K13" s="523">
        <f>IFERROR(VLOOKUP($A13,'PP DS Query'!$C$1:$R$1005,11,FALSE),0)</f>
        <v>25.5</v>
      </c>
      <c r="L13" s="358">
        <f>IFERROR(VLOOKUP($A13,'PP DS Query'!$C$1:$R$1005,12,FALSE),0)</f>
        <v>4108779431.3299999</v>
      </c>
      <c r="M13" s="19">
        <f>IFERROR(VLOOKUP($A13,'PP DS Query'!$C$1:$R$1005,13,FALSE),0)</f>
        <v>0.31996291999999998</v>
      </c>
      <c r="N13" s="358">
        <f>IFERROR(VLOOKUP($A13,'PP DS Query'!$C$1:$R$1005,14,FALSE),0)</f>
        <v>51555178.880000003</v>
      </c>
      <c r="O13" s="56">
        <f>IFERROR(VLOOKUP($A13,'PP DS Query'!$C$1:$R$1005,4,FALSE),0)</f>
        <v>-0.02</v>
      </c>
      <c r="P13" s="358">
        <f>-IFERROR(VLOOKUP($A13,'PP DS Query'!$C$1:$R$1005,15,FALSE),0)</f>
        <v>3222572.1</v>
      </c>
      <c r="Q13" s="358">
        <f>IFERROR(VLOOKUP($A13,'PP DS Query'!$C$1:$R$1005,16,FALSE),0)</f>
        <v>43414312.359999999</v>
      </c>
      <c r="R13" s="48"/>
      <c r="S13" s="472">
        <f>IFERROR(ROUND(LEFT(A13,7)*100,0),0)</f>
        <v>31140</v>
      </c>
      <c r="T13" s="472" t="s">
        <v>962</v>
      </c>
      <c r="U13" s="474">
        <f>IFERROR(VLOOKUP($S13,#REF!,6,FALSE),0)</f>
        <v>0</v>
      </c>
      <c r="V13" s="473">
        <f>U13-F13</f>
        <v>-161128605.15000001</v>
      </c>
      <c r="W13" s="403"/>
      <c r="X13"/>
      <c r="Y13"/>
      <c r="Z13"/>
      <c r="AA13" s="403"/>
    </row>
    <row r="14" spans="1:27" ht="15.95" customHeight="1" x14ac:dyDescent="0.2">
      <c r="A14" s="49" t="s">
        <v>404</v>
      </c>
      <c r="B14" s="499">
        <f>IFERROR(VLOOKUP($A14,'PP DS Query'!$C$1:$R$1005,5,FALSE),0)</f>
        <v>2045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52341939.990000002</v>
      </c>
      <c r="G14" s="523">
        <f>IFERROR(VLOOKUP($A14,'PP DS Query'!$C$1:$R$1005,7,FALSE),0)</f>
        <v>7.9547379500000002</v>
      </c>
      <c r="H14" s="358">
        <f>IFERROR(VLOOKUP($A14,'PP DS Query'!$C$1:$R$1005,8,FALSE),0)</f>
        <v>416366416.39999998</v>
      </c>
      <c r="I14" s="523">
        <f>IFERROR(VLOOKUP($A14,'PP DS Query'!$C$1:$R$1005,9,FALSE),0)</f>
        <v>29.54</v>
      </c>
      <c r="J14" s="358">
        <f>IFERROR(VLOOKUP($A14,'PP DS Query'!$C$1:$R$1005,10,FALSE),0)</f>
        <v>1546180907.3</v>
      </c>
      <c r="K14" s="523">
        <f>IFERROR(VLOOKUP($A14,'PP DS Query'!$C$1:$R$1005,11,FALSE),0)</f>
        <v>22.868141999999999</v>
      </c>
      <c r="L14" s="358">
        <f>IFERROR(VLOOKUP($A14,'PP DS Query'!$C$1:$R$1005,12,FALSE),0)</f>
        <v>1196962916.25</v>
      </c>
      <c r="M14" s="19">
        <f>IFERROR(VLOOKUP($A14,'PP DS Query'!$C$1:$R$1005,13,FALSE),0)</f>
        <v>0.23044664000000001</v>
      </c>
      <c r="N14" s="358">
        <f>IFERROR(VLOOKUP($A14,'PP DS Query'!$C$1:$R$1005,14,FALSE),0)</f>
        <v>12062024.17</v>
      </c>
      <c r="O14" s="56">
        <f>IFERROR(VLOOKUP($A14,'PP DS Query'!$C$1:$R$1005,4,FALSE),0)</f>
        <v>-0.02</v>
      </c>
      <c r="P14" s="358">
        <f>-IFERROR(VLOOKUP($A14,'PP DS Query'!$C$1:$R$1005,15,FALSE),0)</f>
        <v>1046838.8</v>
      </c>
      <c r="Q14" s="358">
        <f>IFERROR(VLOOKUP($A14,'PP DS Query'!$C$1:$R$1005,16,FALSE),0)</f>
        <v>10157359.48</v>
      </c>
      <c r="R14" s="48"/>
      <c r="S14" s="472">
        <f t="shared" ref="S14:S15" si="0">IFERROR(ROUND(LEFT(A14,7)*100,0),0)</f>
        <v>31140</v>
      </c>
      <c r="T14" s="472" t="s">
        <v>963</v>
      </c>
      <c r="U14" s="474">
        <f>IFERROR(VLOOKUP($S14,#REF!,7,FALSE),0)</f>
        <v>0</v>
      </c>
      <c r="V14" s="473">
        <f t="shared" ref="V14:V15" si="1">U14-F14</f>
        <v>-52341939.990000002</v>
      </c>
      <c r="W14"/>
      <c r="X14"/>
      <c r="Y14"/>
      <c r="AA14" s="403"/>
    </row>
    <row r="15" spans="1:27" ht="15.95" customHeight="1" thickBot="1" x14ac:dyDescent="0.25">
      <c r="A15" s="49" t="s">
        <v>406</v>
      </c>
      <c r="B15" s="499">
        <f>IFERROR(VLOOKUP($A15,'PP DS Query'!$C$1:$R$1005,5,FALSE),0)</f>
        <v>2045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10771074.85</v>
      </c>
      <c r="G15" s="524">
        <f>IFERROR(VLOOKUP($A15,'PP DS Query'!$C$1:$R$1005,7,FALSE),0)</f>
        <v>11.389544470000001</v>
      </c>
      <c r="H15" s="250">
        <f>IFERROR(VLOOKUP($A15,'PP DS Query'!$C$1:$R$1005,8,FALSE),0)</f>
        <v>122677635.95</v>
      </c>
      <c r="I15" s="524">
        <f>IFERROR(VLOOKUP($A15,'PP DS Query'!$C$1:$R$1005,9,FALSE),0)</f>
        <v>20</v>
      </c>
      <c r="J15" s="250">
        <f>IFERROR(VLOOKUP($A15,'PP DS Query'!$C$1:$R$1005,10,FALSE),0)</f>
        <v>215421497</v>
      </c>
      <c r="K15" s="524">
        <f>IFERROR(VLOOKUP($A15,'PP DS Query'!$C$1:$R$1005,11,FALSE),0)</f>
        <v>11.497679</v>
      </c>
      <c r="L15" s="250">
        <f>IFERROR(VLOOKUP($A15,'PP DS Query'!$C$1:$R$1005,12,FALSE),0)</f>
        <v>123842361.11</v>
      </c>
      <c r="M15" s="21">
        <f>IFERROR(VLOOKUP($A15,'PP DS Query'!$C$1:$R$1005,13,FALSE),0)</f>
        <v>0.46061350000000001</v>
      </c>
      <c r="N15" s="250">
        <f>IFERROR(VLOOKUP($A15,'PP DS Query'!$C$1:$R$1005,14,FALSE),0)</f>
        <v>4961302.5</v>
      </c>
      <c r="O15" s="57">
        <f>IFERROR(VLOOKUP($A15,'PP DS Query'!$C$1:$R$1005,4,FALSE),0)</f>
        <v>-0.02</v>
      </c>
      <c r="P15" s="250">
        <f>-IFERROR(VLOOKUP($A15,'PP DS Query'!$C$1:$R$1005,15,FALSE),0)</f>
        <v>215421.5</v>
      </c>
      <c r="Q15" s="250">
        <f>IFERROR(VLOOKUP($A15,'PP DS Query'!$C$1:$R$1005,16,FALSE),0)</f>
        <v>4177883.61</v>
      </c>
      <c r="R15" s="48"/>
      <c r="S15" s="472">
        <f t="shared" si="0"/>
        <v>31140</v>
      </c>
      <c r="T15" s="472" t="s">
        <v>964</v>
      </c>
      <c r="U15" s="475">
        <f>IFERROR(VLOOKUP($S15,#REF!,8,FALSE),0)</f>
        <v>0</v>
      </c>
      <c r="V15" s="476">
        <f t="shared" si="1"/>
        <v>-10771074.85</v>
      </c>
      <c r="W15" s="403"/>
      <c r="X15"/>
      <c r="Y15"/>
      <c r="Z15"/>
      <c r="AA15" s="403"/>
    </row>
    <row r="16" spans="1:27" ht="15.95" customHeight="1" x14ac:dyDescent="0.2">
      <c r="A16" s="49" t="s">
        <v>408</v>
      </c>
      <c r="B16" s="499">
        <f>IFERROR(VLOOKUP($A16,'PP DS Query'!$C$1:$R$1005,5,FALSE),0)</f>
        <v>2045</v>
      </c>
      <c r="C16" s="33"/>
      <c r="D16" s="34"/>
      <c r="E16" s="15"/>
      <c r="F16" s="443">
        <f>IFERROR(VLOOKUP($A16,'PP DS Query'!$C$1:$R$1005,6,FALSE),0)</f>
        <v>224241619.99000001</v>
      </c>
      <c r="G16" s="525">
        <f>IFERROR(VLOOKUP($A16,'PP DS Query'!$C$1:$R$1005,7,FALSE),0)</f>
        <v>12.657577829999999</v>
      </c>
      <c r="H16" s="443">
        <f>IFERROR(VLOOKUP($A16,'PP DS Query'!$C$1:$R$1005,8,FALSE),0)</f>
        <v>2838355758.2399998</v>
      </c>
      <c r="I16" s="525">
        <f>IFERROR(VLOOKUP($A16,'PP DS Query'!$C$1:$R$1005,9,FALSE),0)</f>
        <v>34.557105730000004</v>
      </c>
      <c r="J16" s="443">
        <f>IFERROR(VLOOKUP($A16,'PP DS Query'!$C$1:$R$1005,10,FALSE),0)</f>
        <v>7749141371.6800003</v>
      </c>
      <c r="K16" s="525">
        <f>IFERROR(VLOOKUP($A16,'PP DS Query'!$C$1:$R$1005,11,FALSE),0)</f>
        <v>24.21309973</v>
      </c>
      <c r="L16" s="443">
        <f>IFERROR(VLOOKUP($A16,'PP DS Query'!$C$1:$R$1005,12,FALSE),0)</f>
        <v>5429584708.6800003</v>
      </c>
      <c r="M16" s="445">
        <f>IFERROR(VLOOKUP($A16,'PP DS Query'!$C$1:$R$1005,13,FALSE),0)</f>
        <v>0.30582416000000001</v>
      </c>
      <c r="N16" s="443">
        <f>IFERROR(VLOOKUP($A16,'PP DS Query'!$C$1:$R$1005,14,FALSE),0)</f>
        <v>68578505.549999997</v>
      </c>
      <c r="O16" s="446">
        <f>IFERROR(VLOOKUP($A16,'PP DS Query'!$C$1:$R$1005,4,FALSE),0)</f>
        <v>-0.02</v>
      </c>
      <c r="P16" s="443">
        <f>-IFERROR(VLOOKUP($A16,'PP DS Query'!$C$1:$R$1005,15,FALSE),0)</f>
        <v>4484832.4000000004</v>
      </c>
      <c r="Q16" s="443">
        <f>IFERROR(VLOOKUP($A16,'PP DS Query'!$C$1:$R$1005,16,FALSE),0)</f>
        <v>57749555.450000003</v>
      </c>
      <c r="R16" s="48"/>
      <c r="U16" s="473">
        <f>SUM(U13:U15)</f>
        <v>0</v>
      </c>
      <c r="V16" s="473">
        <f>SUM(V13:V15)</f>
        <v>-224241619.99000001</v>
      </c>
      <c r="W16" s="403"/>
      <c r="X16"/>
      <c r="Y16"/>
      <c r="Z16"/>
      <c r="AA16" s="403"/>
    </row>
    <row r="17" spans="1:22" ht="15.95" customHeight="1" x14ac:dyDescent="0.2">
      <c r="A17" s="49"/>
      <c r="B17" s="49"/>
      <c r="C17" s="15"/>
      <c r="E17" s="360"/>
      <c r="G17" s="523"/>
      <c r="H17" s="450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1168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449</v>
      </c>
      <c r="B19" s="499">
        <f>IFERROR(VLOOKUP($A19,'PP DS Query'!$C$1:$R$1005,5,FALSE),0)</f>
        <v>2045</v>
      </c>
      <c r="C19" s="33">
        <f>IFERROR(VLOOKUP($A19,'PP DS Query'!$C$1:$R$1005,3,FALSE),0)</f>
        <v>75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85481215.180000007</v>
      </c>
      <c r="G19" s="523">
        <f>IFERROR(VLOOKUP($A19,'PP DS Query'!$C$1:$R$1005,7,FALSE),0)</f>
        <v>14.904382350000001</v>
      </c>
      <c r="H19" s="358">
        <f>IFERROR(VLOOKUP($A19,'PP DS Query'!$C$1:$R$1005,8,FALSE),0)</f>
        <v>1274044714.8099999</v>
      </c>
      <c r="I19" s="523">
        <f>IFERROR(VLOOKUP($A19,'PP DS Query'!$C$1:$R$1005,9,FALSE),0)</f>
        <v>37.92</v>
      </c>
      <c r="J19" s="358">
        <f>IFERROR(VLOOKUP($A19,'PP DS Query'!$C$1:$R$1005,10,FALSE),0)</f>
        <v>3241447679.6300001</v>
      </c>
      <c r="K19" s="523">
        <f>IFERROR(VLOOKUP($A19,'PP DS Query'!$C$1:$R$1005,11,FALSE),0)</f>
        <v>25.5</v>
      </c>
      <c r="L19" s="358">
        <f>IFERROR(VLOOKUP($A19,'PP DS Query'!$C$1:$R$1005,12,FALSE),0)</f>
        <v>2179770987.0900002</v>
      </c>
      <c r="M19" s="19">
        <f>IFERROR(VLOOKUP($A19,'PP DS Query'!$C$1:$R$1005,13,FALSE),0)</f>
        <v>0.34385930999999997</v>
      </c>
      <c r="N19" s="358">
        <f>IFERROR(VLOOKUP($A19,'PP DS Query'!$C$1:$R$1005,14,FALSE),0)</f>
        <v>29393511.289999999</v>
      </c>
      <c r="O19" s="56">
        <f>IFERROR(VLOOKUP($A19,'PP DS Query'!$C$1:$R$1005,4,FALSE),0)</f>
        <v>-0.05</v>
      </c>
      <c r="P19" s="358">
        <f>-IFERROR(VLOOKUP($A19,'PP DS Query'!$C$1:$R$1005,15,FALSE),0)</f>
        <v>4274060.76</v>
      </c>
      <c r="Q19" s="358">
        <f>IFERROR(VLOOKUP($A19,'PP DS Query'!$C$1:$R$1005,16,FALSE),0)</f>
        <v>3727193.28</v>
      </c>
      <c r="R19" s="48"/>
      <c r="S19" s="472">
        <f>IFERROR(ROUND(LEFT(A19,7)*100,0),0)</f>
        <v>31240</v>
      </c>
      <c r="T19" s="472" t="s">
        <v>962</v>
      </c>
      <c r="U19" s="474">
        <f>IFERROR(VLOOKUP($S19,#REF!,6,FALSE),0)</f>
        <v>0</v>
      </c>
      <c r="V19" s="473">
        <f>U19-F19</f>
        <v>-85481215.180000007</v>
      </c>
    </row>
    <row r="20" spans="1:22" ht="15.95" customHeight="1" x14ac:dyDescent="0.2">
      <c r="A20" s="49" t="s">
        <v>450</v>
      </c>
      <c r="B20" s="499">
        <f>IFERROR(VLOOKUP($A20,'PP DS Query'!$C$1:$R$1005,5,FALSE),0)</f>
        <v>2045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53840251.719999999</v>
      </c>
      <c r="G20" s="523">
        <f>IFERROR(VLOOKUP($A20,'PP DS Query'!$C$1:$R$1005,7,FALSE),0)</f>
        <v>10.0250979</v>
      </c>
      <c r="H20" s="358">
        <f>IFERROR(VLOOKUP($A20,'PP DS Query'!$C$1:$R$1005,8,FALSE),0)</f>
        <v>539753794.21000004</v>
      </c>
      <c r="I20" s="523">
        <f>IFERROR(VLOOKUP($A20,'PP DS Query'!$C$1:$R$1005,9,FALSE),0)</f>
        <v>30.87</v>
      </c>
      <c r="J20" s="358">
        <f>IFERROR(VLOOKUP($A20,'PP DS Query'!$C$1:$R$1005,10,FALSE),0)</f>
        <v>1662048570.5999999</v>
      </c>
      <c r="K20" s="523">
        <f>IFERROR(VLOOKUP($A20,'PP DS Query'!$C$1:$R$1005,11,FALSE),0)</f>
        <v>21.998646000000001</v>
      </c>
      <c r="L20" s="358">
        <f>IFERROR(VLOOKUP($A20,'PP DS Query'!$C$1:$R$1005,12,FALSE),0)</f>
        <v>1184412638.1400001</v>
      </c>
      <c r="M20" s="19">
        <f>IFERROR(VLOOKUP($A20,'PP DS Query'!$C$1:$R$1005,13,FALSE),0)</f>
        <v>0.30167389</v>
      </c>
      <c r="N20" s="358">
        <f>IFERROR(VLOOKUP($A20,'PP DS Query'!$C$1:$R$1005,14,FALSE),0)</f>
        <v>16242198.08</v>
      </c>
      <c r="O20" s="56">
        <f>IFERROR(VLOOKUP($A20,'PP DS Query'!$C$1:$R$1005,4,FALSE),0)</f>
        <v>-0.05</v>
      </c>
      <c r="P20" s="358">
        <f>-IFERROR(VLOOKUP($A20,'PP DS Query'!$C$1:$R$1005,15,FALSE),0)</f>
        <v>2692012.59</v>
      </c>
      <c r="Q20" s="358">
        <f>IFERROR(VLOOKUP($A20,'PP DS Query'!$C$1:$R$1005,16,FALSE),0)</f>
        <v>2059563.79</v>
      </c>
      <c r="R20" s="48"/>
      <c r="S20" s="472">
        <f t="shared" ref="S20:S21" si="2">IFERROR(ROUND(LEFT(A20,7)*100,0),0)</f>
        <v>31240</v>
      </c>
      <c r="T20" s="472" t="s">
        <v>963</v>
      </c>
      <c r="U20" s="474">
        <f>IFERROR(VLOOKUP($S20,#REF!,7,FALSE),0)</f>
        <v>0</v>
      </c>
      <c r="V20" s="473">
        <f t="shared" ref="V20:V21" si="3">U20-F20</f>
        <v>-53840251.719999999</v>
      </c>
    </row>
    <row r="21" spans="1:22" ht="15.95" customHeight="1" thickBot="1" x14ac:dyDescent="0.25">
      <c r="A21" s="49" t="s">
        <v>451</v>
      </c>
      <c r="B21" s="499">
        <f>IFERROR(VLOOKUP($A21,'PP DS Query'!$C$1:$R$1005,5,FALSE),0)</f>
        <v>2045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43106238.859999999</v>
      </c>
      <c r="G21" s="524">
        <f>IFERROR(VLOOKUP($A21,'PP DS Query'!$C$1:$R$1005,7,FALSE),0)</f>
        <v>7.2485340200000001</v>
      </c>
      <c r="H21" s="250">
        <f>IFERROR(VLOOKUP($A21,'PP DS Query'!$C$1:$R$1005,8,FALSE),0)</f>
        <v>312457038.75999999</v>
      </c>
      <c r="I21" s="524">
        <f>IFERROR(VLOOKUP($A21,'PP DS Query'!$C$1:$R$1005,9,FALSE),0)</f>
        <v>20</v>
      </c>
      <c r="J21" s="250">
        <f>IFERROR(VLOOKUP($A21,'PP DS Query'!$C$1:$R$1005,10,FALSE),0)</f>
        <v>862124777.20000005</v>
      </c>
      <c r="K21" s="524">
        <f>IFERROR(VLOOKUP($A21,'PP DS Query'!$C$1:$R$1005,11,FALSE),0)</f>
        <v>13.074043</v>
      </c>
      <c r="L21" s="250">
        <f>IFERROR(VLOOKUP($A21,'PP DS Query'!$C$1:$R$1005,12,FALSE),0)</f>
        <v>563572820.41999996</v>
      </c>
      <c r="M21" s="21">
        <f>IFERROR(VLOOKUP($A21,'PP DS Query'!$C$1:$R$1005,13,FALSE),0)</f>
        <v>0.36869394</v>
      </c>
      <c r="N21" s="250">
        <f>IFERROR(VLOOKUP($A21,'PP DS Query'!$C$1:$R$1005,14,FALSE),0)</f>
        <v>15893009.02</v>
      </c>
      <c r="O21" s="57">
        <f>IFERROR(VLOOKUP($A21,'PP DS Query'!$C$1:$R$1005,4,FALSE),0)</f>
        <v>-0.05</v>
      </c>
      <c r="P21" s="250">
        <f>-IFERROR(VLOOKUP($A21,'PP DS Query'!$C$1:$R$1005,15,FALSE),0)</f>
        <v>2155311.94</v>
      </c>
      <c r="Q21" s="250">
        <f>IFERROR(VLOOKUP($A21,'PP DS Query'!$C$1:$R$1005,16,FALSE),0)</f>
        <v>2015285.47</v>
      </c>
      <c r="R21" s="48"/>
      <c r="S21" s="472">
        <f t="shared" si="2"/>
        <v>31240</v>
      </c>
      <c r="T21" s="472" t="s">
        <v>964</v>
      </c>
      <c r="U21" s="475">
        <f>IFERROR(VLOOKUP($S21,#REF!,8,FALSE),0)</f>
        <v>0</v>
      </c>
      <c r="V21" s="476">
        <f t="shared" si="3"/>
        <v>-43106238.859999999</v>
      </c>
    </row>
    <row r="22" spans="1:22" ht="15.95" customHeight="1" x14ac:dyDescent="0.2">
      <c r="A22" s="49" t="s">
        <v>452</v>
      </c>
      <c r="B22" s="499">
        <f>IFERROR(VLOOKUP($A22,'PP DS Query'!$C$1:$R$1005,5,FALSE),0)</f>
        <v>2045</v>
      </c>
      <c r="C22" s="33"/>
      <c r="D22" s="34"/>
      <c r="E22" s="15"/>
      <c r="F22" s="443">
        <f>IFERROR(VLOOKUP($A22,'PP DS Query'!$C$1:$R$1005,6,FALSE),0)</f>
        <v>182427705.75999999</v>
      </c>
      <c r="G22" s="525">
        <f>IFERROR(VLOOKUP($A22,'PP DS Query'!$C$1:$R$1005,7,FALSE),0)</f>
        <v>11.65533239</v>
      </c>
      <c r="H22" s="443">
        <f>IFERROR(VLOOKUP($A22,'PP DS Query'!$C$1:$R$1005,8,FALSE),0)</f>
        <v>2126255547.78</v>
      </c>
      <c r="I22" s="525">
        <f>IFERROR(VLOOKUP($A22,'PP DS Query'!$C$1:$R$1005,9,FALSE),0)</f>
        <v>31.60496375</v>
      </c>
      <c r="J22" s="443">
        <f>IFERROR(VLOOKUP($A22,'PP DS Query'!$C$1:$R$1005,10,FALSE),0)</f>
        <v>5765621027.4200001</v>
      </c>
      <c r="K22" s="525">
        <f>IFERROR(VLOOKUP($A22,'PP DS Query'!$C$1:$R$1005,11,FALSE),0)</f>
        <v>21.530482060000001</v>
      </c>
      <c r="L22" s="443">
        <f>IFERROR(VLOOKUP($A22,'PP DS Query'!$C$1:$R$1005,12,FALSE),0)</f>
        <v>3927756445.6500001</v>
      </c>
      <c r="M22" s="445">
        <f>IFERROR(VLOOKUP($A22,'PP DS Query'!$C$1:$R$1005,13,FALSE),0)</f>
        <v>0.33727727000000002</v>
      </c>
      <c r="N22" s="443">
        <f>IFERROR(VLOOKUP($A22,'PP DS Query'!$C$1:$R$1005,14,FALSE),0)</f>
        <v>61528718.390000001</v>
      </c>
      <c r="O22" s="446">
        <f>IFERROR(VLOOKUP($A22,'PP DS Query'!$C$1:$R$1005,4,FALSE),0)</f>
        <v>-0.05</v>
      </c>
      <c r="P22" s="443">
        <f>-IFERROR(VLOOKUP($A22,'PP DS Query'!$C$1:$R$1005,15,FALSE),0)</f>
        <v>9121385.2899999991</v>
      </c>
      <c r="Q22" s="443">
        <f>IFERROR(VLOOKUP($A22,'PP DS Query'!$C$1:$R$1005,16,FALSE),0)</f>
        <v>7802042.54</v>
      </c>
      <c r="R22" s="48"/>
      <c r="U22" s="473">
        <f>SUM(U19:U21)</f>
        <v>0</v>
      </c>
      <c r="V22" s="473">
        <f>SUM(V19:V21)</f>
        <v>-182427705.75999999</v>
      </c>
    </row>
    <row r="23" spans="1:22" ht="15.95" customHeight="1" x14ac:dyDescent="0.2">
      <c r="A23" s="49"/>
      <c r="B23" s="49"/>
      <c r="C23" s="15"/>
      <c r="E23" s="360"/>
      <c r="G23" s="35"/>
      <c r="H23" s="451"/>
      <c r="I23" s="35"/>
      <c r="K23" s="35"/>
      <c r="M23" s="451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1169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49" t="s">
        <v>493</v>
      </c>
      <c r="B25" s="499">
        <f>IFERROR(VLOOKUP($A25,'PP DS Query'!$C$1:$R$1005,5,FALSE),0)</f>
        <v>2045</v>
      </c>
      <c r="C25" s="33">
        <f>IFERROR(VLOOKUP($A25,'PP DS Query'!$C$1:$R$1005,3,FALSE),0)</f>
        <v>75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4444877.3099999996</v>
      </c>
      <c r="G25" s="523">
        <f>IFERROR(VLOOKUP($A25,'PP DS Query'!$C$1:$R$1005,7,FALSE),0)</f>
        <v>35.739673959999998</v>
      </c>
      <c r="H25" s="358">
        <f>IFERROR(VLOOKUP($A25,'PP DS Query'!$C$1:$R$1005,8,FALSE),0)</f>
        <v>158858465.87</v>
      </c>
      <c r="I25" s="523">
        <f>IFERROR(VLOOKUP($A25,'PP DS Query'!$C$1:$R$1005,9,FALSE),0)</f>
        <v>56.27</v>
      </c>
      <c r="J25" s="358">
        <f>IFERROR(VLOOKUP($A25,'PP DS Query'!$C$1:$R$1005,10,FALSE),0)</f>
        <v>250113246.22999999</v>
      </c>
      <c r="K25" s="523">
        <f>IFERROR(VLOOKUP($A25,'PP DS Query'!$C$1:$R$1005,11,FALSE),0)</f>
        <v>25.5</v>
      </c>
      <c r="L25" s="358">
        <f>IFERROR(VLOOKUP($A25,'PP DS Query'!$C$1:$R$1005,12,FALSE),0)</f>
        <v>113344371.41</v>
      </c>
      <c r="M25" s="19">
        <f>IFERROR(VLOOKUP($A25,'PP DS Query'!$C$1:$R$1005,13,FALSE),0)</f>
        <v>0.57960582999999999</v>
      </c>
      <c r="N25" s="358">
        <f>IFERROR(VLOOKUP($A25,'PP DS Query'!$C$1:$R$1005,14,FALSE),0)</f>
        <v>2576276.79</v>
      </c>
      <c r="O25" s="56">
        <f>IFERROR(VLOOKUP($A25,'PP DS Query'!$C$1:$R$1005,4,FALSE),0)</f>
        <v>-0.06</v>
      </c>
      <c r="P25" s="358">
        <f>-IFERROR(VLOOKUP($A25,'PP DS Query'!$C$1:$R$1005,15,FALSE),0)</f>
        <v>266692.64</v>
      </c>
      <c r="Q25" s="358">
        <f>IFERROR(VLOOKUP($A25,'PP DS Query'!$C$1:$R$1005,16,FALSE),0)</f>
        <v>1897592.14</v>
      </c>
      <c r="R25" s="48"/>
      <c r="S25" s="472">
        <f>IFERROR(ROUND(LEFT(A25,7)*100,0),0)</f>
        <v>31440</v>
      </c>
      <c r="T25" s="472" t="s">
        <v>962</v>
      </c>
      <c r="U25" s="474">
        <f>IFERROR(VLOOKUP($S25,#REF!,6,FALSE),0)</f>
        <v>0</v>
      </c>
      <c r="V25" s="473">
        <f>U25-F25</f>
        <v>-4444877.3099999996</v>
      </c>
    </row>
    <row r="26" spans="1:22" ht="15.95" customHeight="1" x14ac:dyDescent="0.2">
      <c r="A26" s="49" t="s">
        <v>494</v>
      </c>
      <c r="B26" s="499">
        <f>IFERROR(VLOOKUP($A26,'PP DS Query'!$C$1:$R$1005,5,FALSE),0)</f>
        <v>2045</v>
      </c>
      <c r="C26" s="33">
        <f>IFERROR(VLOOKUP($A26,'PP DS Query'!$C$1:$R$1005,3,FALSE),0)</f>
        <v>35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4205160.8099999996</v>
      </c>
      <c r="G26" s="523">
        <f>IFERROR(VLOOKUP($A26,'PP DS Query'!$C$1:$R$1005,7,FALSE),0)</f>
        <v>8.0407729700000008</v>
      </c>
      <c r="H26" s="358">
        <f>IFERROR(VLOOKUP($A26,'PP DS Query'!$C$1:$R$1005,8,FALSE),0)</f>
        <v>33812743.380000003</v>
      </c>
      <c r="I26" s="523">
        <f>IFERROR(VLOOKUP($A26,'PP DS Query'!$C$1:$R$1005,9,FALSE),0)</f>
        <v>30.1</v>
      </c>
      <c r="J26" s="358">
        <f>IFERROR(VLOOKUP($A26,'PP DS Query'!$C$1:$R$1005,10,FALSE),0)</f>
        <v>126575340.38</v>
      </c>
      <c r="K26" s="523">
        <f>IFERROR(VLOOKUP($A26,'PP DS Query'!$C$1:$R$1005,11,FALSE),0)</f>
        <v>22.982119000000001</v>
      </c>
      <c r="L26" s="358">
        <f>IFERROR(VLOOKUP($A26,'PP DS Query'!$C$1:$R$1005,12,FALSE),0)</f>
        <v>96643506.150000006</v>
      </c>
      <c r="M26" s="19">
        <f>IFERROR(VLOOKUP($A26,'PP DS Query'!$C$1:$R$1005,13,FALSE),0)</f>
        <v>0.25077588000000001</v>
      </c>
      <c r="N26" s="358">
        <f>IFERROR(VLOOKUP($A26,'PP DS Query'!$C$1:$R$1005,14,FALSE),0)</f>
        <v>1054552.8899999999</v>
      </c>
      <c r="O26" s="56">
        <f>IFERROR(VLOOKUP($A26,'PP DS Query'!$C$1:$R$1005,4,FALSE),0)</f>
        <v>-0.06</v>
      </c>
      <c r="P26" s="358">
        <f>-IFERROR(VLOOKUP($A26,'PP DS Query'!$C$1:$R$1005,15,FALSE),0)</f>
        <v>252309.65</v>
      </c>
      <c r="Q26" s="358">
        <f>IFERROR(VLOOKUP($A26,'PP DS Query'!$C$1:$R$1005,16,FALSE),0)</f>
        <v>776745.45</v>
      </c>
      <c r="R26" s="48"/>
      <c r="S26" s="472">
        <f t="shared" ref="S26:S27" si="4">IFERROR(ROUND(LEFT(A26,7)*100,0),0)</f>
        <v>31440</v>
      </c>
      <c r="T26" s="472" t="s">
        <v>963</v>
      </c>
      <c r="U26" s="474">
        <f>IFERROR(VLOOKUP($S26,#REF!,7,FALSE),0)</f>
        <v>0</v>
      </c>
      <c r="V26" s="473">
        <f t="shared" ref="V26:V27" si="5">U26-F26</f>
        <v>-4205160.8099999996</v>
      </c>
    </row>
    <row r="27" spans="1:22" ht="15.95" customHeight="1" thickBot="1" x14ac:dyDescent="0.25">
      <c r="A27" s="49" t="s">
        <v>495</v>
      </c>
      <c r="B27" s="499">
        <f>IFERROR(VLOOKUP($A27,'PP DS Query'!$C$1:$R$1005,5,FALSE),0)</f>
        <v>2045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160831.07</v>
      </c>
      <c r="G27" s="524">
        <f>IFERROR(VLOOKUP($A27,'PP DS Query'!$C$1:$R$1005,7,FALSE),0)</f>
        <v>3.6045489499999999</v>
      </c>
      <c r="H27" s="250">
        <f>IFERROR(VLOOKUP($A27,'PP DS Query'!$C$1:$R$1005,8,FALSE),0)</f>
        <v>579723.47</v>
      </c>
      <c r="I27" s="524">
        <f>IFERROR(VLOOKUP($A27,'PP DS Query'!$C$1:$R$1005,9,FALSE),0)</f>
        <v>20</v>
      </c>
      <c r="J27" s="250">
        <f>IFERROR(VLOOKUP($A27,'PP DS Query'!$C$1:$R$1005,10,FALSE),0)</f>
        <v>3216621.4</v>
      </c>
      <c r="K27" s="524">
        <f>IFERROR(VLOOKUP($A27,'PP DS Query'!$C$1:$R$1005,11,FALSE),0)</f>
        <v>16.346035000000001</v>
      </c>
      <c r="L27" s="250">
        <f>IFERROR(VLOOKUP($A27,'PP DS Query'!$C$1:$R$1005,12,FALSE),0)</f>
        <v>2628950.2999999998</v>
      </c>
      <c r="M27" s="21">
        <f>IFERROR(VLOOKUP($A27,'PP DS Query'!$C$1:$R$1005,13,FALSE),0)</f>
        <v>0.19366016</v>
      </c>
      <c r="N27" s="250">
        <f>IFERROR(VLOOKUP($A27,'PP DS Query'!$C$1:$R$1005,14,FALSE),0)</f>
        <v>31146.57</v>
      </c>
      <c r="O27" s="57">
        <f>IFERROR(VLOOKUP($A27,'PP DS Query'!$C$1:$R$1005,4,FALSE),0)</f>
        <v>-0.06</v>
      </c>
      <c r="P27" s="250">
        <f>-IFERROR(VLOOKUP($A27,'PP DS Query'!$C$1:$R$1005,15,FALSE),0)</f>
        <v>9649.86</v>
      </c>
      <c r="Q27" s="250">
        <f>IFERROR(VLOOKUP($A27,'PP DS Query'!$C$1:$R$1005,16,FALSE),0)</f>
        <v>22941.439999999999</v>
      </c>
      <c r="R27" s="48"/>
      <c r="S27" s="472">
        <f t="shared" si="4"/>
        <v>31440</v>
      </c>
      <c r="T27" s="472" t="s">
        <v>964</v>
      </c>
      <c r="U27" s="475">
        <f>IFERROR(VLOOKUP($S27,#REF!,8,FALSE),0)</f>
        <v>0</v>
      </c>
      <c r="V27" s="476">
        <f t="shared" si="5"/>
        <v>-160831.07</v>
      </c>
    </row>
    <row r="28" spans="1:22" ht="15.95" customHeight="1" x14ac:dyDescent="0.2">
      <c r="A28" s="49" t="s">
        <v>496</v>
      </c>
      <c r="B28" s="499">
        <f>IFERROR(VLOOKUP($A28,'PP DS Query'!$C$1:$R$1005,5,FALSE),0)</f>
        <v>2045</v>
      </c>
      <c r="C28" s="33"/>
      <c r="D28" s="34"/>
      <c r="E28" s="15"/>
      <c r="F28" s="443">
        <f>IFERROR(VLOOKUP($A28,'PP DS Query'!$C$1:$R$1005,6,FALSE),0)</f>
        <v>8810869.1899999995</v>
      </c>
      <c r="G28" s="525">
        <f>IFERROR(VLOOKUP($A28,'PP DS Query'!$C$1:$R$1005,7,FALSE),0)</f>
        <v>21.933242740000001</v>
      </c>
      <c r="H28" s="443">
        <f>IFERROR(VLOOKUP($A28,'PP DS Query'!$C$1:$R$1005,8,FALSE),0)</f>
        <v>193250932.71000001</v>
      </c>
      <c r="I28" s="525">
        <f>IFERROR(VLOOKUP($A28,'PP DS Query'!$C$1:$R$1005,9,FALSE),0)</f>
        <v>43.117790059999997</v>
      </c>
      <c r="J28" s="443">
        <f>IFERROR(VLOOKUP($A28,'PP DS Query'!$C$1:$R$1005,10,FALSE),0)</f>
        <v>379905208.00999999</v>
      </c>
      <c r="K28" s="525">
        <f>IFERROR(VLOOKUP($A28,'PP DS Query'!$C$1:$R$1005,11,FALSE),0)</f>
        <v>24.131197870000001</v>
      </c>
      <c r="L28" s="443">
        <f>IFERROR(VLOOKUP($A28,'PP DS Query'!$C$1:$R$1005,12,FALSE),0)</f>
        <v>212616827.84999999</v>
      </c>
      <c r="M28" s="445">
        <f>IFERROR(VLOOKUP($A28,'PP DS Query'!$C$1:$R$1005,13,FALSE),0)</f>
        <v>0.41562031999999999</v>
      </c>
      <c r="N28" s="443">
        <f>IFERROR(VLOOKUP($A28,'PP DS Query'!$C$1:$R$1005,14,FALSE),0)</f>
        <v>3661976.25</v>
      </c>
      <c r="O28" s="446">
        <f>IFERROR(VLOOKUP($A28,'PP DS Query'!$C$1:$R$1005,4,FALSE),0)</f>
        <v>-0.06</v>
      </c>
      <c r="P28" s="443">
        <f>-IFERROR(VLOOKUP($A28,'PP DS Query'!$C$1:$R$1005,15,FALSE),0)</f>
        <v>528652.15</v>
      </c>
      <c r="Q28" s="443">
        <f>IFERROR(VLOOKUP($A28,'PP DS Query'!$C$1:$R$1005,16,FALSE),0)</f>
        <v>2697279.03</v>
      </c>
      <c r="R28" s="48"/>
      <c r="U28" s="473">
        <f>SUM(U25:U27)</f>
        <v>0</v>
      </c>
      <c r="V28" s="473">
        <f>SUM(V25:V27)</f>
        <v>-8810869.1899999995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1170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513</v>
      </c>
      <c r="B31" s="499">
        <f>IFERROR(VLOOKUP($A31,'PP DS Query'!$C$1:$R$1005,5,FALSE),0)</f>
        <v>2045</v>
      </c>
      <c r="C31" s="33">
        <f>IFERROR(VLOOKUP($A31,'PP DS Query'!$C$1:$R$1005,3,FALSE),0)</f>
        <v>75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16365330.199999999</v>
      </c>
      <c r="G31" s="523">
        <f>IFERROR(VLOOKUP($A31,'PP DS Query'!$C$1:$R$1005,7,FALSE),0)</f>
        <v>14.92812234</v>
      </c>
      <c r="H31" s="358">
        <f>IFERROR(VLOOKUP($A31,'PP DS Query'!$C$1:$R$1005,8,FALSE),0)</f>
        <v>244303651.34</v>
      </c>
      <c r="I31" s="523">
        <f>IFERROR(VLOOKUP($A31,'PP DS Query'!$C$1:$R$1005,9,FALSE),0)</f>
        <v>38.6</v>
      </c>
      <c r="J31" s="358">
        <f>IFERROR(VLOOKUP($A31,'PP DS Query'!$C$1:$R$1005,10,FALSE),0)</f>
        <v>631701745.72000003</v>
      </c>
      <c r="K31" s="523">
        <f>IFERROR(VLOOKUP($A31,'PP DS Query'!$C$1:$R$1005,11,FALSE),0)</f>
        <v>25.5</v>
      </c>
      <c r="L31" s="358">
        <f>IFERROR(VLOOKUP($A31,'PP DS Query'!$C$1:$R$1005,12,FALSE),0)</f>
        <v>417315920.10000002</v>
      </c>
      <c r="M31" s="19">
        <f>IFERROR(VLOOKUP($A31,'PP DS Query'!$C$1:$R$1005,13,FALSE),0)</f>
        <v>0.35628330000000002</v>
      </c>
      <c r="N31" s="358">
        <f>IFERROR(VLOOKUP($A31,'PP DS Query'!$C$1:$R$1005,14,FALSE),0)</f>
        <v>5830693.8300000001</v>
      </c>
      <c r="O31" s="56">
        <f>IFERROR(VLOOKUP($A31,'PP DS Query'!$C$1:$R$1005,4,FALSE),0)</f>
        <v>-0.05</v>
      </c>
      <c r="P31" s="358">
        <f>-IFERROR(VLOOKUP($A31,'PP DS Query'!$C$1:$R$1005,15,FALSE),0)</f>
        <v>818266.51</v>
      </c>
      <c r="Q31" s="358">
        <f>IFERROR(VLOOKUP($A31,'PP DS Query'!$C$1:$R$1005,16,FALSE),0)</f>
        <v>5054142.6900000004</v>
      </c>
      <c r="R31" s="48"/>
      <c r="S31" s="472">
        <f>IFERROR(ROUND(LEFT(A31,7)*100,0),0)</f>
        <v>31540</v>
      </c>
      <c r="T31" s="472" t="s">
        <v>962</v>
      </c>
      <c r="U31" s="474">
        <f>IFERROR(VLOOKUP($S31,#REF!,6,FALSE),0)</f>
        <v>0</v>
      </c>
      <c r="V31" s="473">
        <f>U31-F31</f>
        <v>-16365330.199999999</v>
      </c>
    </row>
    <row r="32" spans="1:22" ht="15.95" customHeight="1" x14ac:dyDescent="0.2">
      <c r="A32" s="49" t="s">
        <v>514</v>
      </c>
      <c r="B32" s="499">
        <f>IFERROR(VLOOKUP($A32,'PP DS Query'!$C$1:$R$1005,5,FALSE),0)</f>
        <v>2045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19358451.18</v>
      </c>
      <c r="G32" s="523">
        <f>IFERROR(VLOOKUP($A32,'PP DS Query'!$C$1:$R$1005,7,FALSE),0)</f>
        <v>9.3657510300000002</v>
      </c>
      <c r="H32" s="358">
        <f>IFERROR(VLOOKUP($A32,'PP DS Query'!$C$1:$R$1005,8,FALSE),0)</f>
        <v>181306434.13</v>
      </c>
      <c r="I32" s="523">
        <f>IFERROR(VLOOKUP($A32,'PP DS Query'!$C$1:$R$1005,9,FALSE),0)</f>
        <v>31.05</v>
      </c>
      <c r="J32" s="358">
        <f>IFERROR(VLOOKUP($A32,'PP DS Query'!$C$1:$R$1005,10,FALSE),0)</f>
        <v>601079909.13999999</v>
      </c>
      <c r="K32" s="523">
        <f>IFERROR(VLOOKUP($A32,'PP DS Query'!$C$1:$R$1005,11,FALSE),0)</f>
        <v>22.479852999999999</v>
      </c>
      <c r="L32" s="358">
        <f>IFERROR(VLOOKUP($A32,'PP DS Query'!$C$1:$R$1005,12,FALSE),0)</f>
        <v>435175136.82999998</v>
      </c>
      <c r="M32" s="19">
        <f>IFERROR(VLOOKUP($A32,'PP DS Query'!$C$1:$R$1005,13,FALSE),0)</f>
        <v>0.28986283000000002</v>
      </c>
      <c r="N32" s="358">
        <f>IFERROR(VLOOKUP($A32,'PP DS Query'!$C$1:$R$1005,14,FALSE),0)</f>
        <v>5611295.4199999999</v>
      </c>
      <c r="O32" s="56">
        <f>IFERROR(VLOOKUP($A32,'PP DS Query'!$C$1:$R$1005,4,FALSE),0)</f>
        <v>-0.05</v>
      </c>
      <c r="P32" s="358">
        <f>-IFERROR(VLOOKUP($A32,'PP DS Query'!$C$1:$R$1005,15,FALSE),0)</f>
        <v>967922.56</v>
      </c>
      <c r="Q32" s="358">
        <f>IFERROR(VLOOKUP($A32,'PP DS Query'!$C$1:$R$1005,16,FALSE),0)</f>
        <v>4863964.4800000004</v>
      </c>
      <c r="R32" s="48"/>
      <c r="S32" s="472">
        <f t="shared" ref="S32:S33" si="6">IFERROR(ROUND(LEFT(A32,7)*100,0),0)</f>
        <v>31540</v>
      </c>
      <c r="T32" s="472" t="s">
        <v>963</v>
      </c>
      <c r="U32" s="474">
        <f>IFERROR(VLOOKUP($S32,#REF!,7,FALSE),0)</f>
        <v>0</v>
      </c>
      <c r="V32" s="473">
        <f t="shared" ref="V32:V33" si="7">U32-F32</f>
        <v>-19358451.18</v>
      </c>
    </row>
    <row r="33" spans="1:22" ht="15.95" customHeight="1" thickBot="1" x14ac:dyDescent="0.25">
      <c r="A33" s="49" t="s">
        <v>515</v>
      </c>
      <c r="B33" s="499">
        <f>IFERROR(VLOOKUP($A33,'PP DS Query'!$C$1:$R$1005,5,FALSE),0)</f>
        <v>2045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7593510.6100000003</v>
      </c>
      <c r="G33" s="524">
        <f>IFERROR(VLOOKUP($A33,'PP DS Query'!$C$1:$R$1005,7,FALSE),0)</f>
        <v>7.1024682500000003</v>
      </c>
      <c r="H33" s="250">
        <f>IFERROR(VLOOKUP($A33,'PP DS Query'!$C$1:$R$1005,8,FALSE),0)</f>
        <v>53932668.039999999</v>
      </c>
      <c r="I33" s="524">
        <f>IFERROR(VLOOKUP($A33,'PP DS Query'!$C$1:$R$1005,9,FALSE),0)</f>
        <v>20</v>
      </c>
      <c r="J33" s="250">
        <f>IFERROR(VLOOKUP($A33,'PP DS Query'!$C$1:$R$1005,10,FALSE),0)</f>
        <v>151870212.19999999</v>
      </c>
      <c r="K33" s="524">
        <f>IFERROR(VLOOKUP($A33,'PP DS Query'!$C$1:$R$1005,11,FALSE),0)</f>
        <v>13.260335</v>
      </c>
      <c r="L33" s="250">
        <f>IFERROR(VLOOKUP($A33,'PP DS Query'!$C$1:$R$1005,12,FALSE),0)</f>
        <v>100692494.51000001</v>
      </c>
      <c r="M33" s="21">
        <f>IFERROR(VLOOKUP($A33,'PP DS Query'!$C$1:$R$1005,13,FALSE),0)</f>
        <v>0.35413697</v>
      </c>
      <c r="N33" s="250">
        <f>IFERROR(VLOOKUP($A33,'PP DS Query'!$C$1:$R$1005,14,FALSE),0)</f>
        <v>2689142.83</v>
      </c>
      <c r="O33" s="57">
        <f>IFERROR(VLOOKUP($A33,'PP DS Query'!$C$1:$R$1005,4,FALSE),0)</f>
        <v>-0.05</v>
      </c>
      <c r="P33" s="250">
        <f>-IFERROR(VLOOKUP($A33,'PP DS Query'!$C$1:$R$1005,15,FALSE),0)</f>
        <v>379675.53</v>
      </c>
      <c r="Q33" s="250">
        <f>IFERROR(VLOOKUP($A33,'PP DS Query'!$C$1:$R$1005,16,FALSE),0)</f>
        <v>2330993.87</v>
      </c>
      <c r="R33" s="48"/>
      <c r="S33" s="472">
        <f t="shared" si="6"/>
        <v>31540</v>
      </c>
      <c r="T33" s="472" t="s">
        <v>964</v>
      </c>
      <c r="U33" s="475">
        <f>IFERROR(VLOOKUP($S33,#REF!,8,FALSE),0)</f>
        <v>0</v>
      </c>
      <c r="V33" s="476">
        <f t="shared" si="7"/>
        <v>-7593510.6100000003</v>
      </c>
    </row>
    <row r="34" spans="1:22" ht="15.95" customHeight="1" x14ac:dyDescent="0.2">
      <c r="A34" s="49" t="s">
        <v>516</v>
      </c>
      <c r="B34" s="499">
        <f>IFERROR(VLOOKUP($A34,'PP DS Query'!$C$1:$R$1005,5,FALSE),0)</f>
        <v>2045</v>
      </c>
      <c r="C34" s="33"/>
      <c r="D34" s="34"/>
      <c r="E34" s="15"/>
      <c r="F34" s="443">
        <f>IFERROR(VLOOKUP($A34,'PP DS Query'!$C$1:$R$1005,6,FALSE),0)</f>
        <v>43317291.990000002</v>
      </c>
      <c r="G34" s="525">
        <f>IFERROR(VLOOKUP($A34,'PP DS Query'!$C$1:$R$1005,7,FALSE),0)</f>
        <v>11.07046935</v>
      </c>
      <c r="H34" s="443">
        <f>IFERROR(VLOOKUP($A34,'PP DS Query'!$C$1:$R$1005,8,FALSE),0)</f>
        <v>479542753.51999998</v>
      </c>
      <c r="I34" s="525">
        <f>IFERROR(VLOOKUP($A34,'PP DS Query'!$C$1:$R$1005,9,FALSE),0)</f>
        <v>31.96533771</v>
      </c>
      <c r="J34" s="443">
        <f>IFERROR(VLOOKUP($A34,'PP DS Query'!$C$1:$R$1005,10,FALSE),0)</f>
        <v>1384651867.0599999</v>
      </c>
      <c r="K34" s="525">
        <f>IFERROR(VLOOKUP($A34,'PP DS Query'!$C$1:$R$1005,11,FALSE),0)</f>
        <v>22.004689299999999</v>
      </c>
      <c r="L34" s="443">
        <f>IFERROR(VLOOKUP($A34,'PP DS Query'!$C$1:$R$1005,12,FALSE),0)</f>
        <v>953183551.45000005</v>
      </c>
      <c r="M34" s="445">
        <f>IFERROR(VLOOKUP($A34,'PP DS Query'!$C$1:$R$1005,13,FALSE),0)</f>
        <v>0.32622381</v>
      </c>
      <c r="N34" s="443">
        <f>IFERROR(VLOOKUP($A34,'PP DS Query'!$C$1:$R$1005,14,FALSE),0)</f>
        <v>14131132.08</v>
      </c>
      <c r="O34" s="446">
        <f>IFERROR(VLOOKUP($A34,'PP DS Query'!$C$1:$R$1005,4,FALSE),0)</f>
        <v>-0.05</v>
      </c>
      <c r="P34" s="443">
        <f>-IFERROR(VLOOKUP($A34,'PP DS Query'!$C$1:$R$1005,15,FALSE),0)</f>
        <v>2165864.6</v>
      </c>
      <c r="Q34" s="443">
        <f>IFERROR(VLOOKUP($A34,'PP DS Query'!$C$1:$R$1005,16,FALSE),0)</f>
        <v>12249101.039999999</v>
      </c>
      <c r="R34" s="48"/>
      <c r="U34" s="473">
        <f>SUM(U31:U33)</f>
        <v>0</v>
      </c>
      <c r="V34" s="473">
        <f>SUM(V31:V33)</f>
        <v>-43317291.989999995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1171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557</v>
      </c>
      <c r="B37" s="499">
        <f>IFERROR(VLOOKUP($A37,'PP DS Query'!$C$1:$R$1005,5,FALSE),0)</f>
        <v>2045</v>
      </c>
      <c r="C37" s="33">
        <f>IFERROR(VLOOKUP($A37,'PP DS Query'!$C$1:$R$1005,3,FALSE),0)</f>
        <v>75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10520058.99</v>
      </c>
      <c r="G37" s="523">
        <f>IFERROR(VLOOKUP($A37,'PP DS Query'!$C$1:$R$1005,7,FALSE),0)</f>
        <v>11.37287832</v>
      </c>
      <c r="H37" s="358">
        <f>IFERROR(VLOOKUP($A37,'PP DS Query'!$C$1:$R$1005,8,FALSE),0)</f>
        <v>119643350.8</v>
      </c>
      <c r="I37" s="523">
        <f>IFERROR(VLOOKUP($A37,'PP DS Query'!$C$1:$R$1005,9,FALSE),0)</f>
        <v>35.49</v>
      </c>
      <c r="J37" s="358">
        <f>IFERROR(VLOOKUP($A37,'PP DS Query'!$C$1:$R$1005,10,FALSE),0)</f>
        <v>373356893.56</v>
      </c>
      <c r="K37" s="523">
        <f>IFERROR(VLOOKUP($A37,'PP DS Query'!$C$1:$R$1005,11,FALSE),0)</f>
        <v>25.5</v>
      </c>
      <c r="L37" s="358">
        <f>IFERROR(VLOOKUP($A37,'PP DS Query'!$C$1:$R$1005,12,FALSE),0)</f>
        <v>268261504.25</v>
      </c>
      <c r="M37" s="19">
        <f>IFERROR(VLOOKUP($A37,'PP DS Query'!$C$1:$R$1005,13,FALSE),0)</f>
        <v>0.28713906</v>
      </c>
      <c r="N37" s="358">
        <f>IFERROR(VLOOKUP($A37,'PP DS Query'!$C$1:$R$1005,14,FALSE),0)</f>
        <v>3020719.86</v>
      </c>
      <c r="O37" s="56">
        <f>IFERROR(VLOOKUP($A37,'PP DS Query'!$C$1:$R$1005,4,FALSE),0)</f>
        <v>-0.02</v>
      </c>
      <c r="P37" s="358">
        <f>-IFERROR(VLOOKUP($A37,'PP DS Query'!$C$1:$R$1005,15,FALSE),0)</f>
        <v>210401.18</v>
      </c>
      <c r="Q37" s="358">
        <f>IFERROR(VLOOKUP($A37,'PP DS Query'!$C$1:$R$1005,16,FALSE),0)</f>
        <v>3065008.49</v>
      </c>
      <c r="R37" s="48"/>
      <c r="S37" s="472">
        <f>IFERROR(ROUND(LEFT(A37,7)*100,0),0)</f>
        <v>31640</v>
      </c>
      <c r="T37" s="472" t="s">
        <v>962</v>
      </c>
      <c r="U37" s="474">
        <f>IFERROR(VLOOKUP($S37,#REF!,6,FALSE),0)</f>
        <v>0</v>
      </c>
      <c r="V37" s="473">
        <f>U37-F37</f>
        <v>-10520058.99</v>
      </c>
    </row>
    <row r="38" spans="1:22" ht="15.95" customHeight="1" x14ac:dyDescent="0.2">
      <c r="A38" s="49" t="s">
        <v>558</v>
      </c>
      <c r="B38" s="499">
        <f>IFERROR(VLOOKUP($A38,'PP DS Query'!$C$1:$R$1005,5,FALSE),0)</f>
        <v>2045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7547653.2800000003</v>
      </c>
      <c r="G38" s="523">
        <f>IFERROR(VLOOKUP($A38,'PP DS Query'!$C$1:$R$1005,7,FALSE),0)</f>
        <v>7.8023280599999998</v>
      </c>
      <c r="H38" s="358">
        <f>IFERROR(VLOOKUP($A38,'PP DS Query'!$C$1:$R$1005,8,FALSE),0)</f>
        <v>58889266.939999998</v>
      </c>
      <c r="I38" s="523">
        <f>IFERROR(VLOOKUP($A38,'PP DS Query'!$C$1:$R$1005,9,FALSE),0)</f>
        <v>31.12</v>
      </c>
      <c r="J38" s="358">
        <f>IFERROR(VLOOKUP($A38,'PP DS Query'!$C$1:$R$1005,10,FALSE),0)</f>
        <v>234882970.06999999</v>
      </c>
      <c r="K38" s="523">
        <f>IFERROR(VLOOKUP($A38,'PP DS Query'!$C$1:$R$1005,11,FALSE),0)</f>
        <v>23.445056999999998</v>
      </c>
      <c r="L38" s="358">
        <f>IFERROR(VLOOKUP($A38,'PP DS Query'!$C$1:$R$1005,12,FALSE),0)</f>
        <v>176955161.37</v>
      </c>
      <c r="M38" s="19">
        <f>IFERROR(VLOOKUP($A38,'PP DS Query'!$C$1:$R$1005,13,FALSE),0)</f>
        <v>0.25149421999999999</v>
      </c>
      <c r="N38" s="358">
        <f>IFERROR(VLOOKUP($A38,'PP DS Query'!$C$1:$R$1005,14,FALSE),0)</f>
        <v>1898191.2</v>
      </c>
      <c r="O38" s="56">
        <f>IFERROR(VLOOKUP($A38,'PP DS Query'!$C$1:$R$1005,4,FALSE),0)</f>
        <v>-0.02</v>
      </c>
      <c r="P38" s="358">
        <f>-IFERROR(VLOOKUP($A38,'PP DS Query'!$C$1:$R$1005,15,FALSE),0)</f>
        <v>150953.07</v>
      </c>
      <c r="Q38" s="358">
        <f>IFERROR(VLOOKUP($A38,'PP DS Query'!$C$1:$R$1005,16,FALSE),0)</f>
        <v>1926021.75</v>
      </c>
      <c r="R38" s="48"/>
      <c r="S38" s="472">
        <f t="shared" ref="S38:S39" si="8">IFERROR(ROUND(LEFT(A38,7)*100,0),0)</f>
        <v>31640</v>
      </c>
      <c r="T38" s="472" t="s">
        <v>963</v>
      </c>
      <c r="U38" s="474">
        <f>IFERROR(VLOOKUP($S38,#REF!,7,FALSE),0)</f>
        <v>0</v>
      </c>
      <c r="V38" s="473">
        <f t="shared" ref="V38:V39" si="9">U38-F38</f>
        <v>-7547653.2800000003</v>
      </c>
    </row>
    <row r="39" spans="1:22" ht="15.95" customHeight="1" thickBot="1" x14ac:dyDescent="0.25">
      <c r="A39" s="49" t="s">
        <v>559</v>
      </c>
      <c r="B39" s="499">
        <f>IFERROR(VLOOKUP($A39,'PP DS Query'!$C$1:$R$1005,5,FALSE),0)</f>
        <v>2045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6797805.2599999998</v>
      </c>
      <c r="G39" s="524">
        <f>IFERROR(VLOOKUP($A39,'PP DS Query'!$C$1:$R$1005,7,FALSE),0)</f>
        <v>8.9812951600000002</v>
      </c>
      <c r="H39" s="250">
        <f>IFERROR(VLOOKUP($A39,'PP DS Query'!$C$1:$R$1005,8,FALSE),0)</f>
        <v>61053095.479999997</v>
      </c>
      <c r="I39" s="524">
        <f>IFERROR(VLOOKUP($A39,'PP DS Query'!$C$1:$R$1005,9,FALSE),0)</f>
        <v>20</v>
      </c>
      <c r="J39" s="250">
        <f>IFERROR(VLOOKUP($A39,'PP DS Query'!$C$1:$R$1005,10,FALSE),0)</f>
        <v>135956105.19999999</v>
      </c>
      <c r="K39" s="524">
        <f>IFERROR(VLOOKUP($A39,'PP DS Query'!$C$1:$R$1005,11,FALSE),0)</f>
        <v>13.392893000000001</v>
      </c>
      <c r="L39" s="250">
        <f>IFERROR(VLOOKUP($A39,'PP DS Query'!$C$1:$R$1005,12,FALSE),0)</f>
        <v>91042278.480000004</v>
      </c>
      <c r="M39" s="21">
        <f>IFERROR(VLOOKUP($A39,'PP DS Query'!$C$1:$R$1005,13,FALSE),0)</f>
        <v>0.37014585</v>
      </c>
      <c r="N39" s="250">
        <f>IFERROR(VLOOKUP($A39,'PP DS Query'!$C$1:$R$1005,14,FALSE),0)</f>
        <v>2516179.4</v>
      </c>
      <c r="O39" s="57">
        <f>IFERROR(VLOOKUP($A39,'PP DS Query'!$C$1:$R$1005,4,FALSE),0)</f>
        <v>-0.02</v>
      </c>
      <c r="P39" s="250">
        <f>-IFERROR(VLOOKUP($A39,'PP DS Query'!$C$1:$R$1005,15,FALSE),0)</f>
        <v>135956.10999999999</v>
      </c>
      <c r="Q39" s="250">
        <f>IFERROR(VLOOKUP($A39,'PP DS Query'!$C$1:$R$1005,16,FALSE),0)</f>
        <v>2553070.66</v>
      </c>
      <c r="R39" s="48"/>
      <c r="S39" s="472">
        <f t="shared" si="8"/>
        <v>31640</v>
      </c>
      <c r="T39" s="472" t="s">
        <v>964</v>
      </c>
      <c r="U39" s="475">
        <f>IFERROR(VLOOKUP($S39,#REF!,8,FALSE),0)</f>
        <v>0</v>
      </c>
      <c r="V39" s="476">
        <f t="shared" si="9"/>
        <v>-6797805.2599999998</v>
      </c>
    </row>
    <row r="40" spans="1:22" ht="15.95" customHeight="1" x14ac:dyDescent="0.2">
      <c r="A40" s="49" t="s">
        <v>560</v>
      </c>
      <c r="B40" s="499">
        <f>IFERROR(VLOOKUP($A40,'PP DS Query'!$C$1:$R$1005,5,FALSE),0)</f>
        <v>2045</v>
      </c>
      <c r="C40" s="33"/>
      <c r="D40" s="34"/>
      <c r="E40" s="15"/>
      <c r="F40" s="443">
        <f>IFERROR(VLOOKUP($A40,'PP DS Query'!$C$1:$R$1005,6,FALSE),0)</f>
        <v>24865517.530000001</v>
      </c>
      <c r="G40" s="525">
        <f>IFERROR(VLOOKUP($A40,'PP DS Query'!$C$1:$R$1005,7,FALSE),0)</f>
        <v>9.6352594699999994</v>
      </c>
      <c r="H40" s="443">
        <f>IFERROR(VLOOKUP($A40,'PP DS Query'!$C$1:$R$1005,8,FALSE),0)</f>
        <v>239585713.22</v>
      </c>
      <c r="I40" s="525">
        <f>IFERROR(VLOOKUP($A40,'PP DS Query'!$C$1:$R$1005,9,FALSE),0)</f>
        <v>29.928834899999998</v>
      </c>
      <c r="J40" s="443">
        <f>IFERROR(VLOOKUP($A40,'PP DS Query'!$C$1:$R$1005,10,FALSE),0)</f>
        <v>744195968.83000004</v>
      </c>
      <c r="K40" s="525">
        <f>IFERROR(VLOOKUP($A40,'PP DS Query'!$C$1:$R$1005,11,FALSE),0)</f>
        <v>21.56636971</v>
      </c>
      <c r="L40" s="443">
        <f>IFERROR(VLOOKUP($A40,'PP DS Query'!$C$1:$R$1005,12,FALSE),0)</f>
        <v>536258944.08999997</v>
      </c>
      <c r="M40" s="445">
        <f>IFERROR(VLOOKUP($A40,'PP DS Query'!$C$1:$R$1005,13,FALSE),0)</f>
        <v>0.29901209000000001</v>
      </c>
      <c r="N40" s="443">
        <f>IFERROR(VLOOKUP($A40,'PP DS Query'!$C$1:$R$1005,14,FALSE),0)</f>
        <v>7435090.46</v>
      </c>
      <c r="O40" s="446">
        <f>IFERROR(VLOOKUP($A40,'PP DS Query'!$C$1:$R$1005,4,FALSE),0)</f>
        <v>-0.02</v>
      </c>
      <c r="P40" s="443">
        <f>-IFERROR(VLOOKUP($A40,'PP DS Query'!$C$1:$R$1005,15,FALSE),0)</f>
        <v>497310.35</v>
      </c>
      <c r="Q40" s="443">
        <f>IFERROR(VLOOKUP($A40,'PP DS Query'!$C$1:$R$1005,16,FALSE),0)</f>
        <v>7544100.9000000004</v>
      </c>
      <c r="R40" s="48"/>
      <c r="U40" s="473">
        <f>SUM(U37:U39)</f>
        <v>0</v>
      </c>
      <c r="V40" s="473">
        <f>SUM(V37:V39)</f>
        <v>-24865517.530000001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G42" s="526"/>
      <c r="I42" s="526"/>
      <c r="K42" s="526"/>
      <c r="R42" s="48"/>
    </row>
    <row r="43" spans="1:22" s="41" customFormat="1" ht="15.95" customHeight="1" x14ac:dyDescent="0.25">
      <c r="A43" s="49"/>
      <c r="B43" s="49"/>
      <c r="C43" s="36" t="str">
        <f>C$6</f>
        <v>Big Bend Common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75</v>
      </c>
      <c r="D44" s="34" t="s">
        <v>22</v>
      </c>
      <c r="E44" s="360" t="s">
        <v>359</v>
      </c>
      <c r="F44" s="358">
        <f>F13+F19+F25+F31+F37</f>
        <v>277940086.82999998</v>
      </c>
      <c r="G44" s="523">
        <f>IF($F44=0,0,H44/$F44)</f>
        <v>14.737571450876706</v>
      </c>
      <c r="H44" s="358">
        <f>H13+H19+H25+H31+H37</f>
        <v>4096161888.7200003</v>
      </c>
      <c r="I44" s="523">
        <f>IF($F44=0,0,J44/$F44)</f>
        <v>37.720929902862686</v>
      </c>
      <c r="J44" s="358">
        <f>J13+J19+J25+J31+J37</f>
        <v>10484158532.509998</v>
      </c>
      <c r="K44" s="523">
        <f>IF($F44=0,0,L44/$F44)</f>
        <v>25.500000000053973</v>
      </c>
      <c r="L44" s="358">
        <f>L13+L19+L25+L31+L37</f>
        <v>7087472214.1800003</v>
      </c>
      <c r="M44" s="19">
        <f>IF($F44=0,0,N44/$F44)</f>
        <v>0.33236076775964074</v>
      </c>
      <c r="N44" s="358">
        <f>N13+N19+N25+N31+N37</f>
        <v>92376380.650000006</v>
      </c>
      <c r="O44" s="56">
        <f>-IF($F44=0,0,P44/$F44)</f>
        <v>-3.1632692103811415E-2</v>
      </c>
      <c r="P44" s="358">
        <f t="shared" ref="P44:Q46" si="10">P13+P19+P25+P31+P37</f>
        <v>8791993.1899999995</v>
      </c>
      <c r="Q44" s="358">
        <f t="shared" si="10"/>
        <v>57158248.960000001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137293456.98000002</v>
      </c>
      <c r="G45" s="523">
        <f>IF($F45=0,0,H45/$F45)</f>
        <v>8.9598490861745645</v>
      </c>
      <c r="H45" s="358">
        <f>H14+H20+H26+H32+H38</f>
        <v>1230128655.0599999</v>
      </c>
      <c r="I45" s="523">
        <f>IF($F45=0,0,J45/$F45)</f>
        <v>30.378488452640312</v>
      </c>
      <c r="J45" s="358">
        <f>J14+J20+J26+J32+J38</f>
        <v>4170767697.4899998</v>
      </c>
      <c r="K45" s="523">
        <f>IF($F45=0,0,L45/$F45)</f>
        <v>22.5076229174574</v>
      </c>
      <c r="L45" s="358">
        <f>L14+L20+L26+L32+L38</f>
        <v>3090149358.7400002</v>
      </c>
      <c r="M45" s="19">
        <f>IF($F45=0,0,N45/$F45)</f>
        <v>0.26853618934929085</v>
      </c>
      <c r="N45" s="358">
        <f>N14+N20+N26+N32+N38</f>
        <v>36868261.760000005</v>
      </c>
      <c r="O45" s="56">
        <f t="shared" ref="O45:O47" si="11">-IF($F45=0,0,P45/$F45)</f>
        <v>-3.721981209013038E-2</v>
      </c>
      <c r="P45" s="358">
        <f t="shared" si="10"/>
        <v>5110036.67</v>
      </c>
      <c r="Q45" s="358">
        <f t="shared" si="10"/>
        <v>19783654.949999999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68429460.650000006</v>
      </c>
      <c r="G46" s="524">
        <f>IF($F46=0,0,H46/$F46)</f>
        <v>8.0477057172304338</v>
      </c>
      <c r="H46" s="250">
        <f>H15+H21+H27+H33+H39</f>
        <v>550700161.70000005</v>
      </c>
      <c r="I46" s="524">
        <f>IF($F46=0,0,J46/$F46)</f>
        <v>20</v>
      </c>
      <c r="J46" s="250">
        <f>J15+J21+J27+J33+J39</f>
        <v>1368589213.0000002</v>
      </c>
      <c r="K46" s="524">
        <f>IF($F46=0,0,L46/$F46)</f>
        <v>12.885954330841271</v>
      </c>
      <c r="L46" s="250">
        <f>L15+L21+L27+L33+L39</f>
        <v>881778904.81999993</v>
      </c>
      <c r="M46" s="21">
        <f>IF($F46=0,0,N46/$F46)</f>
        <v>0.38127993516488423</v>
      </c>
      <c r="N46" s="250">
        <f>N15+N21+N27+N33+N39</f>
        <v>26090780.32</v>
      </c>
      <c r="O46" s="57">
        <f t="shared" si="11"/>
        <v>-4.2321171502613615E-2</v>
      </c>
      <c r="P46" s="250">
        <f t="shared" si="10"/>
        <v>2896014.94</v>
      </c>
      <c r="Q46" s="250">
        <f t="shared" si="10"/>
        <v>11100175.050000001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483663004.46000004</v>
      </c>
      <c r="G47" s="525">
        <f>IF($F47=0,0,H47/$F47)</f>
        <v>12.151003180492463</v>
      </c>
      <c r="H47" s="443">
        <f>SUM(H44:H46)</f>
        <v>5876990705.4800005</v>
      </c>
      <c r="I47" s="525">
        <f>IF($F47=0,0,J47/$F47)</f>
        <v>33.129504004322037</v>
      </c>
      <c r="J47" s="443">
        <f>SUM(J44:J46)</f>
        <v>16023515442.999998</v>
      </c>
      <c r="K47" s="525">
        <f>IF($F47=0,0,L47/$F47)</f>
        <v>22.865921883125207</v>
      </c>
      <c r="L47" s="443">
        <f>SUM(L44:L46)</f>
        <v>11059400477.74</v>
      </c>
      <c r="M47" s="445">
        <f>IF($F47=0,0,N47/$F47)</f>
        <v>0.32116457388224035</v>
      </c>
      <c r="N47" s="443">
        <f>SUM(N44:N46)</f>
        <v>155335422.73000002</v>
      </c>
      <c r="O47" s="446">
        <f t="shared" si="11"/>
        <v>-3.4730886268125219E-2</v>
      </c>
      <c r="P47" s="443">
        <f>SUM(P44:P46)</f>
        <v>16798044.800000001</v>
      </c>
      <c r="Q47" s="443">
        <f>SUM(Q44:Q46)</f>
        <v>88042078.959999993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31140</v>
      </c>
      <c r="F50" s="352">
        <f>IFERROR(VLOOKUP(E50,'2019 B-7'!C:P,14,FALSE),0)</f>
        <v>224241619.99000013</v>
      </c>
      <c r="G50" s="353">
        <f>F50-F16</f>
        <v>0</v>
      </c>
      <c r="H50" s="395"/>
      <c r="P50" s="260">
        <f>E50</f>
        <v>31140</v>
      </c>
      <c r="Q50" s="352">
        <f>IFERROR(VLOOKUP(P50,'2019 B-9'!C:R,16,FALSE),0)</f>
        <v>57749555.45000004</v>
      </c>
      <c r="R50" s="353">
        <f>Q50-Q16</f>
        <v>0</v>
      </c>
    </row>
    <row r="51" spans="5:18" x14ac:dyDescent="0.2">
      <c r="E51" s="260">
        <v>31240</v>
      </c>
      <c r="F51" s="352">
        <f>IFERROR(VLOOKUP(E51,'2019 B-7'!C:P,14,FALSE),0)</f>
        <v>182427705.75999999</v>
      </c>
      <c r="G51" s="353">
        <f>F51-F22</f>
        <v>0</v>
      </c>
      <c r="H51" s="395"/>
      <c r="P51" s="260">
        <f t="shared" ref="P51:P54" si="12">E51</f>
        <v>31240</v>
      </c>
      <c r="Q51" s="352">
        <f>IFERROR(VLOOKUP(P51,'2019 B-9'!C:R,16,FALSE),0)</f>
        <v>7802042.5399999972</v>
      </c>
      <c r="R51" s="353">
        <f>Q51-Q22</f>
        <v>0</v>
      </c>
    </row>
    <row r="52" spans="5:18" x14ac:dyDescent="0.2">
      <c r="E52" s="260">
        <v>31440</v>
      </c>
      <c r="F52" s="352">
        <f>IFERROR(VLOOKUP(E52,'2019 B-7'!C:P,14,FALSE),0)</f>
        <v>8810869.1900000013</v>
      </c>
      <c r="G52" s="353">
        <f>F52-F28</f>
        <v>0</v>
      </c>
      <c r="H52" s="395"/>
      <c r="P52" s="260">
        <f t="shared" si="12"/>
        <v>31440</v>
      </c>
      <c r="Q52" s="352">
        <f>IFERROR(VLOOKUP(P52,'2019 B-9'!C:R,16,FALSE),0)</f>
        <v>2697279.0299999989</v>
      </c>
      <c r="R52" s="353">
        <f>Q52-Q28</f>
        <v>0</v>
      </c>
    </row>
    <row r="53" spans="5:18" x14ac:dyDescent="0.2">
      <c r="E53" s="260">
        <v>31540</v>
      </c>
      <c r="F53" s="352">
        <f>IFERROR(VLOOKUP(E53,'2019 B-7'!C:P,14,FALSE),0)</f>
        <v>43317291.989999987</v>
      </c>
      <c r="G53" s="353">
        <f>F53-F34</f>
        <v>0</v>
      </c>
      <c r="H53" s="395"/>
      <c r="P53" s="260">
        <f t="shared" si="12"/>
        <v>31540</v>
      </c>
      <c r="Q53" s="352">
        <f>IFERROR(VLOOKUP(P53,'2019 B-9'!C:R,16,FALSE),0)</f>
        <v>12249101.039999994</v>
      </c>
      <c r="R53" s="353">
        <f>Q53-Q34</f>
        <v>0</v>
      </c>
    </row>
    <row r="54" spans="5:18" x14ac:dyDescent="0.2">
      <c r="E54" s="260">
        <v>31640</v>
      </c>
      <c r="F54" s="352">
        <f>IFERROR(VLOOKUP(E54,'2019 B-7'!C:P,14,FALSE),0)</f>
        <v>24865517.530000005</v>
      </c>
      <c r="G54" s="353">
        <f>F54-F40</f>
        <v>0</v>
      </c>
      <c r="H54" s="395"/>
      <c r="P54" s="260">
        <f t="shared" si="12"/>
        <v>31640</v>
      </c>
      <c r="Q54" s="352">
        <f>IFERROR(VLOOKUP(P54,'2019 B-9'!C:R,16,FALSE),0)</f>
        <v>7544100.900000005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483663004.46000016</v>
      </c>
      <c r="G55" s="354">
        <f>SUM(G50:G54)</f>
        <v>0</v>
      </c>
      <c r="P55" s="349" t="s">
        <v>40</v>
      </c>
      <c r="Q55" s="354">
        <f>SUM(Q50:Q54)</f>
        <v>88042078.960000038</v>
      </c>
      <c r="R55" s="354">
        <f>SUM(R50:R54)</f>
        <v>0</v>
      </c>
    </row>
    <row r="56" spans="5:18" ht="13.5" thickTop="1" x14ac:dyDescent="0.2">
      <c r="E56" s="50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0</v>
      </c>
    </row>
    <row r="57" spans="5:18" x14ac:dyDescent="0.2">
      <c r="E57" s="50"/>
      <c r="I57" s="39"/>
    </row>
    <row r="58" spans="5:18" x14ac:dyDescent="0.2">
      <c r="E58" s="50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  <c r="I62" s="349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5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71093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26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231" t="s">
        <v>1172</v>
      </c>
      <c r="E12" s="50"/>
      <c r="P12" s="18"/>
      <c r="Q12" s="18"/>
      <c r="R12" s="48"/>
    </row>
    <row r="13" spans="1:22" ht="15.95" customHeight="1" x14ac:dyDescent="0.2">
      <c r="A13" s="49" t="s">
        <v>409</v>
      </c>
      <c r="B13" s="499">
        <f>IFERROR(VLOOKUP($A13,'PP DS Query'!$C$1:$R$1005,5,FALSE),0)</f>
        <v>2035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6640049.54</v>
      </c>
      <c r="G13" s="523">
        <f>IFERROR(VLOOKUP($A13,'PP DS Query'!$C$1:$R$1005,7,FALSE),0)</f>
        <v>44.732187449999998</v>
      </c>
      <c r="H13" s="358">
        <f>IFERROR(VLOOKUP($A13,'PP DS Query'!$C$1:$R$1005,8,FALSE),0)</f>
        <v>297023940.69999999</v>
      </c>
      <c r="I13" s="523">
        <f>IFERROR(VLOOKUP($A13,'PP DS Query'!$C$1:$R$1005,9,FALSE),0)</f>
        <v>56.75</v>
      </c>
      <c r="J13" s="358">
        <f>IFERROR(VLOOKUP($A13,'PP DS Query'!$C$1:$R$1005,10,FALSE),0)</f>
        <v>376822811.39999998</v>
      </c>
      <c r="K13" s="523">
        <f>IFERROR(VLOOKUP($A13,'PP DS Query'!$C$1:$R$1005,11,FALSE),0)</f>
        <v>15.5</v>
      </c>
      <c r="L13" s="358">
        <f>IFERROR(VLOOKUP($A13,'PP DS Query'!$C$1:$R$1005,12,FALSE),0)</f>
        <v>102920767.87</v>
      </c>
      <c r="M13" s="19">
        <f>IFERROR(VLOOKUP($A13,'PP DS Query'!$C$1:$R$1005,13,FALSE),0)</f>
        <v>0.74140746000000002</v>
      </c>
      <c r="N13" s="358">
        <f>IFERROR(VLOOKUP($A13,'PP DS Query'!$C$1:$R$1005,14,FALSE),0)</f>
        <v>4922982.26</v>
      </c>
      <c r="O13" s="56">
        <f>IFERROR(VLOOKUP($A13,'PP DS Query'!$C$1:$R$1005,4,FALSE),0)</f>
        <v>-0.02</v>
      </c>
      <c r="P13" s="358">
        <f>-IFERROR(VLOOKUP($A13,'PP DS Query'!$C$1:$R$1005,15,FALSE),0)</f>
        <v>132800.99</v>
      </c>
      <c r="Q13" s="358">
        <f>IFERROR(VLOOKUP($A13,'PP DS Query'!$C$1:$R$1005,16,FALSE),0)</f>
        <v>4059377.46</v>
      </c>
      <c r="R13" s="48"/>
      <c r="S13" s="472">
        <f>IFERROR(ROUND(LEFT(A13,7)*100,0),0)</f>
        <v>31141</v>
      </c>
      <c r="T13" s="472" t="s">
        <v>962</v>
      </c>
      <c r="U13" s="474">
        <f>IFERROR(VLOOKUP($S13,#REF!,6,FALSE),0)</f>
        <v>0</v>
      </c>
      <c r="V13" s="473">
        <f>U13-F13</f>
        <v>-6640049.54</v>
      </c>
    </row>
    <row r="14" spans="1:22" ht="15.95" customHeight="1" x14ac:dyDescent="0.2">
      <c r="A14" s="49" t="s">
        <v>410</v>
      </c>
      <c r="B14" s="499">
        <f>IFERROR(VLOOKUP($A14,'PP DS Query'!$C$1:$R$1005,5,FALSE),0)</f>
        <v>2035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467144.25</v>
      </c>
      <c r="G14" s="523">
        <f>IFERROR(VLOOKUP($A14,'PP DS Query'!$C$1:$R$1005,7,FALSE),0)</f>
        <v>18.147151470000001</v>
      </c>
      <c r="H14" s="358">
        <f>IFERROR(VLOOKUP($A14,'PP DS Query'!$C$1:$R$1005,8,FALSE),0)</f>
        <v>8477337.4700000007</v>
      </c>
      <c r="I14" s="523">
        <f>IFERROR(VLOOKUP($A14,'PP DS Query'!$C$1:$R$1005,9,FALSE),0)</f>
        <v>27.09</v>
      </c>
      <c r="J14" s="358">
        <f>IFERROR(VLOOKUP($A14,'PP DS Query'!$C$1:$R$1005,10,FALSE),0)</f>
        <v>12654937.73</v>
      </c>
      <c r="K14" s="523">
        <f>IFERROR(VLOOKUP($A14,'PP DS Query'!$C$1:$R$1005,11,FALSE),0)</f>
        <v>12.685242000000001</v>
      </c>
      <c r="L14" s="358">
        <f>IFERROR(VLOOKUP($A14,'PP DS Query'!$C$1:$R$1005,12,FALSE),0)</f>
        <v>5925837.8600000003</v>
      </c>
      <c r="M14" s="19">
        <f>IFERROR(VLOOKUP($A14,'PP DS Query'!$C$1:$R$1005,13,FALSE),0)</f>
        <v>0.54235765999999996</v>
      </c>
      <c r="N14" s="358">
        <f>IFERROR(VLOOKUP($A14,'PP DS Query'!$C$1:$R$1005,14,FALSE),0)</f>
        <v>253359.26</v>
      </c>
      <c r="O14" s="56">
        <f>IFERROR(VLOOKUP($A14,'PP DS Query'!$C$1:$R$1005,4,FALSE),0)</f>
        <v>-0.02</v>
      </c>
      <c r="P14" s="358">
        <f>-IFERROR(VLOOKUP($A14,'PP DS Query'!$C$1:$R$1005,15,FALSE),0)</f>
        <v>9342.89</v>
      </c>
      <c r="Q14" s="358">
        <f>IFERROR(VLOOKUP($A14,'PP DS Query'!$C$1:$R$1005,16,FALSE),0)</f>
        <v>208914.19</v>
      </c>
      <c r="R14" s="48"/>
      <c r="S14" s="472">
        <f t="shared" ref="S14:S15" si="0">IFERROR(ROUND(LEFT(A14,7)*100,0),0)</f>
        <v>31141</v>
      </c>
      <c r="T14" s="472" t="s">
        <v>963</v>
      </c>
      <c r="U14" s="474">
        <f>IFERROR(VLOOKUP($S14,#REF!,7,FALSE),0)</f>
        <v>0</v>
      </c>
      <c r="V14" s="473">
        <f t="shared" ref="V14:V15" si="1">U14-F14</f>
        <v>-467144.25</v>
      </c>
    </row>
    <row r="15" spans="1:22" ht="15.95" customHeight="1" thickBot="1" x14ac:dyDescent="0.25">
      <c r="A15" s="49" t="s">
        <v>411</v>
      </c>
      <c r="B15" s="499">
        <f>IFERROR(VLOOKUP($A15,'PP DS Query'!$C$1:$R$1005,5,FALSE),0)</f>
        <v>2035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179932.45</v>
      </c>
      <c r="G15" s="524">
        <f>IFERROR(VLOOKUP($A15,'PP DS Query'!$C$1:$R$1005,7,FALSE),0)</f>
        <v>19.08844122</v>
      </c>
      <c r="H15" s="250">
        <f>IFERROR(VLOOKUP($A15,'PP DS Query'!$C$1:$R$1005,8,FALSE),0)</f>
        <v>3434630</v>
      </c>
      <c r="I15" s="524">
        <f>IFERROR(VLOOKUP($A15,'PP DS Query'!$C$1:$R$1005,9,FALSE),0)</f>
        <v>19.190000000000001</v>
      </c>
      <c r="J15" s="250">
        <f>IFERROR(VLOOKUP($A15,'PP DS Query'!$C$1:$R$1005,10,FALSE),0)</f>
        <v>3452903.72</v>
      </c>
      <c r="K15" s="524">
        <f>IFERROR(VLOOKUP($A15,'PP DS Query'!$C$1:$R$1005,11,FALSE),0)</f>
        <v>6.0307870000000001</v>
      </c>
      <c r="L15" s="250">
        <f>IFERROR(VLOOKUP($A15,'PP DS Query'!$C$1:$R$1005,12,FALSE),0)</f>
        <v>1085134.28</v>
      </c>
      <c r="M15" s="21">
        <f>IFERROR(VLOOKUP($A15,'PP DS Query'!$C$1:$R$1005,13,FALSE),0)</f>
        <v>0.70305101000000003</v>
      </c>
      <c r="N15" s="250">
        <f>IFERROR(VLOOKUP($A15,'PP DS Query'!$C$1:$R$1005,14,FALSE),0)</f>
        <v>126501.69</v>
      </c>
      <c r="O15" s="57">
        <f>IFERROR(VLOOKUP($A15,'PP DS Query'!$C$1:$R$1005,4,FALSE),0)</f>
        <v>-0.02</v>
      </c>
      <c r="P15" s="250">
        <f>-IFERROR(VLOOKUP($A15,'PP DS Query'!$C$1:$R$1005,15,FALSE),0)</f>
        <v>3598.65</v>
      </c>
      <c r="Q15" s="250">
        <f>IFERROR(VLOOKUP($A15,'PP DS Query'!$C$1:$R$1005,16,FALSE),0)</f>
        <v>104310.38</v>
      </c>
      <c r="R15" s="48"/>
      <c r="S15" s="472">
        <f t="shared" si="0"/>
        <v>31141</v>
      </c>
      <c r="T15" s="472" t="s">
        <v>964</v>
      </c>
      <c r="U15" s="475">
        <f>IFERROR(VLOOKUP($S15,#REF!,8,FALSE),0)</f>
        <v>0</v>
      </c>
      <c r="V15" s="476">
        <f t="shared" si="1"/>
        <v>-179932.45</v>
      </c>
    </row>
    <row r="16" spans="1:22" ht="15.95" customHeight="1" x14ac:dyDescent="0.2">
      <c r="A16" s="49" t="s">
        <v>412</v>
      </c>
      <c r="B16" s="499">
        <f>IFERROR(VLOOKUP($A16,'PP DS Query'!$C$1:$R$1005,5,FALSE),0)</f>
        <v>2035</v>
      </c>
      <c r="C16" s="33"/>
      <c r="D16" s="34"/>
      <c r="E16" s="15"/>
      <c r="F16" s="443">
        <f>IFERROR(VLOOKUP($A16,'PP DS Query'!$C$1:$R$1005,6,FALSE),0)</f>
        <v>7287126.2400000002</v>
      </c>
      <c r="G16" s="525">
        <f>IFERROR(VLOOKUP($A16,'PP DS Query'!$C$1:$R$1005,7,FALSE),0)</f>
        <v>42.39475178</v>
      </c>
      <c r="H16" s="443">
        <f>IFERROR(VLOOKUP($A16,'PP DS Query'!$C$1:$R$1005,8,FALSE),0)</f>
        <v>308935908.16000003</v>
      </c>
      <c r="I16" s="525">
        <f>IFERROR(VLOOKUP($A16,'PP DS Query'!$C$1:$R$1005,9,FALSE),0)</f>
        <v>53.92120843</v>
      </c>
      <c r="J16" s="443">
        <f>IFERROR(VLOOKUP($A16,'PP DS Query'!$C$1:$R$1005,10,FALSE),0)</f>
        <v>392930652.83999997</v>
      </c>
      <c r="K16" s="525">
        <f>IFERROR(VLOOKUP($A16,'PP DS Query'!$C$1:$R$1005,11,FALSE),0)</f>
        <v>15.08574662</v>
      </c>
      <c r="L16" s="443">
        <f>IFERROR(VLOOKUP($A16,'PP DS Query'!$C$1:$R$1005,12,FALSE),0)</f>
        <v>109931740.01000001</v>
      </c>
      <c r="M16" s="445">
        <f>IFERROR(VLOOKUP($A16,'PP DS Query'!$C$1:$R$1005,13,FALSE),0)</f>
        <v>0.72770020000000002</v>
      </c>
      <c r="N16" s="443">
        <f>IFERROR(VLOOKUP($A16,'PP DS Query'!$C$1:$R$1005,14,FALSE),0)</f>
        <v>5302843.21</v>
      </c>
      <c r="O16" s="446">
        <f>IFERROR(VLOOKUP($A16,'PP DS Query'!$C$1:$R$1005,4,FALSE),0)</f>
        <v>-0.02</v>
      </c>
      <c r="P16" s="443">
        <f>-IFERROR(VLOOKUP($A16,'PP DS Query'!$C$1:$R$1005,15,FALSE),0)</f>
        <v>145742.51999999999</v>
      </c>
      <c r="Q16" s="443">
        <f>IFERROR(VLOOKUP($A16,'PP DS Query'!$C$1:$R$1005,16,FALSE),0)</f>
        <v>4372602.03</v>
      </c>
      <c r="R16" s="48"/>
      <c r="U16" s="473">
        <f>SUM(U13:U15)</f>
        <v>0</v>
      </c>
      <c r="V16" s="473">
        <f>SUM(V13:V15)</f>
        <v>-7287126.2400000002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1173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453</v>
      </c>
      <c r="B19" s="499">
        <f>IFERROR(VLOOKUP($A19,'PP DS Query'!$C$1:$R$1005,5,FALSE),0)</f>
        <v>2035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33249414.289999999</v>
      </c>
      <c r="G19" s="523">
        <f>IFERROR(VLOOKUP($A19,'PP DS Query'!$C$1:$R$1005,7,FALSE),0)</f>
        <v>24.884464210000001</v>
      </c>
      <c r="H19" s="358">
        <f>IFERROR(VLOOKUP($A19,'PP DS Query'!$C$1:$R$1005,8,FALSE),0)</f>
        <v>827393860.02999997</v>
      </c>
      <c r="I19" s="523">
        <f>IFERROR(VLOOKUP($A19,'PP DS Query'!$C$1:$R$1005,9,FALSE),0)</f>
        <v>33.68</v>
      </c>
      <c r="J19" s="358">
        <f>IFERROR(VLOOKUP($A19,'PP DS Query'!$C$1:$R$1005,10,FALSE),0)</f>
        <v>1119840273.29</v>
      </c>
      <c r="K19" s="523">
        <f>IFERROR(VLOOKUP($A19,'PP DS Query'!$C$1:$R$1005,11,FALSE),0)</f>
        <v>15.5</v>
      </c>
      <c r="L19" s="358">
        <f>IFERROR(VLOOKUP($A19,'PP DS Query'!$C$1:$R$1005,12,FALSE),0)</f>
        <v>515365921.5</v>
      </c>
      <c r="M19" s="19">
        <f>IFERROR(VLOOKUP($A19,'PP DS Query'!$C$1:$R$1005,13,FALSE),0)</f>
        <v>0.56677633000000005</v>
      </c>
      <c r="N19" s="358">
        <f>IFERROR(VLOOKUP($A19,'PP DS Query'!$C$1:$R$1005,14,FALSE),0)</f>
        <v>18844981.109999999</v>
      </c>
      <c r="O19" s="56">
        <f>IFERROR(VLOOKUP($A19,'PP DS Query'!$C$1:$R$1005,4,FALSE),0)</f>
        <v>-0.05</v>
      </c>
      <c r="P19" s="358">
        <f>-IFERROR(VLOOKUP($A19,'PP DS Query'!$C$1:$R$1005,15,FALSE),0)</f>
        <v>1662470.71</v>
      </c>
      <c r="Q19" s="358">
        <f>IFERROR(VLOOKUP($A19,'PP DS Query'!$C$1:$R$1005,16,FALSE),0)</f>
        <v>11578866.66</v>
      </c>
      <c r="R19" s="48"/>
      <c r="S19" s="472">
        <f>IFERROR(ROUND(LEFT(A19,7)*100,0),0)</f>
        <v>31241</v>
      </c>
      <c r="T19" s="472" t="s">
        <v>962</v>
      </c>
      <c r="U19" s="474">
        <f>IFERROR(VLOOKUP($S19,#REF!,6,FALSE),0)</f>
        <v>0</v>
      </c>
      <c r="V19" s="473">
        <f>U19-F19</f>
        <v>-33249414.289999999</v>
      </c>
    </row>
    <row r="20" spans="1:22" ht="15.95" customHeight="1" x14ac:dyDescent="0.2">
      <c r="A20" s="49" t="s">
        <v>454</v>
      </c>
      <c r="B20" s="499">
        <f>IFERROR(VLOOKUP($A20,'PP DS Query'!$C$1:$R$1005,5,FALSE),0)</f>
        <v>2035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60479072.890000001</v>
      </c>
      <c r="G20" s="523">
        <f>IFERROR(VLOOKUP($A20,'PP DS Query'!$C$1:$R$1005,7,FALSE),0)</f>
        <v>14.055057700000001</v>
      </c>
      <c r="H20" s="358">
        <f>IFERROR(VLOOKUP($A20,'PP DS Query'!$C$1:$R$1005,8,FALSE),0)</f>
        <v>850036859.14999998</v>
      </c>
      <c r="I20" s="523">
        <f>IFERROR(VLOOKUP($A20,'PP DS Query'!$C$1:$R$1005,9,FALSE),0)</f>
        <v>26.28</v>
      </c>
      <c r="J20" s="358">
        <f>IFERROR(VLOOKUP($A20,'PP DS Query'!$C$1:$R$1005,10,FALSE),0)</f>
        <v>1589390035.55</v>
      </c>
      <c r="K20" s="523">
        <f>IFERROR(VLOOKUP($A20,'PP DS Query'!$C$1:$R$1005,11,FALSE),0)</f>
        <v>14.137328</v>
      </c>
      <c r="L20" s="358">
        <f>IFERROR(VLOOKUP($A20,'PP DS Query'!$C$1:$R$1005,12,FALSE),0)</f>
        <v>855012490.58000004</v>
      </c>
      <c r="M20" s="19">
        <f>IFERROR(VLOOKUP($A20,'PP DS Query'!$C$1:$R$1005,13,FALSE),0)</f>
        <v>0.48512105</v>
      </c>
      <c r="N20" s="358">
        <f>IFERROR(VLOOKUP($A20,'PP DS Query'!$C$1:$R$1005,14,FALSE),0)</f>
        <v>29339671.25</v>
      </c>
      <c r="O20" s="56">
        <f>IFERROR(VLOOKUP($A20,'PP DS Query'!$C$1:$R$1005,4,FALSE),0)</f>
        <v>-0.05</v>
      </c>
      <c r="P20" s="358">
        <f>-IFERROR(VLOOKUP($A20,'PP DS Query'!$C$1:$R$1005,15,FALSE),0)</f>
        <v>3023953.64</v>
      </c>
      <c r="Q20" s="358">
        <f>IFERROR(VLOOKUP($A20,'PP DS Query'!$C$1:$R$1005,16,FALSE),0)</f>
        <v>18027088.449999999</v>
      </c>
      <c r="R20" s="48"/>
      <c r="S20" s="472">
        <f t="shared" ref="S20:S21" si="2">IFERROR(ROUND(LEFT(A20,7)*100,0),0)</f>
        <v>31241</v>
      </c>
      <c r="T20" s="472" t="s">
        <v>963</v>
      </c>
      <c r="U20" s="474">
        <f>IFERROR(VLOOKUP($S20,#REF!,7,FALSE),0)</f>
        <v>0</v>
      </c>
      <c r="V20" s="473">
        <f t="shared" ref="V20:V21" si="3">U20-F20</f>
        <v>-60479072.890000001</v>
      </c>
    </row>
    <row r="21" spans="1:22" ht="15.95" customHeight="1" thickBot="1" x14ac:dyDescent="0.25">
      <c r="A21" s="49" t="s">
        <v>455</v>
      </c>
      <c r="B21" s="499">
        <f>IFERROR(VLOOKUP($A21,'PP DS Query'!$C$1:$R$1005,5,FALSE),0)</f>
        <v>2035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9282430.0199999996</v>
      </c>
      <c r="G21" s="524">
        <f>IFERROR(VLOOKUP($A21,'PP DS Query'!$C$1:$R$1005,7,FALSE),0)</f>
        <v>13.529801259999999</v>
      </c>
      <c r="H21" s="250">
        <f>IFERROR(VLOOKUP($A21,'PP DS Query'!$C$1:$R$1005,8,FALSE),0)</f>
        <v>125589433.41</v>
      </c>
      <c r="I21" s="524">
        <f>IFERROR(VLOOKUP($A21,'PP DS Query'!$C$1:$R$1005,9,FALSE),0)</f>
        <v>19.440000000000001</v>
      </c>
      <c r="J21" s="250">
        <f>IFERROR(VLOOKUP($A21,'PP DS Query'!$C$1:$R$1005,10,FALSE),0)</f>
        <v>180450439.59</v>
      </c>
      <c r="K21" s="524">
        <f>IFERROR(VLOOKUP($A21,'PP DS Query'!$C$1:$R$1005,11,FALSE),0)</f>
        <v>9.1025569999999991</v>
      </c>
      <c r="L21" s="250">
        <f>IFERROR(VLOOKUP($A21,'PP DS Query'!$C$1:$R$1005,12,FALSE),0)</f>
        <v>84493848.359999999</v>
      </c>
      <c r="M21" s="21">
        <f>IFERROR(VLOOKUP($A21,'PP DS Query'!$C$1:$R$1005,13,FALSE),0)</f>
        <v>0.57752225000000001</v>
      </c>
      <c r="N21" s="250">
        <f>IFERROR(VLOOKUP($A21,'PP DS Query'!$C$1:$R$1005,14,FALSE),0)</f>
        <v>5360809.83</v>
      </c>
      <c r="O21" s="57">
        <f>IFERROR(VLOOKUP($A21,'PP DS Query'!$C$1:$R$1005,4,FALSE),0)</f>
        <v>-0.05</v>
      </c>
      <c r="P21" s="250">
        <f>-IFERROR(VLOOKUP($A21,'PP DS Query'!$C$1:$R$1005,15,FALSE),0)</f>
        <v>464121.5</v>
      </c>
      <c r="Q21" s="250">
        <f>IFERROR(VLOOKUP($A21,'PP DS Query'!$C$1:$R$1005,16,FALSE),0)</f>
        <v>3293826.72</v>
      </c>
      <c r="R21" s="48"/>
      <c r="S21" s="472">
        <f t="shared" si="2"/>
        <v>31241</v>
      </c>
      <c r="T21" s="472" t="s">
        <v>964</v>
      </c>
      <c r="U21" s="475">
        <f>IFERROR(VLOOKUP($S21,#REF!,8,FALSE),0)</f>
        <v>0</v>
      </c>
      <c r="V21" s="476">
        <f t="shared" si="3"/>
        <v>-9282430.0199999996</v>
      </c>
    </row>
    <row r="22" spans="1:22" ht="15.95" customHeight="1" x14ac:dyDescent="0.2">
      <c r="A22" s="49" t="s">
        <v>456</v>
      </c>
      <c r="B22" s="499">
        <f>IFERROR(VLOOKUP($A22,'PP DS Query'!$C$1:$R$1005,5,FALSE),0)</f>
        <v>2035</v>
      </c>
      <c r="C22" s="33"/>
      <c r="D22" s="34"/>
      <c r="E22" s="15"/>
      <c r="F22" s="443">
        <f>IFERROR(VLOOKUP($A22,'PP DS Query'!$C$1:$R$1005,6,FALSE),0)</f>
        <v>103010917.2</v>
      </c>
      <c r="G22" s="525">
        <f>IFERROR(VLOOKUP($A22,'PP DS Query'!$C$1:$R$1005,7,FALSE),0)</f>
        <v>17.503194820000001</v>
      </c>
      <c r="H22" s="443">
        <f>IFERROR(VLOOKUP($A22,'PP DS Query'!$C$1:$R$1005,8,FALSE),0)</f>
        <v>1803020152.5799999</v>
      </c>
      <c r="I22" s="525">
        <f>IFERROR(VLOOKUP($A22,'PP DS Query'!$C$1:$R$1005,9,FALSE),0)</f>
        <v>28.052179580000001</v>
      </c>
      <c r="J22" s="443">
        <f>IFERROR(VLOOKUP($A22,'PP DS Query'!$C$1:$R$1005,10,FALSE),0)</f>
        <v>2889680748.4299998</v>
      </c>
      <c r="K22" s="525">
        <f>IFERROR(VLOOKUP($A22,'PP DS Query'!$C$1:$R$1005,11,FALSE),0)</f>
        <v>14.123476419999999</v>
      </c>
      <c r="L22" s="443">
        <f>IFERROR(VLOOKUP($A22,'PP DS Query'!$C$1:$R$1005,12,FALSE),0)</f>
        <v>1454872260.4300001</v>
      </c>
      <c r="M22" s="445">
        <f>IFERROR(VLOOKUP($A22,'PP DS Query'!$C$1:$R$1005,13,FALSE),0)</f>
        <v>0.51980375999999995</v>
      </c>
      <c r="N22" s="443">
        <f>IFERROR(VLOOKUP($A22,'PP DS Query'!$C$1:$R$1005,14,FALSE),0)</f>
        <v>53545462.189999998</v>
      </c>
      <c r="O22" s="446">
        <f>IFERROR(VLOOKUP($A22,'PP DS Query'!$C$1:$R$1005,4,FALSE),0)</f>
        <v>-0.05</v>
      </c>
      <c r="P22" s="443">
        <f>-IFERROR(VLOOKUP($A22,'PP DS Query'!$C$1:$R$1005,15,FALSE),0)</f>
        <v>5150545.8600000003</v>
      </c>
      <c r="Q22" s="443">
        <f>IFERROR(VLOOKUP($A22,'PP DS Query'!$C$1:$R$1005,16,FALSE),0)</f>
        <v>32899781.829999998</v>
      </c>
      <c r="R22" s="48"/>
      <c r="U22" s="473">
        <f>SUM(U19:U21)</f>
        <v>0</v>
      </c>
      <c r="V22" s="473">
        <f>SUM(V19:V21)</f>
        <v>-103010917.2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1174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49" t="s">
        <v>497</v>
      </c>
      <c r="B25" s="499">
        <f>IFERROR(VLOOKUP($A25,'PP DS Query'!$C$1:$R$1005,5,FALSE),0)</f>
        <v>2035</v>
      </c>
      <c r="C25" s="33">
        <f>IFERROR(VLOOKUP($A25,'PP DS Query'!$C$1:$R$1005,3,FALSE),0)</f>
        <v>65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8413844.0299999993</v>
      </c>
      <c r="G25" s="523">
        <f>IFERROR(VLOOKUP($A25,'PP DS Query'!$C$1:$R$1005,7,FALSE),0)</f>
        <v>39.190065799999999</v>
      </c>
      <c r="H25" s="358">
        <f>IFERROR(VLOOKUP($A25,'PP DS Query'!$C$1:$R$1005,8,FALSE),0)</f>
        <v>329739101.13</v>
      </c>
      <c r="I25" s="523">
        <f>IFERROR(VLOOKUP($A25,'PP DS Query'!$C$1:$R$1005,9,FALSE),0)</f>
        <v>44.23</v>
      </c>
      <c r="J25" s="358">
        <f>IFERROR(VLOOKUP($A25,'PP DS Query'!$C$1:$R$1005,10,FALSE),0)</f>
        <v>372144321.44999999</v>
      </c>
      <c r="K25" s="523">
        <f>IFERROR(VLOOKUP($A25,'PP DS Query'!$C$1:$R$1005,11,FALSE),0)</f>
        <v>15.5</v>
      </c>
      <c r="L25" s="358">
        <f>IFERROR(VLOOKUP($A25,'PP DS Query'!$C$1:$R$1005,12,FALSE),0)</f>
        <v>130414582.47</v>
      </c>
      <c r="M25" s="19">
        <f>IFERROR(VLOOKUP($A25,'PP DS Query'!$C$1:$R$1005,13,FALSE),0)</f>
        <v>0.68856300000000004</v>
      </c>
      <c r="N25" s="358">
        <f>IFERROR(VLOOKUP($A25,'PP DS Query'!$C$1:$R$1005,14,FALSE),0)</f>
        <v>5793461.7000000002</v>
      </c>
      <c r="O25" s="56">
        <f>IFERROR(VLOOKUP($A25,'PP DS Query'!$C$1:$R$1005,4,FALSE),0)</f>
        <v>-0.06</v>
      </c>
      <c r="P25" s="358">
        <f>-IFERROR(VLOOKUP($A25,'PP DS Query'!$C$1:$R$1005,15,FALSE),0)</f>
        <v>504830.64</v>
      </c>
      <c r="Q25" s="358">
        <f>IFERROR(VLOOKUP($A25,'PP DS Query'!$C$1:$R$1005,16,FALSE),0)</f>
        <v>3449876.16</v>
      </c>
      <c r="R25" s="48"/>
      <c r="S25" s="472">
        <f>IFERROR(ROUND(LEFT(A25,7)*100,0),0)</f>
        <v>31441</v>
      </c>
      <c r="T25" s="472" t="s">
        <v>962</v>
      </c>
      <c r="U25" s="474">
        <f>IFERROR(VLOOKUP($S25,#REF!,6,FALSE),0)</f>
        <v>0</v>
      </c>
      <c r="V25" s="473">
        <f>U25-F25</f>
        <v>-8413844.0299999993</v>
      </c>
    </row>
    <row r="26" spans="1:22" ht="15.95" customHeight="1" x14ac:dyDescent="0.2">
      <c r="A26" s="49" t="s">
        <v>498</v>
      </c>
      <c r="B26" s="499">
        <f>IFERROR(VLOOKUP($A26,'PP DS Query'!$C$1:$R$1005,5,FALSE),0)</f>
        <v>2035</v>
      </c>
      <c r="C26" s="33">
        <f>IFERROR(VLOOKUP($A26,'PP DS Query'!$C$1:$R$1005,3,FALSE),0)</f>
        <v>35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24406549.640000001</v>
      </c>
      <c r="G26" s="523">
        <f>IFERROR(VLOOKUP($A26,'PP DS Query'!$C$1:$R$1005,7,FALSE),0)</f>
        <v>18.939898039999999</v>
      </c>
      <c r="H26" s="358">
        <f>IFERROR(VLOOKUP($A26,'PP DS Query'!$C$1:$R$1005,8,FALSE),0)</f>
        <v>462257561.67000002</v>
      </c>
      <c r="I26" s="523">
        <f>IFERROR(VLOOKUP($A26,'PP DS Query'!$C$1:$R$1005,9,FALSE),0)</f>
        <v>26.66</v>
      </c>
      <c r="J26" s="358">
        <f>IFERROR(VLOOKUP($A26,'PP DS Query'!$C$1:$R$1005,10,FALSE),0)</f>
        <v>650678613.39999998</v>
      </c>
      <c r="K26" s="523">
        <f>IFERROR(VLOOKUP($A26,'PP DS Query'!$C$1:$R$1005,11,FALSE),0)</f>
        <v>12.620723999999999</v>
      </c>
      <c r="L26" s="358">
        <f>IFERROR(VLOOKUP($A26,'PP DS Query'!$C$1:$R$1005,12,FALSE),0)</f>
        <v>308028326.80000001</v>
      </c>
      <c r="M26" s="19">
        <f>IFERROR(VLOOKUP($A26,'PP DS Query'!$C$1:$R$1005,13,FALSE),0)</f>
        <v>0.55823117</v>
      </c>
      <c r="N26" s="358">
        <f>IFERROR(VLOOKUP($A26,'PP DS Query'!$C$1:$R$1005,14,FALSE),0)</f>
        <v>13624496.66</v>
      </c>
      <c r="O26" s="56">
        <f>IFERROR(VLOOKUP($A26,'PP DS Query'!$C$1:$R$1005,4,FALSE),0)</f>
        <v>-0.06</v>
      </c>
      <c r="P26" s="358">
        <f>-IFERROR(VLOOKUP($A26,'PP DS Query'!$C$1:$R$1005,15,FALSE),0)</f>
        <v>1464392.98</v>
      </c>
      <c r="Q26" s="358">
        <f>IFERROR(VLOOKUP($A26,'PP DS Query'!$C$1:$R$1005,16,FALSE),0)</f>
        <v>8113081.3700000001</v>
      </c>
      <c r="R26" s="48"/>
      <c r="S26" s="472">
        <f t="shared" ref="S26:S27" si="4">IFERROR(ROUND(LEFT(A26,7)*100,0),0)</f>
        <v>31441</v>
      </c>
      <c r="T26" s="472" t="s">
        <v>963</v>
      </c>
      <c r="U26" s="474">
        <f>IFERROR(VLOOKUP($S26,#REF!,7,FALSE),0)</f>
        <v>0</v>
      </c>
      <c r="V26" s="473">
        <f t="shared" ref="V26:V27" si="5">U26-F26</f>
        <v>-24406549.640000001</v>
      </c>
    </row>
    <row r="27" spans="1:22" ht="15.95" customHeight="1" thickBot="1" x14ac:dyDescent="0.25">
      <c r="A27" s="49" t="s">
        <v>499</v>
      </c>
      <c r="B27" s="499">
        <f>IFERROR(VLOOKUP($A27,'PP DS Query'!$C$1:$R$1005,5,FALSE),0)</f>
        <v>2035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17663347.789999999</v>
      </c>
      <c r="G27" s="524">
        <f>IFERROR(VLOOKUP($A27,'PP DS Query'!$C$1:$R$1005,7,FALSE),0)</f>
        <v>5.6816445900000003</v>
      </c>
      <c r="H27" s="250">
        <f>IFERROR(VLOOKUP($A27,'PP DS Query'!$C$1:$R$1005,8,FALSE),0)</f>
        <v>100356864.44</v>
      </c>
      <c r="I27" s="524">
        <f>IFERROR(VLOOKUP($A27,'PP DS Query'!$C$1:$R$1005,9,FALSE),0)</f>
        <v>18.46</v>
      </c>
      <c r="J27" s="250">
        <f>IFERROR(VLOOKUP($A27,'PP DS Query'!$C$1:$R$1005,10,FALSE),0)</f>
        <v>326065400.19999999</v>
      </c>
      <c r="K27" s="524">
        <f>IFERROR(VLOOKUP($A27,'PP DS Query'!$C$1:$R$1005,11,FALSE),0)</f>
        <v>12.814208000000001</v>
      </c>
      <c r="L27" s="250">
        <f>IFERROR(VLOOKUP($A27,'PP DS Query'!$C$1:$R$1005,12,FALSE),0)</f>
        <v>226341812.56</v>
      </c>
      <c r="M27" s="21">
        <f>IFERROR(VLOOKUP($A27,'PP DS Query'!$C$1:$R$1005,13,FALSE),0)</f>
        <v>0.32497704999999999</v>
      </c>
      <c r="N27" s="250">
        <f>IFERROR(VLOOKUP($A27,'PP DS Query'!$C$1:$R$1005,14,FALSE),0)</f>
        <v>5740182.5899999999</v>
      </c>
      <c r="O27" s="57">
        <f>IFERROR(VLOOKUP($A27,'PP DS Query'!$C$1:$R$1005,4,FALSE),0)</f>
        <v>-0.06</v>
      </c>
      <c r="P27" s="250">
        <f>-IFERROR(VLOOKUP($A27,'PP DS Query'!$C$1:$R$1005,15,FALSE),0)</f>
        <v>1059800.8700000001</v>
      </c>
      <c r="Q27" s="250">
        <f>IFERROR(VLOOKUP($A27,'PP DS Query'!$C$1:$R$1005,16,FALSE),0)</f>
        <v>3418149.64</v>
      </c>
      <c r="R27" s="48"/>
      <c r="S27" s="472">
        <f t="shared" si="4"/>
        <v>31441</v>
      </c>
      <c r="T27" s="472" t="s">
        <v>964</v>
      </c>
      <c r="U27" s="475">
        <f>IFERROR(VLOOKUP($S27,#REF!,8,FALSE),0)</f>
        <v>0</v>
      </c>
      <c r="V27" s="476">
        <f t="shared" si="5"/>
        <v>-17663347.789999999</v>
      </c>
    </row>
    <row r="28" spans="1:22" ht="15.95" customHeight="1" x14ac:dyDescent="0.2">
      <c r="A28" s="49" t="s">
        <v>500</v>
      </c>
      <c r="B28" s="499">
        <f>IFERROR(VLOOKUP($A28,'PP DS Query'!$C$1:$R$1005,5,FALSE),0)</f>
        <v>2035</v>
      </c>
      <c r="C28" s="33"/>
      <c r="D28" s="34"/>
      <c r="E28" s="15"/>
      <c r="F28" s="443">
        <f>IFERROR(VLOOKUP($A28,'PP DS Query'!$C$1:$R$1005,6,FALSE),0)</f>
        <v>50483741.460000001</v>
      </c>
      <c r="G28" s="525">
        <f>IFERROR(VLOOKUP($A28,'PP DS Query'!$C$1:$R$1005,7,FALSE),0)</f>
        <v>17.676057709999998</v>
      </c>
      <c r="H28" s="443">
        <f>IFERROR(VLOOKUP($A28,'PP DS Query'!$C$1:$R$1005,8,FALSE),0)</f>
        <v>892353527.23000002</v>
      </c>
      <c r="I28" s="525">
        <f>IFERROR(VLOOKUP($A28,'PP DS Query'!$C$1:$R$1005,9,FALSE),0)</f>
        <v>26.719262400000002</v>
      </c>
      <c r="J28" s="443">
        <f>IFERROR(VLOOKUP($A28,'PP DS Query'!$C$1:$R$1005,10,FALSE),0)</f>
        <v>1348888335.05</v>
      </c>
      <c r="K28" s="525">
        <f>IFERROR(VLOOKUP($A28,'PP DS Query'!$C$1:$R$1005,11,FALSE),0)</f>
        <v>13.16829345</v>
      </c>
      <c r="L28" s="443">
        <f>IFERROR(VLOOKUP($A28,'PP DS Query'!$C$1:$R$1005,12,FALSE),0)</f>
        <v>664784721.82000005</v>
      </c>
      <c r="M28" s="445">
        <f>IFERROR(VLOOKUP($A28,'PP DS Query'!$C$1:$R$1005,13,FALSE),0)</f>
        <v>0.49834145000000002</v>
      </c>
      <c r="N28" s="443">
        <f>IFERROR(VLOOKUP($A28,'PP DS Query'!$C$1:$R$1005,14,FALSE),0)</f>
        <v>25158140.949999999</v>
      </c>
      <c r="O28" s="446">
        <f>IFERROR(VLOOKUP($A28,'PP DS Query'!$C$1:$R$1005,4,FALSE),0)</f>
        <v>-0.06</v>
      </c>
      <c r="P28" s="443">
        <f>-IFERROR(VLOOKUP($A28,'PP DS Query'!$C$1:$R$1005,15,FALSE),0)</f>
        <v>3029024.49</v>
      </c>
      <c r="Q28" s="443">
        <f>IFERROR(VLOOKUP($A28,'PP DS Query'!$C$1:$R$1005,16,FALSE),0)</f>
        <v>14981107.17</v>
      </c>
      <c r="R28" s="48"/>
      <c r="U28" s="473">
        <f>SUM(U25:U27)</f>
        <v>0</v>
      </c>
      <c r="V28" s="473">
        <f>SUM(V25:V27)</f>
        <v>-50483741.460000001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1175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517</v>
      </c>
      <c r="B31" s="499">
        <f>IFERROR(VLOOKUP($A31,'PP DS Query'!$C$1:$R$1005,5,FALSE),0)</f>
        <v>2035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2864281.54</v>
      </c>
      <c r="G31" s="523">
        <f>IFERROR(VLOOKUP($A31,'PP DS Query'!$C$1:$R$1005,7,FALSE),0)</f>
        <v>40.951819059999998</v>
      </c>
      <c r="H31" s="358">
        <f>IFERROR(VLOOKUP($A31,'PP DS Query'!$C$1:$R$1005,8,FALSE),0)</f>
        <v>117297539.34999999</v>
      </c>
      <c r="I31" s="523">
        <f>IFERROR(VLOOKUP($A31,'PP DS Query'!$C$1:$R$1005,9,FALSE),0)</f>
        <v>50.14</v>
      </c>
      <c r="J31" s="358">
        <f>IFERROR(VLOOKUP($A31,'PP DS Query'!$C$1:$R$1005,10,FALSE),0)</f>
        <v>143615076.41999999</v>
      </c>
      <c r="K31" s="523">
        <f>IFERROR(VLOOKUP($A31,'PP DS Query'!$C$1:$R$1005,11,FALSE),0)</f>
        <v>15.5</v>
      </c>
      <c r="L31" s="358">
        <f>IFERROR(VLOOKUP($A31,'PP DS Query'!$C$1:$R$1005,12,FALSE),0)</f>
        <v>44396363.869999997</v>
      </c>
      <c r="M31" s="19">
        <f>IFERROR(VLOOKUP($A31,'PP DS Query'!$C$1:$R$1005,13,FALSE),0)</f>
        <v>0.72540377</v>
      </c>
      <c r="N31" s="358">
        <f>IFERROR(VLOOKUP($A31,'PP DS Query'!$C$1:$R$1005,14,FALSE),0)</f>
        <v>2077760.63</v>
      </c>
      <c r="O31" s="56">
        <f>IFERROR(VLOOKUP($A31,'PP DS Query'!$C$1:$R$1005,4,FALSE),0)</f>
        <v>-0.05</v>
      </c>
      <c r="P31" s="358">
        <f>-IFERROR(VLOOKUP($A31,'PP DS Query'!$C$1:$R$1005,15,FALSE),0)</f>
        <v>143214.07999999999</v>
      </c>
      <c r="Q31" s="358">
        <f>IFERROR(VLOOKUP($A31,'PP DS Query'!$C$1:$R$1005,16,FALSE),0)</f>
        <v>1776255.32</v>
      </c>
      <c r="R31" s="48"/>
      <c r="S31" s="472">
        <f>IFERROR(ROUND(LEFT(A31,7)*100,0),0)</f>
        <v>31541</v>
      </c>
      <c r="T31" s="472" t="s">
        <v>962</v>
      </c>
      <c r="U31" s="474">
        <f>IFERROR(VLOOKUP($S31,#REF!,6,FALSE),0)</f>
        <v>0</v>
      </c>
      <c r="V31" s="473">
        <f>U31-F31</f>
        <v>-2864281.54</v>
      </c>
    </row>
    <row r="32" spans="1:22" ht="15.95" customHeight="1" x14ac:dyDescent="0.2">
      <c r="A32" s="49" t="s">
        <v>518</v>
      </c>
      <c r="B32" s="499">
        <f>IFERROR(VLOOKUP($A32,'PP DS Query'!$C$1:$R$1005,5,FALSE),0)</f>
        <v>2035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10573475.560000001</v>
      </c>
      <c r="G32" s="523">
        <f>IFERROR(VLOOKUP($A32,'PP DS Query'!$C$1:$R$1005,7,FALSE),0)</f>
        <v>17.958249169999998</v>
      </c>
      <c r="H32" s="358">
        <f>IFERROR(VLOOKUP($A32,'PP DS Query'!$C$1:$R$1005,8,FALSE),0)</f>
        <v>189881108.69999999</v>
      </c>
      <c r="I32" s="523">
        <f>IFERROR(VLOOKUP($A32,'PP DS Query'!$C$1:$R$1005,9,FALSE),0)</f>
        <v>27</v>
      </c>
      <c r="J32" s="358">
        <f>IFERROR(VLOOKUP($A32,'PP DS Query'!$C$1:$R$1005,10,FALSE),0)</f>
        <v>285483840.12</v>
      </c>
      <c r="K32" s="523">
        <f>IFERROR(VLOOKUP($A32,'PP DS Query'!$C$1:$R$1005,11,FALSE),0)</f>
        <v>13.073582999999999</v>
      </c>
      <c r="L32" s="358">
        <f>IFERROR(VLOOKUP($A32,'PP DS Query'!$C$1:$R$1005,12,FALSE),0)</f>
        <v>138233210.33000001</v>
      </c>
      <c r="M32" s="19">
        <f>IFERROR(VLOOKUP($A32,'PP DS Query'!$C$1:$R$1005,13,FALSE),0)</f>
        <v>0.54160280000000005</v>
      </c>
      <c r="N32" s="358">
        <f>IFERROR(VLOOKUP($A32,'PP DS Query'!$C$1:$R$1005,14,FALSE),0)</f>
        <v>5726623.9699999997</v>
      </c>
      <c r="O32" s="56">
        <f>IFERROR(VLOOKUP($A32,'PP DS Query'!$C$1:$R$1005,4,FALSE),0)</f>
        <v>-0.05</v>
      </c>
      <c r="P32" s="358">
        <f>-IFERROR(VLOOKUP($A32,'PP DS Query'!$C$1:$R$1005,15,FALSE),0)</f>
        <v>528673.78</v>
      </c>
      <c r="Q32" s="358">
        <f>IFERROR(VLOOKUP($A32,'PP DS Query'!$C$1:$R$1005,16,FALSE),0)</f>
        <v>4895629.51</v>
      </c>
      <c r="R32" s="48"/>
      <c r="S32" s="472">
        <f t="shared" ref="S32:S33" si="6">IFERROR(ROUND(LEFT(A32,7)*100,0),0)</f>
        <v>31541</v>
      </c>
      <c r="T32" s="472" t="s">
        <v>963</v>
      </c>
      <c r="U32" s="474">
        <f>IFERROR(VLOOKUP($S32,#REF!,7,FALSE),0)</f>
        <v>0</v>
      </c>
      <c r="V32" s="473">
        <f t="shared" ref="V32:V33" si="7">U32-F32</f>
        <v>-10573475.560000001</v>
      </c>
    </row>
    <row r="33" spans="1:22" ht="15.95" customHeight="1" thickBot="1" x14ac:dyDescent="0.25">
      <c r="A33" s="49" t="s">
        <v>519</v>
      </c>
      <c r="B33" s="499">
        <f>IFERROR(VLOOKUP($A33,'PP DS Query'!$C$1:$R$1005,5,FALSE),0)</f>
        <v>2035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3580876.92</v>
      </c>
      <c r="G33" s="524">
        <f>IFERROR(VLOOKUP($A33,'PP DS Query'!$C$1:$R$1005,7,FALSE),0)</f>
        <v>7.6921256500000004</v>
      </c>
      <c r="H33" s="250">
        <f>IFERROR(VLOOKUP($A33,'PP DS Query'!$C$1:$R$1005,8,FALSE),0)</f>
        <v>27544555.210000001</v>
      </c>
      <c r="I33" s="524">
        <f>IFERROR(VLOOKUP($A33,'PP DS Query'!$C$1:$R$1005,9,FALSE),0)</f>
        <v>18.809999999999999</v>
      </c>
      <c r="J33" s="250">
        <f>IFERROR(VLOOKUP($A33,'PP DS Query'!$C$1:$R$1005,10,FALSE),0)</f>
        <v>67356294.870000005</v>
      </c>
      <c r="K33" s="524">
        <f>IFERROR(VLOOKUP($A33,'PP DS Query'!$C$1:$R$1005,11,FALSE),0)</f>
        <v>11.861890000000001</v>
      </c>
      <c r="L33" s="250">
        <f>IFERROR(VLOOKUP($A33,'PP DS Query'!$C$1:$R$1005,12,FALSE),0)</f>
        <v>42475968.130000003</v>
      </c>
      <c r="M33" s="21">
        <f>IFERROR(VLOOKUP($A33,'PP DS Query'!$C$1:$R$1005,13,FALSE),0)</f>
        <v>0.39275728999999998</v>
      </c>
      <c r="N33" s="250">
        <f>IFERROR(VLOOKUP($A33,'PP DS Query'!$C$1:$R$1005,14,FALSE),0)</f>
        <v>1406415.51</v>
      </c>
      <c r="O33" s="57">
        <f>IFERROR(VLOOKUP($A33,'PP DS Query'!$C$1:$R$1005,4,FALSE),0)</f>
        <v>-0.05</v>
      </c>
      <c r="P33" s="250">
        <f>-IFERROR(VLOOKUP($A33,'PP DS Query'!$C$1:$R$1005,15,FALSE),0)</f>
        <v>179043.85</v>
      </c>
      <c r="Q33" s="250">
        <f>IFERROR(VLOOKUP($A33,'PP DS Query'!$C$1:$R$1005,16,FALSE),0)</f>
        <v>1202329.56</v>
      </c>
      <c r="R33" s="48"/>
      <c r="S33" s="472">
        <f t="shared" si="6"/>
        <v>31541</v>
      </c>
      <c r="T33" s="472" t="s">
        <v>964</v>
      </c>
      <c r="U33" s="475">
        <f>IFERROR(VLOOKUP($S33,#REF!,8,FALSE),0)</f>
        <v>0</v>
      </c>
      <c r="V33" s="476">
        <f t="shared" si="7"/>
        <v>-3580876.92</v>
      </c>
    </row>
    <row r="34" spans="1:22" ht="15.95" customHeight="1" x14ac:dyDescent="0.2">
      <c r="A34" s="49" t="s">
        <v>520</v>
      </c>
      <c r="B34" s="499">
        <f>IFERROR(VLOOKUP($A34,'PP DS Query'!$C$1:$R$1005,5,FALSE),0)</f>
        <v>2035</v>
      </c>
      <c r="C34" s="33"/>
      <c r="D34" s="34"/>
      <c r="E34" s="15"/>
      <c r="F34" s="443">
        <f>IFERROR(VLOOKUP($A34,'PP DS Query'!$C$1:$R$1005,6,FALSE),0)</f>
        <v>17018634.02</v>
      </c>
      <c r="G34" s="525">
        <f>IFERROR(VLOOKUP($A34,'PP DS Query'!$C$1:$R$1005,7,FALSE),0)</f>
        <v>19.668041680000002</v>
      </c>
      <c r="H34" s="443">
        <f>IFERROR(VLOOKUP($A34,'PP DS Query'!$C$1:$R$1005,8,FALSE),0)</f>
        <v>334723203.25999999</v>
      </c>
      <c r="I34" s="525">
        <f>IFERROR(VLOOKUP($A34,'PP DS Query'!$C$1:$R$1005,9,FALSE),0)</f>
        <v>29.171272550000001</v>
      </c>
      <c r="J34" s="443">
        <f>IFERROR(VLOOKUP($A34,'PP DS Query'!$C$1:$R$1005,10,FALSE),0)</f>
        <v>496455211.39999998</v>
      </c>
      <c r="K34" s="525">
        <f>IFERROR(VLOOKUP($A34,'PP DS Query'!$C$1:$R$1005,11,FALSE),0)</f>
        <v>13.22700412</v>
      </c>
      <c r="L34" s="443">
        <f>IFERROR(VLOOKUP($A34,'PP DS Query'!$C$1:$R$1005,12,FALSE),0)</f>
        <v>225105542.33000001</v>
      </c>
      <c r="M34" s="445">
        <f>IFERROR(VLOOKUP($A34,'PP DS Query'!$C$1:$R$1005,13,FALSE),0)</f>
        <v>0.54121852999999998</v>
      </c>
      <c r="N34" s="443">
        <f>IFERROR(VLOOKUP($A34,'PP DS Query'!$C$1:$R$1005,14,FALSE),0)</f>
        <v>9210800.1099999994</v>
      </c>
      <c r="O34" s="446">
        <f>IFERROR(VLOOKUP($A34,'PP DS Query'!$C$1:$R$1005,4,FALSE),0)</f>
        <v>-0.05</v>
      </c>
      <c r="P34" s="443">
        <f>-IFERROR(VLOOKUP($A34,'PP DS Query'!$C$1:$R$1005,15,FALSE),0)</f>
        <v>850931.7</v>
      </c>
      <c r="Q34" s="443">
        <f>IFERROR(VLOOKUP($A34,'PP DS Query'!$C$1:$R$1005,16,FALSE),0)</f>
        <v>7874214.3899999997</v>
      </c>
      <c r="R34" s="48"/>
      <c r="U34" s="473">
        <f>SUM(U31:U33)</f>
        <v>0</v>
      </c>
      <c r="V34" s="473">
        <f>SUM(V31:V33)</f>
        <v>-17018634.020000003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1176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561</v>
      </c>
      <c r="B37" s="499">
        <f>IFERROR(VLOOKUP($A37,'PP DS Query'!$C$1:$R$1005,5,FALSE),0)</f>
        <v>2035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436609.61</v>
      </c>
      <c r="G37" s="523">
        <f>IFERROR(VLOOKUP($A37,'PP DS Query'!$C$1:$R$1005,7,FALSE),0)</f>
        <v>49.247643279999998</v>
      </c>
      <c r="H37" s="358">
        <f>IFERROR(VLOOKUP($A37,'PP DS Query'!$C$1:$R$1005,8,FALSE),0)</f>
        <v>21501994.329999998</v>
      </c>
      <c r="I37" s="523">
        <f>IFERROR(VLOOKUP($A37,'PP DS Query'!$C$1:$R$1005,9,FALSE),0)</f>
        <v>64.72</v>
      </c>
      <c r="J37" s="358">
        <f>IFERROR(VLOOKUP($A37,'PP DS Query'!$C$1:$R$1005,10,FALSE),0)</f>
        <v>28257373.960000001</v>
      </c>
      <c r="K37" s="523">
        <f>IFERROR(VLOOKUP($A37,'PP DS Query'!$C$1:$R$1005,11,FALSE),0)</f>
        <v>15.5</v>
      </c>
      <c r="L37" s="358">
        <f>IFERROR(VLOOKUP($A37,'PP DS Query'!$C$1:$R$1005,12,FALSE),0)</f>
        <v>6767448.96</v>
      </c>
      <c r="M37" s="19">
        <f>IFERROR(VLOOKUP($A37,'PP DS Query'!$C$1:$R$1005,13,FALSE),0)</f>
        <v>0.77570291999999996</v>
      </c>
      <c r="N37" s="358">
        <f>IFERROR(VLOOKUP($A37,'PP DS Query'!$C$1:$R$1005,14,FALSE),0)</f>
        <v>338679.35</v>
      </c>
      <c r="O37" s="56">
        <f>IFERROR(VLOOKUP($A37,'PP DS Query'!$C$1:$R$1005,4,FALSE),0)</f>
        <v>-0.02</v>
      </c>
      <c r="P37" s="358">
        <f>-IFERROR(VLOOKUP($A37,'PP DS Query'!$C$1:$R$1005,15,FALSE),0)</f>
        <v>8732.19</v>
      </c>
      <c r="Q37" s="358">
        <f>IFERROR(VLOOKUP($A37,'PP DS Query'!$C$1:$R$1005,16,FALSE),0)</f>
        <v>293938.40000000002</v>
      </c>
      <c r="R37" s="48"/>
      <c r="S37" s="472">
        <f>IFERROR(ROUND(LEFT(A37,7)*100,0),0)</f>
        <v>31641</v>
      </c>
      <c r="T37" s="472" t="s">
        <v>962</v>
      </c>
      <c r="U37" s="474">
        <f>IFERROR(VLOOKUP($S37,#REF!,6,FALSE),0)</f>
        <v>0</v>
      </c>
      <c r="V37" s="473">
        <f>U37-F37</f>
        <v>-436609.61</v>
      </c>
    </row>
    <row r="38" spans="1:22" ht="15.95" customHeight="1" x14ac:dyDescent="0.2">
      <c r="A38" s="49" t="s">
        <v>562</v>
      </c>
      <c r="B38" s="499">
        <f>IFERROR(VLOOKUP($A38,'PP DS Query'!$C$1:$R$1005,5,FALSE),0)</f>
        <v>2035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296040.96000000002</v>
      </c>
      <c r="G38" s="523">
        <f>IFERROR(VLOOKUP($A38,'PP DS Query'!$C$1:$R$1005,7,FALSE),0)</f>
        <v>11.30599786</v>
      </c>
      <c r="H38" s="358">
        <f>IFERROR(VLOOKUP($A38,'PP DS Query'!$C$1:$R$1005,8,FALSE),0)</f>
        <v>3347038.46</v>
      </c>
      <c r="I38" s="523">
        <f>IFERROR(VLOOKUP($A38,'PP DS Query'!$C$1:$R$1005,9,FALSE),0)</f>
        <v>25.55</v>
      </c>
      <c r="J38" s="358">
        <f>IFERROR(VLOOKUP($A38,'PP DS Query'!$C$1:$R$1005,10,FALSE),0)</f>
        <v>7563846.5300000003</v>
      </c>
      <c r="K38" s="523">
        <f>IFERROR(VLOOKUP($A38,'PP DS Query'!$C$1:$R$1005,11,FALSE),0)</f>
        <v>14.908156</v>
      </c>
      <c r="L38" s="358">
        <f>IFERROR(VLOOKUP($A38,'PP DS Query'!$C$1:$R$1005,12,FALSE),0)</f>
        <v>4413424.8099999996</v>
      </c>
      <c r="M38" s="19">
        <f>IFERROR(VLOOKUP($A38,'PP DS Query'!$C$1:$R$1005,13,FALSE),0)</f>
        <v>0.42479281000000002</v>
      </c>
      <c r="N38" s="358">
        <f>IFERROR(VLOOKUP($A38,'PP DS Query'!$C$1:$R$1005,14,FALSE),0)</f>
        <v>125756.07</v>
      </c>
      <c r="O38" s="56">
        <f>IFERROR(VLOOKUP($A38,'PP DS Query'!$C$1:$R$1005,4,FALSE),0)</f>
        <v>-0.02</v>
      </c>
      <c r="P38" s="358">
        <f>-IFERROR(VLOOKUP($A38,'PP DS Query'!$C$1:$R$1005,15,FALSE),0)</f>
        <v>5920.82</v>
      </c>
      <c r="Q38" s="358">
        <f>IFERROR(VLOOKUP($A38,'PP DS Query'!$C$1:$R$1005,16,FALSE),0)</f>
        <v>109143.17</v>
      </c>
      <c r="R38" s="48"/>
      <c r="S38" s="472">
        <f t="shared" ref="S38:S39" si="8">IFERROR(ROUND(LEFT(A38,7)*100,0),0)</f>
        <v>31641</v>
      </c>
      <c r="T38" s="472" t="s">
        <v>963</v>
      </c>
      <c r="U38" s="474">
        <f>IFERROR(VLOOKUP($S38,#REF!,7,FALSE),0)</f>
        <v>0</v>
      </c>
      <c r="V38" s="473">
        <f t="shared" ref="V38:V39" si="9">U38-F38</f>
        <v>-296040.96000000002</v>
      </c>
    </row>
    <row r="39" spans="1:22" ht="15.95" customHeight="1" thickBot="1" x14ac:dyDescent="0.25">
      <c r="A39" s="49" t="s">
        <v>563</v>
      </c>
      <c r="B39" s="499">
        <f>IFERROR(VLOOKUP($A39,'PP DS Query'!$C$1:$R$1005,5,FALSE),0)</f>
        <v>2035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237133.13</v>
      </c>
      <c r="G39" s="524">
        <f>IFERROR(VLOOKUP($A39,'PP DS Query'!$C$1:$R$1005,7,FALSE),0)</f>
        <v>9.5</v>
      </c>
      <c r="H39" s="250">
        <f>IFERROR(VLOOKUP($A39,'PP DS Query'!$C$1:$R$1005,8,FALSE),0)</f>
        <v>2252764.7400000002</v>
      </c>
      <c r="I39" s="524">
        <f>IFERROR(VLOOKUP($A39,'PP DS Query'!$C$1:$R$1005,9,FALSE),0)</f>
        <v>20</v>
      </c>
      <c r="J39" s="250">
        <f>IFERROR(VLOOKUP($A39,'PP DS Query'!$C$1:$R$1005,10,FALSE),0)</f>
        <v>4742662.5999999996</v>
      </c>
      <c r="K39" s="524">
        <f>IFERROR(VLOOKUP($A39,'PP DS Query'!$C$1:$R$1005,11,FALSE),0)</f>
        <v>10.268020999999999</v>
      </c>
      <c r="L39" s="250">
        <f>IFERROR(VLOOKUP($A39,'PP DS Query'!$C$1:$R$1005,12,FALSE),0)</f>
        <v>2434887.96</v>
      </c>
      <c r="M39" s="21">
        <f>IFERROR(VLOOKUP($A39,'PP DS Query'!$C$1:$R$1005,13,FALSE),0)</f>
        <v>0.49633090000000002</v>
      </c>
      <c r="N39" s="250">
        <f>IFERROR(VLOOKUP($A39,'PP DS Query'!$C$1:$R$1005,14,FALSE),0)</f>
        <v>117696.5</v>
      </c>
      <c r="O39" s="57">
        <f>IFERROR(VLOOKUP($A39,'PP DS Query'!$C$1:$R$1005,4,FALSE),0)</f>
        <v>-0.02</v>
      </c>
      <c r="P39" s="250">
        <f>-IFERROR(VLOOKUP($A39,'PP DS Query'!$C$1:$R$1005,15,FALSE),0)</f>
        <v>4742.66</v>
      </c>
      <c r="Q39" s="250">
        <f>IFERROR(VLOOKUP($A39,'PP DS Query'!$C$1:$R$1005,16,FALSE),0)</f>
        <v>102148.3</v>
      </c>
      <c r="R39" s="48"/>
      <c r="S39" s="472">
        <f t="shared" si="8"/>
        <v>31641</v>
      </c>
      <c r="T39" s="472" t="s">
        <v>964</v>
      </c>
      <c r="U39" s="475">
        <f>IFERROR(VLOOKUP($S39,#REF!,8,FALSE),0)</f>
        <v>0</v>
      </c>
      <c r="V39" s="476">
        <f t="shared" si="9"/>
        <v>-237133.13</v>
      </c>
    </row>
    <row r="40" spans="1:22" ht="15.95" customHeight="1" x14ac:dyDescent="0.2">
      <c r="A40" s="49" t="s">
        <v>564</v>
      </c>
      <c r="B40" s="499">
        <f>IFERROR(VLOOKUP($A40,'PP DS Query'!$C$1:$R$1005,5,FALSE),0)</f>
        <v>2035</v>
      </c>
      <c r="C40" s="33"/>
      <c r="D40" s="34"/>
      <c r="E40" s="15"/>
      <c r="F40" s="443">
        <f>IFERROR(VLOOKUP($A40,'PP DS Query'!$C$1:$R$1005,6,FALSE),0)</f>
        <v>969783.7</v>
      </c>
      <c r="G40" s="525">
        <f>IFERROR(VLOOKUP($A40,'PP DS Query'!$C$1:$R$1005,7,FALSE),0)</f>
        <v>27.946229160000001</v>
      </c>
      <c r="H40" s="443">
        <f>IFERROR(VLOOKUP($A40,'PP DS Query'!$C$1:$R$1005,8,FALSE),0)</f>
        <v>27101797.52</v>
      </c>
      <c r="I40" s="525">
        <f>IFERROR(VLOOKUP($A40,'PP DS Query'!$C$1:$R$1005,9,FALSE),0)</f>
        <v>41.827763330000003</v>
      </c>
      <c r="J40" s="443">
        <f>IFERROR(VLOOKUP($A40,'PP DS Query'!$C$1:$R$1005,10,FALSE),0)</f>
        <v>40563883.090000004</v>
      </c>
      <c r="K40" s="525">
        <f>IFERROR(VLOOKUP($A40,'PP DS Query'!$C$1:$R$1005,11,FALSE),0)</f>
        <v>14.039998539999999</v>
      </c>
      <c r="L40" s="443">
        <f>IFERROR(VLOOKUP($A40,'PP DS Query'!$C$1:$R$1005,12,FALSE),0)</f>
        <v>13615761.73</v>
      </c>
      <c r="M40" s="445">
        <f>IFERROR(VLOOKUP($A40,'PP DS Query'!$C$1:$R$1005,13,FALSE),0)</f>
        <v>0.60026984999999999</v>
      </c>
      <c r="N40" s="443">
        <f>IFERROR(VLOOKUP($A40,'PP DS Query'!$C$1:$R$1005,14,FALSE),0)</f>
        <v>582131.92000000004</v>
      </c>
      <c r="O40" s="446">
        <f>IFERROR(VLOOKUP($A40,'PP DS Query'!$C$1:$R$1005,4,FALSE),0)</f>
        <v>-0.02</v>
      </c>
      <c r="P40" s="443">
        <f>-IFERROR(VLOOKUP($A40,'PP DS Query'!$C$1:$R$1005,15,FALSE),0)</f>
        <v>19395.669999999998</v>
      </c>
      <c r="Q40" s="443">
        <f>IFERROR(VLOOKUP($A40,'PP DS Query'!$C$1:$R$1005,16,FALSE),0)</f>
        <v>505229.87</v>
      </c>
      <c r="R40" s="48"/>
      <c r="U40" s="473">
        <f>SUM(U37:U39)</f>
        <v>0</v>
      </c>
      <c r="V40" s="473">
        <f>SUM(V37:V39)</f>
        <v>-969783.70000000007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460"/>
      <c r="G42" s="527"/>
      <c r="H42" s="460"/>
      <c r="I42" s="527"/>
      <c r="J42" s="460"/>
      <c r="K42" s="527"/>
      <c r="L42" s="460"/>
      <c r="M42" s="461"/>
      <c r="N42" s="460"/>
      <c r="O42" s="461"/>
      <c r="P42" s="461"/>
      <c r="Q42" s="461"/>
      <c r="R42" s="48"/>
    </row>
    <row r="43" spans="1:22" s="41" customFormat="1" ht="15.95" customHeight="1" x14ac:dyDescent="0.25">
      <c r="A43" s="49"/>
      <c r="B43" s="49"/>
      <c r="C43" s="36" t="str">
        <f>C$6</f>
        <v>Big Bend Unit #1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51604199.009999998</v>
      </c>
      <c r="G44" s="523">
        <f>IF($F44=0,0,H44/$F44)</f>
        <v>30.868736771426541</v>
      </c>
      <c r="H44" s="358">
        <f>H13+H19+H25+H31+H37</f>
        <v>1592956435.54</v>
      </c>
      <c r="I44" s="523">
        <f>IF($F44=0,0,J44/$F44)</f>
        <v>39.544841227446469</v>
      </c>
      <c r="J44" s="358">
        <f>J13+J19+J25+J31+J37</f>
        <v>2040679856.5200002</v>
      </c>
      <c r="K44" s="523">
        <f>IF($F44=0,0,L44/$F44)</f>
        <v>15.500000000290676</v>
      </c>
      <c r="L44" s="358">
        <f>L13+L19+L25+L31+L37</f>
        <v>799865084.67000008</v>
      </c>
      <c r="M44" s="19">
        <f>IF($F44=0,0,N44/$F44)</f>
        <v>0.61967564003470421</v>
      </c>
      <c r="N44" s="358">
        <f>N13+N19+N25+N31+N37</f>
        <v>31977865.049999997</v>
      </c>
      <c r="O44" s="56">
        <f>-IF($F44=0,0,P44/$F44)</f>
        <v>-4.7516455192431827E-2</v>
      </c>
      <c r="P44" s="358">
        <f t="shared" ref="P44:Q46" si="10">P13+P19+P25+P31+P37</f>
        <v>2452048.61</v>
      </c>
      <c r="Q44" s="358">
        <f t="shared" si="10"/>
        <v>21158314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96222283.299999997</v>
      </c>
      <c r="G45" s="523">
        <f>IF($F45=0,0,H45/$F45)</f>
        <v>15.734400115300529</v>
      </c>
      <c r="H45" s="358">
        <f>H14+H20+H26+H32+H38</f>
        <v>1513999905.45</v>
      </c>
      <c r="I45" s="523">
        <f>IF($F45=0,0,J45/$F45)</f>
        <v>26.457190434702561</v>
      </c>
      <c r="J45" s="358">
        <f>J14+J20+J26+J32+J38</f>
        <v>2545771273.3299999</v>
      </c>
      <c r="K45" s="523">
        <f>IF($F45=0,0,L45/$F45)</f>
        <v>13.631076351521164</v>
      </c>
      <c r="L45" s="358">
        <f>L14+L20+L26+L32+L38</f>
        <v>1311613290.3799999</v>
      </c>
      <c r="M45" s="19">
        <f>IF($F45=0,0,N45/$F45)</f>
        <v>0.50996406993389232</v>
      </c>
      <c r="N45" s="358">
        <f>N14+N20+N26+N32+N38</f>
        <v>49069907.210000001</v>
      </c>
      <c r="O45" s="56">
        <f>-IF($F45=0,0,P45/$F45)</f>
        <v>-5.2298531456694296E-2</v>
      </c>
      <c r="P45" s="358">
        <f t="shared" si="10"/>
        <v>5032284.1100000003</v>
      </c>
      <c r="Q45" s="358">
        <f t="shared" si="10"/>
        <v>31353856.690000005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30943720.309999999</v>
      </c>
      <c r="G46" s="524">
        <f>IF($F46=0,0,H46/$F46)</f>
        <v>8.375794675090896</v>
      </c>
      <c r="H46" s="250">
        <f>H15+H21+H27+H33+H39</f>
        <v>259178247.80000001</v>
      </c>
      <c r="I46" s="524">
        <f>IF($F46=0,0,J46/$F46)</f>
        <v>18.810527472092449</v>
      </c>
      <c r="J46" s="250">
        <f>J15+J21+J27+J33+J39</f>
        <v>582067700.98000002</v>
      </c>
      <c r="K46" s="524">
        <f>IF($F46=0,0,L46/$F46)</f>
        <v>11.53163380857872</v>
      </c>
      <c r="L46" s="250">
        <f>L15+L21+L27+L33+L39</f>
        <v>356831651.28999996</v>
      </c>
      <c r="M46" s="21">
        <f>IF($F46=0,0,N46/$F46)</f>
        <v>0.41209027202456638</v>
      </c>
      <c r="N46" s="250">
        <f>N15+N21+N27+N33+N39</f>
        <v>12751606.119999999</v>
      </c>
      <c r="O46" s="57">
        <f>-IF($F46=0,0,P46/$F46)</f>
        <v>-5.5303871443245993E-2</v>
      </c>
      <c r="P46" s="250">
        <f t="shared" si="10"/>
        <v>1711307.53</v>
      </c>
      <c r="Q46" s="250">
        <f t="shared" si="10"/>
        <v>8120764.6000000006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178770202.62</v>
      </c>
      <c r="G47" s="525">
        <f>IF($F47=0,0,H47/$F47)</f>
        <v>18.829394045858802</v>
      </c>
      <c r="H47" s="443">
        <f>SUM(H44:H46)</f>
        <v>3366134588.79</v>
      </c>
      <c r="I47" s="525">
        <f>IF($F47=0,0,J47/$F47)</f>
        <v>28.911523033938597</v>
      </c>
      <c r="J47" s="443">
        <f>SUM(J44:J46)</f>
        <v>5168518830.8299999</v>
      </c>
      <c r="K47" s="525">
        <f>IF($F47=0,0,L47/$F47)</f>
        <v>13.807166911292949</v>
      </c>
      <c r="L47" s="443">
        <f>SUM(L44:L46)</f>
        <v>2468310026.3400002</v>
      </c>
      <c r="M47" s="445">
        <f>IF($F47=0,0,N47/$F47)</f>
        <v>0.5246924655524563</v>
      </c>
      <c r="N47" s="443">
        <f>SUM(N44:N46)</f>
        <v>93799378.379999995</v>
      </c>
      <c r="O47" s="446">
        <f>-IF($F47=0,0,P47/$F47)</f>
        <v>-5.1438327614063091E-2</v>
      </c>
      <c r="P47" s="443">
        <f>SUM(P44:P46)</f>
        <v>9195640.25</v>
      </c>
      <c r="Q47" s="443">
        <f>SUM(Q44:Q46)</f>
        <v>60632935.290000007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31141</v>
      </c>
      <c r="F50" s="352">
        <f>IFERROR(VLOOKUP(E50,'2019 B-7'!C:P,14,FALSE),0)</f>
        <v>7287126.2399999993</v>
      </c>
      <c r="G50" s="353">
        <f>F50-F16</f>
        <v>0</v>
      </c>
      <c r="P50" s="260">
        <f>E50</f>
        <v>31141</v>
      </c>
      <c r="Q50" s="352">
        <f>IFERROR(VLOOKUP(P50,'2019 B-9'!C:R,16,FALSE),0)</f>
        <v>4372602.0299999947</v>
      </c>
      <c r="R50" s="353">
        <f>Q50-Q16</f>
        <v>0</v>
      </c>
    </row>
    <row r="51" spans="5:18" x14ac:dyDescent="0.2">
      <c r="E51" s="260">
        <v>31241</v>
      </c>
      <c r="F51" s="352">
        <f>IFERROR(VLOOKUP(E51,'2019 B-7'!C:P,14,FALSE),0)</f>
        <v>103010917.2</v>
      </c>
      <c r="G51" s="353">
        <f>F51-F22</f>
        <v>0</v>
      </c>
      <c r="P51" s="260">
        <f t="shared" ref="P51:P54" si="11">E51</f>
        <v>31241</v>
      </c>
      <c r="Q51" s="352">
        <f>IFERROR(VLOOKUP(P51,'2019 B-9'!C:R,16,FALSE),0)</f>
        <v>32899781.829999987</v>
      </c>
      <c r="R51" s="353">
        <f>Q51-Q22</f>
        <v>0</v>
      </c>
    </row>
    <row r="52" spans="5:18" x14ac:dyDescent="0.2">
      <c r="E52" s="260">
        <v>31441</v>
      </c>
      <c r="F52" s="352">
        <f>IFERROR(VLOOKUP(E52,'2019 B-7'!C:P,14,FALSE),0)</f>
        <v>50483741.460000001</v>
      </c>
      <c r="G52" s="353">
        <f>F52-F28</f>
        <v>0</v>
      </c>
      <c r="P52" s="260">
        <f t="shared" si="11"/>
        <v>31441</v>
      </c>
      <c r="Q52" s="352">
        <f>IFERROR(VLOOKUP(P52,'2019 B-9'!C:R,16,FALSE),0)</f>
        <v>14981107.170000013</v>
      </c>
      <c r="R52" s="353">
        <f>Q52-Q28</f>
        <v>0</v>
      </c>
    </row>
    <row r="53" spans="5:18" x14ac:dyDescent="0.2">
      <c r="E53" s="260">
        <v>31541</v>
      </c>
      <c r="F53" s="352">
        <f>IFERROR(VLOOKUP(E53,'2019 B-7'!C:P,14,FALSE),0)</f>
        <v>17018634.02</v>
      </c>
      <c r="G53" s="353">
        <f>F53-F34</f>
        <v>0</v>
      </c>
      <c r="P53" s="260">
        <f t="shared" si="11"/>
        <v>31541</v>
      </c>
      <c r="Q53" s="352">
        <f>IFERROR(VLOOKUP(P53,'2019 B-9'!C:R,16,FALSE),0)</f>
        <v>7874214.3900000015</v>
      </c>
      <c r="R53" s="353">
        <f>Q53-Q34</f>
        <v>0</v>
      </c>
    </row>
    <row r="54" spans="5:18" x14ac:dyDescent="0.2">
      <c r="E54" s="260">
        <v>31641</v>
      </c>
      <c r="F54" s="352">
        <f>IFERROR(VLOOKUP(E54,'2019 B-7'!C:P,14,FALSE),0)</f>
        <v>969783.7</v>
      </c>
      <c r="G54" s="353">
        <f>F54-F40</f>
        <v>0</v>
      </c>
      <c r="P54" s="260">
        <f t="shared" si="11"/>
        <v>31641</v>
      </c>
      <c r="Q54" s="352">
        <f>IFERROR(VLOOKUP(P54,'2019 B-9'!C:R,16,FALSE),0)</f>
        <v>505229.86999999813</v>
      </c>
      <c r="R54" s="353">
        <f>Q54-Q40</f>
        <v>-1.862645149230957E-9</v>
      </c>
    </row>
    <row r="55" spans="5:18" ht="13.5" thickBot="1" x14ac:dyDescent="0.25">
      <c r="E55" s="349" t="s">
        <v>40</v>
      </c>
      <c r="F55" s="354">
        <f>SUM(F50:F54)</f>
        <v>178770202.62</v>
      </c>
      <c r="G55" s="354">
        <f>SUM(G50:G54)</f>
        <v>0</v>
      </c>
      <c r="P55" s="349" t="s">
        <v>40</v>
      </c>
      <c r="Q55" s="354">
        <f>SUM(Q50:Q54)</f>
        <v>60632935.289999999</v>
      </c>
      <c r="R55" s="354">
        <f>SUM(R50:R54)</f>
        <v>-1.862645149230957E-9</v>
      </c>
    </row>
    <row r="56" spans="5:18" ht="13.5" thickTop="1" x14ac:dyDescent="0.2">
      <c r="E56" s="50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-1.862645149230957E-9</v>
      </c>
    </row>
    <row r="57" spans="5:18" x14ac:dyDescent="0.2">
      <c r="E57" s="50"/>
      <c r="G57" s="29"/>
    </row>
    <row r="58" spans="5:18" x14ac:dyDescent="0.2">
      <c r="E58" s="50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3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71093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27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2038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54"/>
      <c r="G11" s="455"/>
      <c r="H11" s="454"/>
      <c r="I11" s="455"/>
      <c r="J11" s="454"/>
      <c r="K11" s="455"/>
      <c r="L11" s="454"/>
      <c r="M11" s="454"/>
      <c r="N11" s="454"/>
      <c r="O11" s="456"/>
      <c r="P11" s="454"/>
      <c r="Q11" s="454"/>
      <c r="R11" s="48"/>
    </row>
    <row r="12" spans="1:22" ht="15.95" customHeight="1" x14ac:dyDescent="0.2">
      <c r="A12" s="49"/>
      <c r="B12" s="49"/>
      <c r="C12" s="231" t="s">
        <v>1177</v>
      </c>
      <c r="E12" s="50"/>
      <c r="P12" s="18"/>
      <c r="Q12" s="18"/>
      <c r="R12" s="48"/>
    </row>
    <row r="13" spans="1:22" ht="15.95" customHeight="1" x14ac:dyDescent="0.2">
      <c r="A13" s="49" t="s">
        <v>413</v>
      </c>
      <c r="B13" s="499">
        <f>IFERROR(VLOOKUP($A13,'PP DS Query'!$C$1:$R$1005,5,FALSE),0)</f>
        <v>2038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6499171.7599999998</v>
      </c>
      <c r="G13" s="523">
        <f>IFERROR(VLOOKUP($A13,'PP DS Query'!$C$1:$R$1005,7,FALSE),0)</f>
        <v>41.70562666</v>
      </c>
      <c r="H13" s="358">
        <f>IFERROR(VLOOKUP($A13,'PP DS Query'!$C$1:$R$1005,8,FALSE),0)</f>
        <v>271052031.02999997</v>
      </c>
      <c r="I13" s="523">
        <f>IFERROR(VLOOKUP($A13,'PP DS Query'!$C$1:$R$1005,9,FALSE),0)</f>
        <v>59.04</v>
      </c>
      <c r="J13" s="358">
        <f>IFERROR(VLOOKUP($A13,'PP DS Query'!$C$1:$R$1005,10,FALSE),0)</f>
        <v>383711100.70999998</v>
      </c>
      <c r="K13" s="523">
        <f>IFERROR(VLOOKUP($A13,'PP DS Query'!$C$1:$R$1005,11,FALSE),0)</f>
        <v>18.5</v>
      </c>
      <c r="L13" s="358">
        <f>IFERROR(VLOOKUP($A13,'PP DS Query'!$C$1:$R$1005,12,FALSE),0)</f>
        <v>120234677.56</v>
      </c>
      <c r="M13" s="19">
        <f>IFERROR(VLOOKUP($A13,'PP DS Query'!$C$1:$R$1005,13,FALSE),0)</f>
        <v>0.70041027</v>
      </c>
      <c r="N13" s="358">
        <f>IFERROR(VLOOKUP($A13,'PP DS Query'!$C$1:$R$1005,14,FALSE),0)</f>
        <v>4552086.6399999997</v>
      </c>
      <c r="O13" s="56">
        <f>IFERROR(VLOOKUP($A13,'PP DS Query'!$C$1:$R$1005,4,FALSE),0)</f>
        <v>-0.02</v>
      </c>
      <c r="P13" s="358">
        <f>-IFERROR(VLOOKUP($A13,'PP DS Query'!$C$1:$R$1005,15,FALSE),0)</f>
        <v>129983.44</v>
      </c>
      <c r="Q13" s="358">
        <f>IFERROR(VLOOKUP($A13,'PP DS Query'!$C$1:$R$1005,16,FALSE),0)</f>
        <v>3753136.26</v>
      </c>
      <c r="R13" s="48"/>
      <c r="S13" s="472">
        <f>IFERROR(ROUND(LEFT(A13,7)*100,0),0)</f>
        <v>31142</v>
      </c>
      <c r="T13" s="472" t="s">
        <v>962</v>
      </c>
      <c r="U13" s="474">
        <f>IFERROR(VLOOKUP($S13,#REF!,6,FALSE),0)</f>
        <v>0</v>
      </c>
      <c r="V13" s="473">
        <f>U13-F13</f>
        <v>-6499171.7599999998</v>
      </c>
    </row>
    <row r="14" spans="1:22" ht="15.95" customHeight="1" x14ac:dyDescent="0.2">
      <c r="A14" s="49" t="s">
        <v>414</v>
      </c>
      <c r="B14" s="499">
        <f>IFERROR(VLOOKUP($A14,'PP DS Query'!$C$1:$R$1005,5,FALSE),0)</f>
        <v>2038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455204.54</v>
      </c>
      <c r="G14" s="523">
        <f>IFERROR(VLOOKUP($A14,'PP DS Query'!$C$1:$R$1005,7,FALSE),0)</f>
        <v>10.75885098</v>
      </c>
      <c r="H14" s="358">
        <f>IFERROR(VLOOKUP($A14,'PP DS Query'!$C$1:$R$1005,8,FALSE),0)</f>
        <v>4897477.8099999996</v>
      </c>
      <c r="I14" s="523">
        <f>IFERROR(VLOOKUP($A14,'PP DS Query'!$C$1:$R$1005,9,FALSE),0)</f>
        <v>22.92</v>
      </c>
      <c r="J14" s="358">
        <f>IFERROR(VLOOKUP($A14,'PP DS Query'!$C$1:$R$1005,10,FALSE),0)</f>
        <v>10433288.060000001</v>
      </c>
      <c r="K14" s="523">
        <f>IFERROR(VLOOKUP($A14,'PP DS Query'!$C$1:$R$1005,11,FALSE),0)</f>
        <v>16.625748000000002</v>
      </c>
      <c r="L14" s="358">
        <f>IFERROR(VLOOKUP($A14,'PP DS Query'!$C$1:$R$1005,12,FALSE),0)</f>
        <v>7568115.9699999997</v>
      </c>
      <c r="M14" s="19">
        <f>IFERROR(VLOOKUP($A14,'PP DS Query'!$C$1:$R$1005,13,FALSE),0)</f>
        <v>0.28021252000000002</v>
      </c>
      <c r="N14" s="358">
        <f>IFERROR(VLOOKUP($A14,'PP DS Query'!$C$1:$R$1005,14,FALSE),0)</f>
        <v>127554.01</v>
      </c>
      <c r="O14" s="56">
        <f>IFERROR(VLOOKUP($A14,'PP DS Query'!$C$1:$R$1005,4,FALSE),0)</f>
        <v>-0.02</v>
      </c>
      <c r="P14" s="358">
        <f>-IFERROR(VLOOKUP($A14,'PP DS Query'!$C$1:$R$1005,15,FALSE),0)</f>
        <v>9104.09</v>
      </c>
      <c r="Q14" s="358">
        <f>IFERROR(VLOOKUP($A14,'PP DS Query'!$C$1:$R$1005,16,FALSE),0)</f>
        <v>105166.62</v>
      </c>
      <c r="R14" s="48"/>
      <c r="S14" s="472">
        <f t="shared" ref="S14:S15" si="0">IFERROR(ROUND(LEFT(A14,7)*100,0),0)</f>
        <v>31142</v>
      </c>
      <c r="T14" s="472" t="s">
        <v>963</v>
      </c>
      <c r="U14" s="474">
        <f>IFERROR(VLOOKUP($S14,#REF!,7,FALSE),0)</f>
        <v>0</v>
      </c>
      <c r="V14" s="473">
        <f t="shared" ref="V14:V15" si="1">U14-F14</f>
        <v>-455204.54</v>
      </c>
    </row>
    <row r="15" spans="1:22" ht="15.95" customHeight="1" thickBot="1" x14ac:dyDescent="0.25">
      <c r="A15" s="49" t="s">
        <v>415</v>
      </c>
      <c r="B15" s="499">
        <f>IFERROR(VLOOKUP($A15,'PP DS Query'!$C$1:$R$1005,5,FALSE),0)</f>
        <v>2038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93433.59</v>
      </c>
      <c r="G15" s="524">
        <f>IFERROR(VLOOKUP($A15,'PP DS Query'!$C$1:$R$1005,7,FALSE),0)</f>
        <v>16.887203039999999</v>
      </c>
      <c r="H15" s="250">
        <f>IFERROR(VLOOKUP($A15,'PP DS Query'!$C$1:$R$1005,8,FALSE),0)</f>
        <v>1577832.01</v>
      </c>
      <c r="I15" s="524">
        <f>IFERROR(VLOOKUP($A15,'PP DS Query'!$C$1:$R$1005,9,FALSE),0)</f>
        <v>19.309999999999999</v>
      </c>
      <c r="J15" s="250">
        <f>IFERROR(VLOOKUP($A15,'PP DS Query'!$C$1:$R$1005,10,FALSE),0)</f>
        <v>1804202.62</v>
      </c>
      <c r="K15" s="524">
        <f>IFERROR(VLOOKUP($A15,'PP DS Query'!$C$1:$R$1005,11,FALSE),0)</f>
        <v>12.050431</v>
      </c>
      <c r="L15" s="250">
        <f>IFERROR(VLOOKUP($A15,'PP DS Query'!$C$1:$R$1005,12,FALSE),0)</f>
        <v>1125915.03</v>
      </c>
      <c r="M15" s="21">
        <f>IFERROR(VLOOKUP($A15,'PP DS Query'!$C$1:$R$1005,13,FALSE),0)</f>
        <v>0.53535822</v>
      </c>
      <c r="N15" s="250">
        <f>IFERROR(VLOOKUP($A15,'PP DS Query'!$C$1:$R$1005,14,FALSE),0)</f>
        <v>50020.44</v>
      </c>
      <c r="O15" s="57">
        <f>IFERROR(VLOOKUP($A15,'PP DS Query'!$C$1:$R$1005,4,FALSE),0)</f>
        <v>-0.02</v>
      </c>
      <c r="P15" s="250">
        <f>-IFERROR(VLOOKUP($A15,'PP DS Query'!$C$1:$R$1005,15,FALSE),0)</f>
        <v>1868.67</v>
      </c>
      <c r="Q15" s="250">
        <f>IFERROR(VLOOKUP($A15,'PP DS Query'!$C$1:$R$1005,16,FALSE),0)</f>
        <v>41241.21</v>
      </c>
      <c r="R15" s="48"/>
      <c r="S15" s="472">
        <f t="shared" si="0"/>
        <v>31142</v>
      </c>
      <c r="T15" s="472" t="s">
        <v>964</v>
      </c>
      <c r="U15" s="475">
        <f>IFERROR(VLOOKUP($S15,#REF!,8,FALSE),0)</f>
        <v>0</v>
      </c>
      <c r="V15" s="476">
        <f t="shared" si="1"/>
        <v>-93433.59</v>
      </c>
    </row>
    <row r="16" spans="1:22" ht="15.95" customHeight="1" x14ac:dyDescent="0.2">
      <c r="A16" s="49" t="s">
        <v>416</v>
      </c>
      <c r="B16" s="499">
        <f>IFERROR(VLOOKUP($A16,'PP DS Query'!$C$1:$R$1005,5,FALSE),0)</f>
        <v>2038</v>
      </c>
      <c r="C16" s="33"/>
      <c r="D16" s="34"/>
      <c r="E16" s="15"/>
      <c r="F16" s="443">
        <f>IFERROR(VLOOKUP($A16,'PP DS Query'!$C$1:$R$1005,6,FALSE),0)</f>
        <v>7047809.8899999997</v>
      </c>
      <c r="G16" s="525">
        <f>IFERROR(VLOOKUP($A16,'PP DS Query'!$C$1:$R$1005,7,FALSE),0)</f>
        <v>39.37781313</v>
      </c>
      <c r="H16" s="443">
        <f>IFERROR(VLOOKUP($A16,'PP DS Query'!$C$1:$R$1005,8,FALSE),0)</f>
        <v>277527340.85000002</v>
      </c>
      <c r="I16" s="525">
        <f>IFERROR(VLOOKUP($A16,'PP DS Query'!$C$1:$R$1005,9,FALSE),0)</f>
        <v>56.180373420000002</v>
      </c>
      <c r="J16" s="443">
        <f>IFERROR(VLOOKUP($A16,'PP DS Query'!$C$1:$R$1005,10,FALSE),0)</f>
        <v>395948591.38999999</v>
      </c>
      <c r="K16" s="525">
        <f>IFERROR(VLOOKUP($A16,'PP DS Query'!$C$1:$R$1005,11,FALSE),0)</f>
        <v>18.293443010000001</v>
      </c>
      <c r="L16" s="443">
        <f>IFERROR(VLOOKUP($A16,'PP DS Query'!$C$1:$R$1005,12,FALSE),0)</f>
        <v>128928708.56</v>
      </c>
      <c r="M16" s="445">
        <f>IFERROR(VLOOKUP($A16,'PP DS Query'!$C$1:$R$1005,13,FALSE),0)</f>
        <v>0.67108239000000003</v>
      </c>
      <c r="N16" s="443">
        <f>IFERROR(VLOOKUP($A16,'PP DS Query'!$C$1:$R$1005,14,FALSE),0)</f>
        <v>4729661.09</v>
      </c>
      <c r="O16" s="446">
        <f>IFERROR(VLOOKUP($A16,'PP DS Query'!$C$1:$R$1005,4,FALSE),0)</f>
        <v>-0.02</v>
      </c>
      <c r="P16" s="443">
        <f>-IFERROR(VLOOKUP($A16,'PP DS Query'!$C$1:$R$1005,15,FALSE),0)</f>
        <v>140956.20000000001</v>
      </c>
      <c r="Q16" s="443">
        <f>IFERROR(VLOOKUP($A16,'PP DS Query'!$C$1:$R$1005,16,FALSE),0)</f>
        <v>3899544.09</v>
      </c>
      <c r="R16" s="48"/>
      <c r="U16" s="473">
        <f>SUM(U13:U15)</f>
        <v>0</v>
      </c>
      <c r="V16" s="473">
        <f>SUM(V13:V15)</f>
        <v>-7047809.8899999997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1178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457</v>
      </c>
      <c r="B19" s="499">
        <f>IFERROR(VLOOKUP($A19,'PP DS Query'!$C$1:$R$1005,5,FALSE),0)</f>
        <v>2038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22908353.690000001</v>
      </c>
      <c r="G19" s="523">
        <f>IFERROR(VLOOKUP($A19,'PP DS Query'!$C$1:$R$1005,7,FALSE),0)</f>
        <v>28.194556469999998</v>
      </c>
      <c r="H19" s="358">
        <f>IFERROR(VLOOKUP($A19,'PP DS Query'!$C$1:$R$1005,8,FALSE),0)</f>
        <v>645890871.86000001</v>
      </c>
      <c r="I19" s="523">
        <f>IFERROR(VLOOKUP($A19,'PP DS Query'!$C$1:$R$1005,9,FALSE),0)</f>
        <v>39.47</v>
      </c>
      <c r="J19" s="358">
        <f>IFERROR(VLOOKUP($A19,'PP DS Query'!$C$1:$R$1005,10,FALSE),0)</f>
        <v>904192720.13999999</v>
      </c>
      <c r="K19" s="523">
        <f>IFERROR(VLOOKUP($A19,'PP DS Query'!$C$1:$R$1005,11,FALSE),0)</f>
        <v>18.5</v>
      </c>
      <c r="L19" s="358">
        <f>IFERROR(VLOOKUP($A19,'PP DS Query'!$C$1:$R$1005,12,FALSE),0)</f>
        <v>423804543.26999998</v>
      </c>
      <c r="M19" s="19">
        <f>IFERROR(VLOOKUP($A19,'PP DS Query'!$C$1:$R$1005,13,FALSE),0)</f>
        <v>0.55791356000000003</v>
      </c>
      <c r="N19" s="358">
        <f>IFERROR(VLOOKUP($A19,'PP DS Query'!$C$1:$R$1005,14,FALSE),0)</f>
        <v>12780881.08</v>
      </c>
      <c r="O19" s="56">
        <f>IFERROR(VLOOKUP($A19,'PP DS Query'!$C$1:$R$1005,4,FALSE),0)</f>
        <v>-0.05</v>
      </c>
      <c r="P19" s="358">
        <f>-IFERROR(VLOOKUP($A19,'PP DS Query'!$C$1:$R$1005,15,FALSE),0)</f>
        <v>1145417.68</v>
      </c>
      <c r="Q19" s="358">
        <f>IFERROR(VLOOKUP($A19,'PP DS Query'!$C$1:$R$1005,16,FALSE),0)</f>
        <v>8633702</v>
      </c>
      <c r="R19" s="48"/>
      <c r="S19" s="472">
        <f>IFERROR(ROUND(LEFT(A19,7)*100,0),0)</f>
        <v>31242</v>
      </c>
      <c r="T19" s="472" t="s">
        <v>962</v>
      </c>
      <c r="U19" s="474">
        <f>IFERROR(VLOOKUP($S19,#REF!,6,FALSE),0)</f>
        <v>0</v>
      </c>
      <c r="V19" s="473">
        <f>U19-F19</f>
        <v>-22908353.690000001</v>
      </c>
    </row>
    <row r="20" spans="1:22" ht="15.95" customHeight="1" x14ac:dyDescent="0.2">
      <c r="A20" s="49" t="s">
        <v>458</v>
      </c>
      <c r="B20" s="499">
        <f>IFERROR(VLOOKUP($A20,'PP DS Query'!$C$1:$R$1005,5,FALSE),0)</f>
        <v>2038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57509648.149999999</v>
      </c>
      <c r="G20" s="523">
        <f>IFERROR(VLOOKUP($A20,'PP DS Query'!$C$1:$R$1005,7,FALSE),0)</f>
        <v>13.804571299999999</v>
      </c>
      <c r="H20" s="358">
        <f>IFERROR(VLOOKUP($A20,'PP DS Query'!$C$1:$R$1005,8,FALSE),0)</f>
        <v>793896038.33000004</v>
      </c>
      <c r="I20" s="523">
        <f>IFERROR(VLOOKUP($A20,'PP DS Query'!$C$1:$R$1005,9,FALSE),0)</f>
        <v>29.44</v>
      </c>
      <c r="J20" s="358">
        <f>IFERROR(VLOOKUP($A20,'PP DS Query'!$C$1:$R$1005,10,FALSE),0)</f>
        <v>1693084041.54</v>
      </c>
      <c r="K20" s="523">
        <f>IFERROR(VLOOKUP($A20,'PP DS Query'!$C$1:$R$1005,11,FALSE),0)</f>
        <v>16.597998</v>
      </c>
      <c r="L20" s="358">
        <f>IFERROR(VLOOKUP($A20,'PP DS Query'!$C$1:$R$1005,12,FALSE),0)</f>
        <v>954545024.97000003</v>
      </c>
      <c r="M20" s="19">
        <f>IFERROR(VLOOKUP($A20,'PP DS Query'!$C$1:$R$1005,13,FALSE),0)</f>
        <v>0.45809833999999999</v>
      </c>
      <c r="N20" s="358">
        <f>IFERROR(VLOOKUP($A20,'PP DS Query'!$C$1:$R$1005,14,FALSE),0)</f>
        <v>26345074.350000001</v>
      </c>
      <c r="O20" s="56">
        <f>IFERROR(VLOOKUP($A20,'PP DS Query'!$C$1:$R$1005,4,FALSE),0)</f>
        <v>-0.05</v>
      </c>
      <c r="P20" s="358">
        <f>-IFERROR(VLOOKUP($A20,'PP DS Query'!$C$1:$R$1005,15,FALSE),0)</f>
        <v>2875482.41</v>
      </c>
      <c r="Q20" s="358">
        <f>IFERROR(VLOOKUP($A20,'PP DS Query'!$C$1:$R$1005,16,FALSE),0)</f>
        <v>17796544.68</v>
      </c>
      <c r="R20" s="48"/>
      <c r="S20" s="472">
        <f t="shared" ref="S20:S21" si="2">IFERROR(ROUND(LEFT(A20,7)*100,0),0)</f>
        <v>31242</v>
      </c>
      <c r="T20" s="472" t="s">
        <v>963</v>
      </c>
      <c r="U20" s="474">
        <f>IFERROR(VLOOKUP($S20,#REF!,7,FALSE),0)</f>
        <v>0</v>
      </c>
      <c r="V20" s="473">
        <f t="shared" ref="V20:V21" si="3">U20-F20</f>
        <v>-57509648.149999999</v>
      </c>
    </row>
    <row r="21" spans="1:22" ht="15.95" customHeight="1" thickBot="1" x14ac:dyDescent="0.25">
      <c r="A21" s="49" t="s">
        <v>459</v>
      </c>
      <c r="B21" s="499">
        <f>IFERROR(VLOOKUP($A21,'PP DS Query'!$C$1:$R$1005,5,FALSE),0)</f>
        <v>2038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5676072.9400000004</v>
      </c>
      <c r="G21" s="524">
        <f>IFERROR(VLOOKUP($A21,'PP DS Query'!$C$1:$R$1005,7,FALSE),0)</f>
        <v>11.82291405</v>
      </c>
      <c r="H21" s="250">
        <f>IFERROR(VLOOKUP($A21,'PP DS Query'!$C$1:$R$1005,8,FALSE),0)</f>
        <v>67107722.530000001</v>
      </c>
      <c r="I21" s="524">
        <f>IFERROR(VLOOKUP($A21,'PP DS Query'!$C$1:$R$1005,9,FALSE),0)</f>
        <v>19.91</v>
      </c>
      <c r="J21" s="250">
        <f>IFERROR(VLOOKUP($A21,'PP DS Query'!$C$1:$R$1005,10,FALSE),0)</f>
        <v>113010612.23999999</v>
      </c>
      <c r="K21" s="524">
        <f>IFERROR(VLOOKUP($A21,'PP DS Query'!$C$1:$R$1005,11,FALSE),0)</f>
        <v>9.7497299999999996</v>
      </c>
      <c r="L21" s="250">
        <f>IFERROR(VLOOKUP($A21,'PP DS Query'!$C$1:$R$1005,12,FALSE),0)</f>
        <v>55340178.630000003</v>
      </c>
      <c r="M21" s="21">
        <f>IFERROR(VLOOKUP($A21,'PP DS Query'!$C$1:$R$1005,13,FALSE),0)</f>
        <v>0.54337886999999996</v>
      </c>
      <c r="N21" s="250">
        <f>IFERROR(VLOOKUP($A21,'PP DS Query'!$C$1:$R$1005,14,FALSE),0)</f>
        <v>3084258.08</v>
      </c>
      <c r="O21" s="57">
        <f>IFERROR(VLOOKUP($A21,'PP DS Query'!$C$1:$R$1005,4,FALSE),0)</f>
        <v>-0.05</v>
      </c>
      <c r="P21" s="250">
        <f>-IFERROR(VLOOKUP($A21,'PP DS Query'!$C$1:$R$1005,15,FALSE),0)</f>
        <v>283803.65000000002</v>
      </c>
      <c r="Q21" s="250">
        <f>IFERROR(VLOOKUP($A21,'PP DS Query'!$C$1:$R$1005,16,FALSE),0)</f>
        <v>2083468.66</v>
      </c>
      <c r="R21" s="48"/>
      <c r="S21" s="472">
        <f t="shared" si="2"/>
        <v>31242</v>
      </c>
      <c r="T21" s="472" t="s">
        <v>964</v>
      </c>
      <c r="U21" s="475">
        <f>IFERROR(VLOOKUP($S21,#REF!,8,FALSE),0)</f>
        <v>0</v>
      </c>
      <c r="V21" s="476">
        <f t="shared" si="3"/>
        <v>-5676072.9400000004</v>
      </c>
    </row>
    <row r="22" spans="1:22" ht="15.95" customHeight="1" x14ac:dyDescent="0.2">
      <c r="A22" s="49" t="s">
        <v>460</v>
      </c>
      <c r="B22" s="499">
        <f>IFERROR(VLOOKUP($A22,'PP DS Query'!$C$1:$R$1005,5,FALSE),0)</f>
        <v>2038</v>
      </c>
      <c r="C22" s="33"/>
      <c r="D22" s="34"/>
      <c r="E22" s="15"/>
      <c r="F22" s="443">
        <f>IFERROR(VLOOKUP($A22,'PP DS Query'!$C$1:$R$1005,6,FALSE),0)</f>
        <v>86094074.780000001</v>
      </c>
      <c r="G22" s="525">
        <f>IFERROR(VLOOKUP($A22,'PP DS Query'!$C$1:$R$1005,7,FALSE),0)</f>
        <v>17.502884330000001</v>
      </c>
      <c r="H22" s="443">
        <f>IFERROR(VLOOKUP($A22,'PP DS Query'!$C$1:$R$1005,8,FALSE),0)</f>
        <v>1506894632.71</v>
      </c>
      <c r="I22" s="525">
        <f>IFERROR(VLOOKUP($A22,'PP DS Query'!$C$1:$R$1005,9,FALSE),0)</f>
        <v>31.480533139999999</v>
      </c>
      <c r="J22" s="443">
        <f>IFERROR(VLOOKUP($A22,'PP DS Query'!$C$1:$R$1005,10,FALSE),0)</f>
        <v>2710287373.9200001</v>
      </c>
      <c r="K22" s="525">
        <f>IFERROR(VLOOKUP($A22,'PP DS Query'!$C$1:$R$1005,11,FALSE),0)</f>
        <v>16.652594860000001</v>
      </c>
      <c r="L22" s="443">
        <f>IFERROR(VLOOKUP($A22,'PP DS Query'!$C$1:$R$1005,12,FALSE),0)</f>
        <v>1433689746.8599999</v>
      </c>
      <c r="M22" s="445">
        <f>IFERROR(VLOOKUP($A22,'PP DS Query'!$C$1:$R$1005,13,FALSE),0)</f>
        <v>0.49028011999999999</v>
      </c>
      <c r="N22" s="443">
        <f>IFERROR(VLOOKUP($A22,'PP DS Query'!$C$1:$R$1005,14,FALSE),0)</f>
        <v>42210213.509999998</v>
      </c>
      <c r="O22" s="446">
        <f>IFERROR(VLOOKUP($A22,'PP DS Query'!$C$1:$R$1005,4,FALSE),0)</f>
        <v>-0.05</v>
      </c>
      <c r="P22" s="443">
        <f>-IFERROR(VLOOKUP($A22,'PP DS Query'!$C$1:$R$1005,15,FALSE),0)</f>
        <v>4304703.74</v>
      </c>
      <c r="Q22" s="443">
        <f>IFERROR(VLOOKUP($A22,'PP DS Query'!$C$1:$R$1005,16,FALSE),0)</f>
        <v>28513715.34</v>
      </c>
      <c r="R22" s="48"/>
      <c r="U22" s="473">
        <f>SUM(U19:U21)</f>
        <v>0</v>
      </c>
      <c r="V22" s="473">
        <f>SUM(V19:V21)</f>
        <v>-86094074.780000001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9"/>
      <c r="C24" s="232" t="s">
        <v>1179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49" t="s">
        <v>501</v>
      </c>
      <c r="B25" s="499">
        <f>IFERROR(VLOOKUP($A25,'PP DS Query'!$C$1:$R$1005,5,FALSE),0)</f>
        <v>2038</v>
      </c>
      <c r="C25" s="33">
        <f>IFERROR(VLOOKUP($A25,'PP DS Query'!$C$1:$R$1005,3,FALSE),0)</f>
        <v>65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15280310.33</v>
      </c>
      <c r="G25" s="523">
        <f>IFERROR(VLOOKUP($A25,'PP DS Query'!$C$1:$R$1005,7,FALSE),0)</f>
        <v>27.60875733</v>
      </c>
      <c r="H25" s="358">
        <f>IFERROR(VLOOKUP($A25,'PP DS Query'!$C$1:$R$1005,8,FALSE),0)</f>
        <v>421870379.75999999</v>
      </c>
      <c r="I25" s="523">
        <f>IFERROR(VLOOKUP($A25,'PP DS Query'!$C$1:$R$1005,9,FALSE),0)</f>
        <v>38.119999999999997</v>
      </c>
      <c r="J25" s="358">
        <f>IFERROR(VLOOKUP($A25,'PP DS Query'!$C$1:$R$1005,10,FALSE),0)</f>
        <v>582485429.77999997</v>
      </c>
      <c r="K25" s="523">
        <f>IFERROR(VLOOKUP($A25,'PP DS Query'!$C$1:$R$1005,11,FALSE),0)</f>
        <v>18.5</v>
      </c>
      <c r="L25" s="358">
        <f>IFERROR(VLOOKUP($A25,'PP DS Query'!$C$1:$R$1005,12,FALSE),0)</f>
        <v>282685741.11000001</v>
      </c>
      <c r="M25" s="19">
        <f>IFERROR(VLOOKUP($A25,'PP DS Query'!$C$1:$R$1005,13,FALSE),0)</f>
        <v>0.54562834000000004</v>
      </c>
      <c r="N25" s="358">
        <f>IFERROR(VLOOKUP($A25,'PP DS Query'!$C$1:$R$1005,14,FALSE),0)</f>
        <v>8337370.3899999997</v>
      </c>
      <c r="O25" s="56">
        <f>IFERROR(VLOOKUP($A25,'PP DS Query'!$C$1:$R$1005,4,FALSE),0)</f>
        <v>-0.06</v>
      </c>
      <c r="P25" s="358">
        <f>-IFERROR(VLOOKUP($A25,'PP DS Query'!$C$1:$R$1005,15,FALSE),0)</f>
        <v>916818.62</v>
      </c>
      <c r="Q25" s="358">
        <f>IFERROR(VLOOKUP($A25,'PP DS Query'!$C$1:$R$1005,16,FALSE),0)</f>
        <v>7326777.25</v>
      </c>
      <c r="R25" s="48"/>
      <c r="S25" s="472">
        <f>IFERROR(ROUND(LEFT(A25,7)*100,0),0)</f>
        <v>31442</v>
      </c>
      <c r="T25" s="472" t="s">
        <v>962</v>
      </c>
      <c r="U25" s="474">
        <f>IFERROR(VLOOKUP($S25,#REF!,6,FALSE),0)</f>
        <v>0</v>
      </c>
      <c r="V25" s="473">
        <f>U25-F25</f>
        <v>-15280310.33</v>
      </c>
    </row>
    <row r="26" spans="1:22" ht="15.95" customHeight="1" x14ac:dyDescent="0.2">
      <c r="A26" s="49" t="s">
        <v>502</v>
      </c>
      <c r="B26" s="499">
        <f>IFERROR(VLOOKUP($A26,'PP DS Query'!$C$1:$R$1005,5,FALSE),0)</f>
        <v>2038</v>
      </c>
      <c r="C26" s="33">
        <f>IFERROR(VLOOKUP($A26,'PP DS Query'!$C$1:$R$1005,3,FALSE),0)</f>
        <v>35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20078633.170000002</v>
      </c>
      <c r="G26" s="523">
        <f>IFERROR(VLOOKUP($A26,'PP DS Query'!$C$1:$R$1005,7,FALSE),0)</f>
        <v>16.206143860000001</v>
      </c>
      <c r="H26" s="358">
        <f>IFERROR(VLOOKUP($A26,'PP DS Query'!$C$1:$R$1005,8,FALSE),0)</f>
        <v>325397217.70999998</v>
      </c>
      <c r="I26" s="523">
        <f>IFERROR(VLOOKUP($A26,'PP DS Query'!$C$1:$R$1005,9,FALSE),0)</f>
        <v>28</v>
      </c>
      <c r="J26" s="358">
        <f>IFERROR(VLOOKUP($A26,'PP DS Query'!$C$1:$R$1005,10,FALSE),0)</f>
        <v>562201728.75999999</v>
      </c>
      <c r="K26" s="523">
        <f>IFERROR(VLOOKUP($A26,'PP DS Query'!$C$1:$R$1005,11,FALSE),0)</f>
        <v>15.3504</v>
      </c>
      <c r="L26" s="358">
        <f>IFERROR(VLOOKUP($A26,'PP DS Query'!$C$1:$R$1005,12,FALSE),0)</f>
        <v>308215050.61000001</v>
      </c>
      <c r="M26" s="19">
        <f>IFERROR(VLOOKUP($A26,'PP DS Query'!$C$1:$R$1005,13,FALSE),0)</f>
        <v>0.4788694</v>
      </c>
      <c r="N26" s="358">
        <f>IFERROR(VLOOKUP($A26,'PP DS Query'!$C$1:$R$1005,14,FALSE),0)</f>
        <v>9615042.9700000007</v>
      </c>
      <c r="O26" s="56">
        <f>IFERROR(VLOOKUP($A26,'PP DS Query'!$C$1:$R$1005,4,FALSE),0)</f>
        <v>-0.06</v>
      </c>
      <c r="P26" s="358">
        <f>-IFERROR(VLOOKUP($A26,'PP DS Query'!$C$1:$R$1005,15,FALSE),0)</f>
        <v>1204717.99</v>
      </c>
      <c r="Q26" s="358">
        <f>IFERROR(VLOOKUP($A26,'PP DS Query'!$C$1:$R$1005,16,FALSE),0)</f>
        <v>8449580</v>
      </c>
      <c r="R26" s="48"/>
      <c r="S26" s="472">
        <f t="shared" ref="S26:S27" si="4">IFERROR(ROUND(LEFT(A26,7)*100,0),0)</f>
        <v>31442</v>
      </c>
      <c r="T26" s="472" t="s">
        <v>963</v>
      </c>
      <c r="U26" s="474">
        <f>IFERROR(VLOOKUP($S26,#REF!,7,FALSE),0)</f>
        <v>0</v>
      </c>
      <c r="V26" s="473">
        <f t="shared" ref="V26:V27" si="5">U26-F26</f>
        <v>-20078633.170000002</v>
      </c>
    </row>
    <row r="27" spans="1:22" ht="15.95" customHeight="1" thickBot="1" x14ac:dyDescent="0.25">
      <c r="A27" s="49" t="s">
        <v>503</v>
      </c>
      <c r="B27" s="499">
        <f>IFERROR(VLOOKUP($A27,'PP DS Query'!$C$1:$R$1005,5,FALSE),0)</f>
        <v>2038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15432232.42</v>
      </c>
      <c r="G27" s="524">
        <f>IFERROR(VLOOKUP($A27,'PP DS Query'!$C$1:$R$1005,7,FALSE),0)</f>
        <v>11.62602519</v>
      </c>
      <c r="H27" s="250">
        <f>IFERROR(VLOOKUP($A27,'PP DS Query'!$C$1:$R$1005,8,FALSE),0)</f>
        <v>179415522.81999999</v>
      </c>
      <c r="I27" s="524">
        <f>IFERROR(VLOOKUP($A27,'PP DS Query'!$C$1:$R$1005,9,FALSE),0)</f>
        <v>19.989999999999998</v>
      </c>
      <c r="J27" s="250">
        <f>IFERROR(VLOOKUP($A27,'PP DS Query'!$C$1:$R$1005,10,FALSE),0)</f>
        <v>308490326.07999998</v>
      </c>
      <c r="K27" s="524">
        <f>IFERROR(VLOOKUP($A27,'PP DS Query'!$C$1:$R$1005,11,FALSE),0)</f>
        <v>9.7098049999999994</v>
      </c>
      <c r="L27" s="250">
        <f>IFERROR(VLOOKUP($A27,'PP DS Query'!$C$1:$R$1005,12,FALSE),0)</f>
        <v>149843967.50999999</v>
      </c>
      <c r="M27" s="21">
        <f>IFERROR(VLOOKUP($A27,'PP DS Query'!$C$1:$R$1005,13,FALSE),0)</f>
        <v>0.54544334000000005</v>
      </c>
      <c r="N27" s="250">
        <f>IFERROR(VLOOKUP($A27,'PP DS Query'!$C$1:$R$1005,14,FALSE),0)</f>
        <v>8417408.4000000004</v>
      </c>
      <c r="O27" s="57">
        <f>IFERROR(VLOOKUP($A27,'PP DS Query'!$C$1:$R$1005,4,FALSE),0)</f>
        <v>-0.06</v>
      </c>
      <c r="P27" s="250">
        <f>-IFERROR(VLOOKUP($A27,'PP DS Query'!$C$1:$R$1005,15,FALSE),0)</f>
        <v>925933.95</v>
      </c>
      <c r="Q27" s="250">
        <f>IFERROR(VLOOKUP($A27,'PP DS Query'!$C$1:$R$1005,16,FALSE),0)</f>
        <v>7397113.6699999999</v>
      </c>
      <c r="R27" s="48"/>
      <c r="S27" s="472">
        <f t="shared" si="4"/>
        <v>31442</v>
      </c>
      <c r="T27" s="472" t="s">
        <v>964</v>
      </c>
      <c r="U27" s="475">
        <f>IFERROR(VLOOKUP($S27,#REF!,8,FALSE),0)</f>
        <v>0</v>
      </c>
      <c r="V27" s="476">
        <f t="shared" si="5"/>
        <v>-15432232.42</v>
      </c>
    </row>
    <row r="28" spans="1:22" ht="15.95" customHeight="1" x14ac:dyDescent="0.2">
      <c r="A28" s="49" t="s">
        <v>504</v>
      </c>
      <c r="B28" s="499">
        <f>IFERROR(VLOOKUP($A28,'PP DS Query'!$C$1:$R$1005,5,FALSE),0)</f>
        <v>2038</v>
      </c>
      <c r="C28" s="33"/>
      <c r="D28" s="34"/>
      <c r="E28" s="15"/>
      <c r="F28" s="443">
        <f>IFERROR(VLOOKUP($A28,'PP DS Query'!$C$1:$R$1005,6,FALSE),0)</f>
        <v>50791175.920000002</v>
      </c>
      <c r="G28" s="525">
        <f>IFERROR(VLOOKUP($A28,'PP DS Query'!$C$1:$R$1005,7,FALSE),0)</f>
        <v>18.244962900000001</v>
      </c>
      <c r="H28" s="443">
        <f>IFERROR(VLOOKUP($A28,'PP DS Query'!$C$1:$R$1005,8,FALSE),0)</f>
        <v>926683120.27999997</v>
      </c>
      <c r="I28" s="525">
        <f>IFERROR(VLOOKUP($A28,'PP DS Query'!$C$1:$R$1005,9,FALSE),0)</f>
        <v>28.610825760000001</v>
      </c>
      <c r="J28" s="443">
        <f>IFERROR(VLOOKUP($A28,'PP DS Query'!$C$1:$R$1005,10,FALSE),0)</f>
        <v>1453177484.6199999</v>
      </c>
      <c r="K28" s="525">
        <f>IFERROR(VLOOKUP($A28,'PP DS Query'!$C$1:$R$1005,11,FALSE),0)</f>
        <v>14.584123050000001</v>
      </c>
      <c r="L28" s="443">
        <f>IFERROR(VLOOKUP($A28,'PP DS Query'!$C$1:$R$1005,12,FALSE),0)</f>
        <v>740744759.23000002</v>
      </c>
      <c r="M28" s="445">
        <f>IFERROR(VLOOKUP($A28,'PP DS Query'!$C$1:$R$1005,13,FALSE),0)</f>
        <v>0.51918116000000003</v>
      </c>
      <c r="N28" s="443">
        <f>IFERROR(VLOOKUP($A28,'PP DS Query'!$C$1:$R$1005,14,FALSE),0)</f>
        <v>26369821.760000002</v>
      </c>
      <c r="O28" s="446">
        <f>IFERROR(VLOOKUP($A28,'PP DS Query'!$C$1:$R$1005,4,FALSE),0)</f>
        <v>-0.06</v>
      </c>
      <c r="P28" s="443">
        <f>-IFERROR(VLOOKUP($A28,'PP DS Query'!$C$1:$R$1005,15,FALSE),0)</f>
        <v>3047470.56</v>
      </c>
      <c r="Q28" s="443">
        <f>IFERROR(VLOOKUP($A28,'PP DS Query'!$C$1:$R$1005,16,FALSE),0)</f>
        <v>23173470.920000002</v>
      </c>
      <c r="R28" s="48"/>
      <c r="U28" s="473">
        <f>SUM(U25:U27)</f>
        <v>0</v>
      </c>
      <c r="V28" s="473">
        <f>SUM(V25:V27)</f>
        <v>-50791175.920000002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1180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521</v>
      </c>
      <c r="B31" s="499">
        <f>IFERROR(VLOOKUP($A31,'PP DS Query'!$C$1:$R$1005,5,FALSE),0)</f>
        <v>2038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2156510.69</v>
      </c>
      <c r="G31" s="523">
        <f>IFERROR(VLOOKUP($A31,'PP DS Query'!$C$1:$R$1005,7,FALSE),0)</f>
        <v>38.600202930000002</v>
      </c>
      <c r="H31" s="358">
        <f>IFERROR(VLOOKUP($A31,'PP DS Query'!$C$1:$R$1005,8,FALSE),0)</f>
        <v>83241750.269999996</v>
      </c>
      <c r="I31" s="523">
        <f>IFERROR(VLOOKUP($A31,'PP DS Query'!$C$1:$R$1005,9,FALSE),0)</f>
        <v>51.3</v>
      </c>
      <c r="J31" s="358">
        <f>IFERROR(VLOOKUP($A31,'PP DS Query'!$C$1:$R$1005,10,FALSE),0)</f>
        <v>110628998.40000001</v>
      </c>
      <c r="K31" s="523">
        <f>IFERROR(VLOOKUP($A31,'PP DS Query'!$C$1:$R$1005,11,FALSE),0)</f>
        <v>18.5</v>
      </c>
      <c r="L31" s="358">
        <f>IFERROR(VLOOKUP($A31,'PP DS Query'!$C$1:$R$1005,12,FALSE),0)</f>
        <v>39895447.770000003</v>
      </c>
      <c r="M31" s="19">
        <f>IFERROR(VLOOKUP($A31,'PP DS Query'!$C$1:$R$1005,13,FALSE),0)</f>
        <v>0.67132711</v>
      </c>
      <c r="N31" s="358">
        <f>IFERROR(VLOOKUP($A31,'PP DS Query'!$C$1:$R$1005,14,FALSE),0)</f>
        <v>1447724.08</v>
      </c>
      <c r="O31" s="56">
        <f>IFERROR(VLOOKUP($A31,'PP DS Query'!$C$1:$R$1005,4,FALSE),0)</f>
        <v>-0.05</v>
      </c>
      <c r="P31" s="358">
        <f>-IFERROR(VLOOKUP($A31,'PP DS Query'!$C$1:$R$1005,15,FALSE),0)</f>
        <v>107825.53</v>
      </c>
      <c r="Q31" s="358">
        <f>IFERROR(VLOOKUP($A31,'PP DS Query'!$C$1:$R$1005,16,FALSE),0)</f>
        <v>1104991.6200000001</v>
      </c>
      <c r="R31" s="48"/>
      <c r="S31" s="472">
        <f>IFERROR(ROUND(LEFT(A31,7)*100,0),0)</f>
        <v>31542</v>
      </c>
      <c r="T31" s="472" t="s">
        <v>962</v>
      </c>
      <c r="U31" s="474">
        <f>IFERROR(VLOOKUP($S31,#REF!,6,FALSE),0)</f>
        <v>0</v>
      </c>
      <c r="V31" s="473">
        <f>U31-F31</f>
        <v>-2156510.69</v>
      </c>
    </row>
    <row r="32" spans="1:22" ht="15.95" customHeight="1" x14ac:dyDescent="0.2">
      <c r="A32" s="49" t="s">
        <v>522</v>
      </c>
      <c r="B32" s="499">
        <f>IFERROR(VLOOKUP($A32,'PP DS Query'!$C$1:$R$1005,5,FALSE),0)</f>
        <v>2038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7993322.4100000001</v>
      </c>
      <c r="G32" s="523">
        <f>IFERROR(VLOOKUP($A32,'PP DS Query'!$C$1:$R$1005,7,FALSE),0)</f>
        <v>18.370243869999999</v>
      </c>
      <c r="H32" s="358">
        <f>IFERROR(VLOOKUP($A32,'PP DS Query'!$C$1:$R$1005,8,FALSE),0)</f>
        <v>146839282.02000001</v>
      </c>
      <c r="I32" s="523">
        <f>IFERROR(VLOOKUP($A32,'PP DS Query'!$C$1:$R$1005,9,FALSE),0)</f>
        <v>27.87</v>
      </c>
      <c r="J32" s="358">
        <f>IFERROR(VLOOKUP($A32,'PP DS Query'!$C$1:$R$1005,10,FALSE),0)</f>
        <v>222773895.56999999</v>
      </c>
      <c r="K32" s="523">
        <f>IFERROR(VLOOKUP($A32,'PP DS Query'!$C$1:$R$1005,11,FALSE),0)</f>
        <v>14.369527</v>
      </c>
      <c r="L32" s="358">
        <f>IFERROR(VLOOKUP($A32,'PP DS Query'!$C$1:$R$1005,12,FALSE),0)</f>
        <v>114860262.19</v>
      </c>
      <c r="M32" s="19">
        <f>IFERROR(VLOOKUP($A32,'PP DS Query'!$C$1:$R$1005,13,FALSE),0)</f>
        <v>0.50858431999999998</v>
      </c>
      <c r="N32" s="358">
        <f>IFERROR(VLOOKUP($A32,'PP DS Query'!$C$1:$R$1005,14,FALSE),0)</f>
        <v>4065278.48</v>
      </c>
      <c r="O32" s="56">
        <f>IFERROR(VLOOKUP($A32,'PP DS Query'!$C$1:$R$1005,4,FALSE),0)</f>
        <v>-0.05</v>
      </c>
      <c r="P32" s="358">
        <f>-IFERROR(VLOOKUP($A32,'PP DS Query'!$C$1:$R$1005,15,FALSE),0)</f>
        <v>399666.12</v>
      </c>
      <c r="Q32" s="358">
        <f>IFERROR(VLOOKUP($A32,'PP DS Query'!$C$1:$R$1005,16,FALSE),0)</f>
        <v>3102869.32</v>
      </c>
      <c r="R32" s="48"/>
      <c r="S32" s="472">
        <f t="shared" ref="S32:S33" si="6">IFERROR(ROUND(LEFT(A32,7)*100,0),0)</f>
        <v>31542</v>
      </c>
      <c r="T32" s="472" t="s">
        <v>963</v>
      </c>
      <c r="U32" s="474">
        <f>IFERROR(VLOOKUP($S32,#REF!,7,FALSE),0)</f>
        <v>0</v>
      </c>
      <c r="V32" s="473">
        <f t="shared" ref="V32:V33" si="7">U32-F32</f>
        <v>-7993322.4100000001</v>
      </c>
    </row>
    <row r="33" spans="1:22" ht="15.95" customHeight="1" thickBot="1" x14ac:dyDescent="0.25">
      <c r="A33" s="49" t="s">
        <v>523</v>
      </c>
      <c r="B33" s="499">
        <f>IFERROR(VLOOKUP($A33,'PP DS Query'!$C$1:$R$1005,5,FALSE),0)</f>
        <v>2038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8720225.2699999996</v>
      </c>
      <c r="G33" s="524">
        <f>IFERROR(VLOOKUP($A33,'PP DS Query'!$C$1:$R$1005,7,FALSE),0)</f>
        <v>8.0731098699999997</v>
      </c>
      <c r="H33" s="250">
        <f>IFERROR(VLOOKUP($A33,'PP DS Query'!$C$1:$R$1005,8,FALSE),0)</f>
        <v>70399336.709999993</v>
      </c>
      <c r="I33" s="524">
        <f>IFERROR(VLOOKUP($A33,'PP DS Query'!$C$1:$R$1005,9,FALSE),0)</f>
        <v>19.68</v>
      </c>
      <c r="J33" s="250">
        <f>IFERROR(VLOOKUP($A33,'PP DS Query'!$C$1:$R$1005,10,FALSE),0)</f>
        <v>171614033.31</v>
      </c>
      <c r="K33" s="524">
        <f>IFERROR(VLOOKUP($A33,'PP DS Query'!$C$1:$R$1005,11,FALSE),0)</f>
        <v>11.827126</v>
      </c>
      <c r="L33" s="250">
        <f>IFERROR(VLOOKUP($A33,'PP DS Query'!$C$1:$R$1005,12,FALSE),0)</f>
        <v>103135203.02</v>
      </c>
      <c r="M33" s="21">
        <f>IFERROR(VLOOKUP($A33,'PP DS Query'!$C$1:$R$1005,13,FALSE),0)</f>
        <v>0.41887601000000002</v>
      </c>
      <c r="N33" s="250">
        <f>IFERROR(VLOOKUP($A33,'PP DS Query'!$C$1:$R$1005,14,FALSE),0)</f>
        <v>3652693.14</v>
      </c>
      <c r="O33" s="57">
        <f>IFERROR(VLOOKUP($A33,'PP DS Query'!$C$1:$R$1005,4,FALSE),0)</f>
        <v>-0.05</v>
      </c>
      <c r="P33" s="250">
        <f>-IFERROR(VLOOKUP($A33,'PP DS Query'!$C$1:$R$1005,15,FALSE),0)</f>
        <v>436011.26</v>
      </c>
      <c r="Q33" s="250">
        <f>IFERROR(VLOOKUP($A33,'PP DS Query'!$C$1:$R$1005,16,FALSE),0)</f>
        <v>2787958.94</v>
      </c>
      <c r="R33" s="48"/>
      <c r="S33" s="472">
        <f t="shared" si="6"/>
        <v>31542</v>
      </c>
      <c r="T33" s="472" t="s">
        <v>964</v>
      </c>
      <c r="U33" s="475">
        <f>IFERROR(VLOOKUP($S33,#REF!,8,FALSE),0)</f>
        <v>0</v>
      </c>
      <c r="V33" s="476">
        <f t="shared" si="7"/>
        <v>-8720225.2699999996</v>
      </c>
    </row>
    <row r="34" spans="1:22" ht="15.95" customHeight="1" x14ac:dyDescent="0.2">
      <c r="A34" s="49" t="s">
        <v>524</v>
      </c>
      <c r="B34" s="499">
        <f>IFERROR(VLOOKUP($A34,'PP DS Query'!$C$1:$R$1005,5,FALSE),0)</f>
        <v>2038</v>
      </c>
      <c r="C34" s="33"/>
      <c r="D34" s="34"/>
      <c r="E34" s="15"/>
      <c r="F34" s="443">
        <f>IFERROR(VLOOKUP($A34,'PP DS Query'!$C$1:$R$1005,6,FALSE),0)</f>
        <v>18870058.370000001</v>
      </c>
      <c r="G34" s="525">
        <f>IFERROR(VLOOKUP($A34,'PP DS Query'!$C$1:$R$1005,7,FALSE),0)</f>
        <v>15.92365869</v>
      </c>
      <c r="H34" s="443">
        <f>IFERROR(VLOOKUP($A34,'PP DS Query'!$C$1:$R$1005,8,FALSE),0)</f>
        <v>300480368.99000001</v>
      </c>
      <c r="I34" s="525">
        <f>IFERROR(VLOOKUP($A34,'PP DS Query'!$C$1:$R$1005,9,FALSE),0)</f>
        <v>26.76287044</v>
      </c>
      <c r="J34" s="443">
        <f>IFERROR(VLOOKUP($A34,'PP DS Query'!$C$1:$R$1005,10,FALSE),0)</f>
        <v>505016927.27999997</v>
      </c>
      <c r="K34" s="525">
        <f>IFERROR(VLOOKUP($A34,'PP DS Query'!$C$1:$R$1005,11,FALSE),0)</f>
        <v>13.66667277</v>
      </c>
      <c r="L34" s="443">
        <f>IFERROR(VLOOKUP($A34,'PP DS Query'!$C$1:$R$1005,12,FALSE),0)</f>
        <v>257890912.97</v>
      </c>
      <c r="M34" s="445">
        <f>IFERROR(VLOOKUP($A34,'PP DS Query'!$C$1:$R$1005,13,FALSE),0)</f>
        <v>0.48572694</v>
      </c>
      <c r="N34" s="443">
        <f>IFERROR(VLOOKUP($A34,'PP DS Query'!$C$1:$R$1005,14,FALSE),0)</f>
        <v>9165695.6999999993</v>
      </c>
      <c r="O34" s="446">
        <f>IFERROR(VLOOKUP($A34,'PP DS Query'!$C$1:$R$1005,4,FALSE),0)</f>
        <v>-0.05</v>
      </c>
      <c r="P34" s="443">
        <f>-IFERROR(VLOOKUP($A34,'PP DS Query'!$C$1:$R$1005,15,FALSE),0)</f>
        <v>943502.92</v>
      </c>
      <c r="Q34" s="443">
        <f>IFERROR(VLOOKUP($A34,'PP DS Query'!$C$1:$R$1005,16,FALSE),0)</f>
        <v>6995819.8799999999</v>
      </c>
      <c r="R34" s="48"/>
      <c r="U34" s="473">
        <f>SUM(U31:U33)</f>
        <v>0</v>
      </c>
      <c r="V34" s="473">
        <f>SUM(V31:V33)</f>
        <v>-18870058.369999997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1181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565</v>
      </c>
      <c r="B37" s="499">
        <f>IFERROR(VLOOKUP($A37,'PP DS Query'!$C$1:$R$1005,5,FALSE),0)</f>
        <v>2038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195450.09</v>
      </c>
      <c r="G37" s="523">
        <f>IFERROR(VLOOKUP($A37,'PP DS Query'!$C$1:$R$1005,7,FALSE),0)</f>
        <v>44.07668692</v>
      </c>
      <c r="H37" s="358">
        <f>IFERROR(VLOOKUP($A37,'PP DS Query'!$C$1:$R$1005,8,FALSE),0)</f>
        <v>8614792.4299999997</v>
      </c>
      <c r="I37" s="523">
        <f>IFERROR(VLOOKUP($A37,'PP DS Query'!$C$1:$R$1005,9,FALSE),0)</f>
        <v>59.8</v>
      </c>
      <c r="J37" s="358">
        <f>IFERROR(VLOOKUP($A37,'PP DS Query'!$C$1:$R$1005,10,FALSE),0)</f>
        <v>11687915.380000001</v>
      </c>
      <c r="K37" s="523">
        <f>IFERROR(VLOOKUP($A37,'PP DS Query'!$C$1:$R$1005,11,FALSE),0)</f>
        <v>18.5</v>
      </c>
      <c r="L37" s="358">
        <f>IFERROR(VLOOKUP($A37,'PP DS Query'!$C$1:$R$1005,12,FALSE),0)</f>
        <v>3615826.67</v>
      </c>
      <c r="M37" s="19">
        <f>IFERROR(VLOOKUP($A37,'PP DS Query'!$C$1:$R$1005,13,FALSE),0)</f>
        <v>0.70442371999999998</v>
      </c>
      <c r="N37" s="358">
        <f>IFERROR(VLOOKUP($A37,'PP DS Query'!$C$1:$R$1005,14,FALSE),0)</f>
        <v>137679.67999999999</v>
      </c>
      <c r="O37" s="56">
        <f>IFERROR(VLOOKUP($A37,'PP DS Query'!$C$1:$R$1005,4,FALSE),0)</f>
        <v>-0.02</v>
      </c>
      <c r="P37" s="358">
        <f>-IFERROR(VLOOKUP($A37,'PP DS Query'!$C$1:$R$1005,15,FALSE),0)</f>
        <v>3909</v>
      </c>
      <c r="Q37" s="358">
        <f>IFERROR(VLOOKUP($A37,'PP DS Query'!$C$1:$R$1005,16,FALSE),0)</f>
        <v>156140.12</v>
      </c>
      <c r="R37" s="48"/>
      <c r="S37" s="472">
        <f>IFERROR(ROUND(LEFT(A37,7)*100,0),0)</f>
        <v>31642</v>
      </c>
      <c r="T37" s="472" t="s">
        <v>962</v>
      </c>
      <c r="U37" s="474">
        <f>IFERROR(VLOOKUP($S37,#REF!,6,FALSE),0)</f>
        <v>0</v>
      </c>
      <c r="V37" s="473">
        <f>U37-F37</f>
        <v>-195450.09</v>
      </c>
    </row>
    <row r="38" spans="1:22" ht="15.95" customHeight="1" x14ac:dyDescent="0.2">
      <c r="A38" s="49" t="s">
        <v>566</v>
      </c>
      <c r="B38" s="499">
        <f>IFERROR(VLOOKUP($A38,'PP DS Query'!$C$1:$R$1005,5,FALSE),0)</f>
        <v>2038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335584.25</v>
      </c>
      <c r="G38" s="523">
        <f>IFERROR(VLOOKUP($A38,'PP DS Query'!$C$1:$R$1005,7,FALSE),0)</f>
        <v>29.617114409999999</v>
      </c>
      <c r="H38" s="358">
        <f>IFERROR(VLOOKUP($A38,'PP DS Query'!$C$1:$R$1005,8,FALSE),0)</f>
        <v>9939037.1300000008</v>
      </c>
      <c r="I38" s="523">
        <f>IFERROR(VLOOKUP($A38,'PP DS Query'!$C$1:$R$1005,9,FALSE),0)</f>
        <v>35</v>
      </c>
      <c r="J38" s="358">
        <f>IFERROR(VLOOKUP($A38,'PP DS Query'!$C$1:$R$1005,10,FALSE),0)</f>
        <v>11745448.75</v>
      </c>
      <c r="K38" s="523">
        <f>IFERROR(VLOOKUP($A38,'PP DS Query'!$C$1:$R$1005,11,FALSE),0)</f>
        <v>7.7126700000000001</v>
      </c>
      <c r="L38" s="358">
        <f>IFERROR(VLOOKUP($A38,'PP DS Query'!$C$1:$R$1005,12,FALSE),0)</f>
        <v>2588250.58</v>
      </c>
      <c r="M38" s="19">
        <f>IFERROR(VLOOKUP($A38,'PP DS Query'!$C$1:$R$1005,13,FALSE),0)</f>
        <v>0.79523076999999998</v>
      </c>
      <c r="N38" s="358">
        <f>IFERROR(VLOOKUP($A38,'PP DS Query'!$C$1:$R$1005,14,FALSE),0)</f>
        <v>266866.92</v>
      </c>
      <c r="O38" s="56">
        <f>IFERROR(VLOOKUP($A38,'PP DS Query'!$C$1:$R$1005,4,FALSE),0)</f>
        <v>-0.02</v>
      </c>
      <c r="P38" s="358">
        <f>-IFERROR(VLOOKUP($A38,'PP DS Query'!$C$1:$R$1005,15,FALSE),0)</f>
        <v>6711.69</v>
      </c>
      <c r="Q38" s="358">
        <f>IFERROR(VLOOKUP($A38,'PP DS Query'!$C$1:$R$1005,16,FALSE),0)</f>
        <v>302649.11</v>
      </c>
      <c r="R38" s="48"/>
      <c r="S38" s="472">
        <f t="shared" ref="S38:S39" si="8">IFERROR(ROUND(LEFT(A38,7)*100,0),0)</f>
        <v>31642</v>
      </c>
      <c r="T38" s="472" t="s">
        <v>963</v>
      </c>
      <c r="U38" s="474">
        <f>IFERROR(VLOOKUP($S38,#REF!,7,FALSE),0)</f>
        <v>0</v>
      </c>
      <c r="V38" s="473">
        <f t="shared" ref="V38:V39" si="9">U38-F38</f>
        <v>-335584.25</v>
      </c>
    </row>
    <row r="39" spans="1:22" ht="15.95" customHeight="1" thickBot="1" x14ac:dyDescent="0.25">
      <c r="A39" s="49" t="s">
        <v>567</v>
      </c>
      <c r="B39" s="499">
        <f>IFERROR(VLOOKUP($A39,'PP DS Query'!$C$1:$R$1005,5,FALSE),0)</f>
        <v>2038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15916.05</v>
      </c>
      <c r="G39" s="524">
        <f>IFERROR(VLOOKUP($A39,'PP DS Query'!$C$1:$R$1005,7,FALSE),0)</f>
        <v>11.5</v>
      </c>
      <c r="H39" s="250">
        <f>IFERROR(VLOOKUP($A39,'PP DS Query'!$C$1:$R$1005,8,FALSE),0)</f>
        <v>183034.58</v>
      </c>
      <c r="I39" s="524">
        <f>IFERROR(VLOOKUP($A39,'PP DS Query'!$C$1:$R$1005,9,FALSE),0)</f>
        <v>20</v>
      </c>
      <c r="J39" s="250">
        <f>IFERROR(VLOOKUP($A39,'PP DS Query'!$C$1:$R$1005,10,FALSE),0)</f>
        <v>318321</v>
      </c>
      <c r="K39" s="524">
        <f>IFERROR(VLOOKUP($A39,'PP DS Query'!$C$1:$R$1005,11,FALSE),0)</f>
        <v>8.9033169999999995</v>
      </c>
      <c r="L39" s="250">
        <f>IFERROR(VLOOKUP($A39,'PP DS Query'!$C$1:$R$1005,12,FALSE),0)</f>
        <v>141705.64000000001</v>
      </c>
      <c r="M39" s="21">
        <f>IFERROR(VLOOKUP($A39,'PP DS Query'!$C$1:$R$1005,13,FALSE),0)</f>
        <v>0.56593062000000005</v>
      </c>
      <c r="N39" s="250">
        <f>IFERROR(VLOOKUP($A39,'PP DS Query'!$C$1:$R$1005,14,FALSE),0)</f>
        <v>9007.3799999999992</v>
      </c>
      <c r="O39" s="57">
        <f>IFERROR(VLOOKUP($A39,'PP DS Query'!$C$1:$R$1005,4,FALSE),0)</f>
        <v>-0.02</v>
      </c>
      <c r="P39" s="250">
        <f>-IFERROR(VLOOKUP($A39,'PP DS Query'!$C$1:$R$1005,15,FALSE),0)</f>
        <v>318.32</v>
      </c>
      <c r="Q39" s="250">
        <f>IFERROR(VLOOKUP($A39,'PP DS Query'!$C$1:$R$1005,16,FALSE),0)</f>
        <v>10215.11</v>
      </c>
      <c r="R39" s="48"/>
      <c r="S39" s="472">
        <f t="shared" si="8"/>
        <v>31642</v>
      </c>
      <c r="T39" s="472" t="s">
        <v>964</v>
      </c>
      <c r="U39" s="475">
        <f>IFERROR(VLOOKUP($S39,#REF!,8,FALSE),0)</f>
        <v>0</v>
      </c>
      <c r="V39" s="476">
        <f t="shared" si="9"/>
        <v>-15916.05</v>
      </c>
    </row>
    <row r="40" spans="1:22" ht="15.95" customHeight="1" x14ac:dyDescent="0.2">
      <c r="A40" s="49" t="s">
        <v>568</v>
      </c>
      <c r="B40" s="499">
        <f>IFERROR(VLOOKUP($A40,'PP DS Query'!$C$1:$R$1005,5,FALSE),0)</f>
        <v>2038</v>
      </c>
      <c r="C40" s="33"/>
      <c r="D40" s="34"/>
      <c r="E40" s="15"/>
      <c r="F40" s="443">
        <f>IFERROR(VLOOKUP($A40,'PP DS Query'!$C$1:$R$1005,6,FALSE),0)</f>
        <v>546950.39</v>
      </c>
      <c r="G40" s="525">
        <f>IFERROR(VLOOKUP($A40,'PP DS Query'!$C$1:$R$1005,7,FALSE),0)</f>
        <v>34.256971870000001</v>
      </c>
      <c r="H40" s="443">
        <f>IFERROR(VLOOKUP($A40,'PP DS Query'!$C$1:$R$1005,8,FALSE),0)</f>
        <v>18736864.129999999</v>
      </c>
      <c r="I40" s="525">
        <f>IFERROR(VLOOKUP($A40,'PP DS Query'!$C$1:$R$1005,9,FALSE),0)</f>
        <v>43.425666319999998</v>
      </c>
      <c r="J40" s="443">
        <f>IFERROR(VLOOKUP($A40,'PP DS Query'!$C$1:$R$1005,10,FALSE),0)</f>
        <v>23751685.129999999</v>
      </c>
      <c r="K40" s="525">
        <f>IFERROR(VLOOKUP($A40,'PP DS Query'!$C$1:$R$1005,11,FALSE),0)</f>
        <v>11.602117850000001</v>
      </c>
      <c r="L40" s="443">
        <f>IFERROR(VLOOKUP($A40,'PP DS Query'!$C$1:$R$1005,12,FALSE),0)</f>
        <v>6345782.8799999999</v>
      </c>
      <c r="M40" s="445">
        <f>IFERROR(VLOOKUP($A40,'PP DS Query'!$C$1:$R$1005,13,FALSE),0)</f>
        <v>0.75610876000000005</v>
      </c>
      <c r="N40" s="443">
        <f>IFERROR(VLOOKUP($A40,'PP DS Query'!$C$1:$R$1005,14,FALSE),0)</f>
        <v>413553.98</v>
      </c>
      <c r="O40" s="446">
        <f>IFERROR(VLOOKUP($A40,'PP DS Query'!$C$1:$R$1005,4,FALSE),0)</f>
        <v>-0.02</v>
      </c>
      <c r="P40" s="443">
        <f>-IFERROR(VLOOKUP($A40,'PP DS Query'!$C$1:$R$1005,15,FALSE),0)</f>
        <v>10939.01</v>
      </c>
      <c r="Q40" s="443">
        <f>IFERROR(VLOOKUP($A40,'PP DS Query'!$C$1:$R$1005,16,FALSE),0)</f>
        <v>469004.34</v>
      </c>
      <c r="R40" s="48"/>
      <c r="U40" s="473">
        <f>SUM(U37:U39)</f>
        <v>0</v>
      </c>
      <c r="V40" s="473">
        <f>SUM(V37:V39)</f>
        <v>-546950.39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460"/>
      <c r="G42" s="527"/>
      <c r="H42" s="460"/>
      <c r="I42" s="527"/>
      <c r="J42" s="460"/>
      <c r="K42" s="527"/>
      <c r="L42" s="460"/>
      <c r="M42" s="461"/>
      <c r="N42" s="460"/>
      <c r="O42" s="461"/>
      <c r="P42" s="461"/>
      <c r="Q42" s="461"/>
      <c r="R42" s="48"/>
    </row>
    <row r="43" spans="1:22" s="41" customFormat="1" ht="15.95" customHeight="1" x14ac:dyDescent="0.25">
      <c r="A43" s="49"/>
      <c r="B43" s="49"/>
      <c r="C43" s="36" t="str">
        <f>C$6</f>
        <v>Big Bend Unit #2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47039796.560000002</v>
      </c>
      <c r="G44" s="523">
        <f>IF($F44=0,0,H44/$F44)</f>
        <v>30.41403088393799</v>
      </c>
      <c r="H44" s="358">
        <f>H13+H19+H25+H31+H37</f>
        <v>1430669825.3500001</v>
      </c>
      <c r="I44" s="523">
        <f>IF($F44=0,0,J44/$F44)</f>
        <v>42.362133983047144</v>
      </c>
      <c r="J44" s="358">
        <f>J13+J19+J25+J31+J37</f>
        <v>1992706164.4100001</v>
      </c>
      <c r="K44" s="523">
        <f>IF($F44=0,0,L44/$F44)</f>
        <v>18.500000000425167</v>
      </c>
      <c r="L44" s="358">
        <f>L13+L19+L25+L31+L37</f>
        <v>870236236.37999988</v>
      </c>
      <c r="M44" s="19">
        <f>IF($F44=0,0,N44/$F44)</f>
        <v>0.57941878713771366</v>
      </c>
      <c r="N44" s="358">
        <f>N13+N19+N25+N31+N37</f>
        <v>27255741.869999997</v>
      </c>
      <c r="O44" s="56">
        <f>-IF($F44=0,0,P44/$F44)</f>
        <v>-4.8978831510490685E-2</v>
      </c>
      <c r="P44" s="358">
        <f t="shared" ref="P44:Q46" si="10">P13+P19+P25+P31+P37</f>
        <v>2303954.2699999996</v>
      </c>
      <c r="Q44" s="358">
        <f t="shared" si="10"/>
        <v>20974747.25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86372392.519999996</v>
      </c>
      <c r="G45" s="523">
        <f>IF($F45=0,0,H45/$F45)</f>
        <v>14.830769596933241</v>
      </c>
      <c r="H45" s="358">
        <f>H14+H20+H26+H32+H38</f>
        <v>1280969053</v>
      </c>
      <c r="I45" s="523">
        <f>IF($F45=0,0,J45/$F45)</f>
        <v>28.947194001845624</v>
      </c>
      <c r="J45" s="358">
        <f>J14+J20+J26+J32+J38</f>
        <v>2500238402.6799998</v>
      </c>
      <c r="K45" s="523">
        <f>IF($F45=0,0,L45/$F45)</f>
        <v>16.067364395384242</v>
      </c>
      <c r="L45" s="358">
        <f>L14+L20+L26+L32+L38</f>
        <v>1387776704.3200002</v>
      </c>
      <c r="M45" s="19">
        <f>IF($F45=0,0,N45/$F45)</f>
        <v>0.46797148429853413</v>
      </c>
      <c r="N45" s="358">
        <f>N14+N20+N26+N32+N38</f>
        <v>40419816.730000004</v>
      </c>
      <c r="O45" s="56">
        <f>-IF($F45=0,0,P45/$F45)</f>
        <v>-5.2049991540514533E-2</v>
      </c>
      <c r="P45" s="358">
        <f t="shared" si="10"/>
        <v>4495682.3000000007</v>
      </c>
      <c r="Q45" s="358">
        <f t="shared" si="10"/>
        <v>29756809.73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29937880.27</v>
      </c>
      <c r="G46" s="524">
        <f>IF($F46=0,0,H46/$F46)</f>
        <v>10.644823406864402</v>
      </c>
      <c r="H46" s="250">
        <f>H15+H21+H27+H33+H39</f>
        <v>318683448.64999998</v>
      </c>
      <c r="I46" s="524">
        <f>IF($F46=0,0,J46/$F46)</f>
        <v>19.882419526090249</v>
      </c>
      <c r="J46" s="250">
        <f>J15+J21+J27+J33+J39</f>
        <v>595237495.25</v>
      </c>
      <c r="K46" s="524">
        <f>IF($F46=0,0,L46/$F46)</f>
        <v>10.340978286970749</v>
      </c>
      <c r="L46" s="250">
        <f>L15+L21+L27+L33+L39</f>
        <v>309586969.82999998</v>
      </c>
      <c r="M46" s="21">
        <f>IF($F46=0,0,N46/$F46)</f>
        <v>0.50816515073196267</v>
      </c>
      <c r="N46" s="250">
        <f>N15+N21+N27+N33+N39</f>
        <v>15213387.440000001</v>
      </c>
      <c r="O46" s="57">
        <f>-IF($F46=0,0,P46/$F46)</f>
        <v>-5.5045174713032552E-2</v>
      </c>
      <c r="P46" s="250">
        <f t="shared" si="10"/>
        <v>1647935.85</v>
      </c>
      <c r="Q46" s="250">
        <f t="shared" si="10"/>
        <v>12319997.589999998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163350069.34999999</v>
      </c>
      <c r="G47" s="525">
        <f>IF($F47=0,0,H47/$F47)</f>
        <v>18.551092993460063</v>
      </c>
      <c r="H47" s="443">
        <f>SUM(H44:H46)</f>
        <v>3030322327.0000005</v>
      </c>
      <c r="I47" s="525">
        <f>IF($F47=0,0,J47/$F47)</f>
        <v>31.148943386353086</v>
      </c>
      <c r="J47" s="443">
        <f>SUM(J44:J46)</f>
        <v>5088182062.3400002</v>
      </c>
      <c r="K47" s="525">
        <f>IF($F47=0,0,L47/$F47)</f>
        <v>15.718388861094168</v>
      </c>
      <c r="L47" s="443">
        <f>SUM(L44:L46)</f>
        <v>2567599910.5299997</v>
      </c>
      <c r="M47" s="445">
        <f>IF($F47=0,0,N47/$F47)</f>
        <v>0.50743134894175668</v>
      </c>
      <c r="N47" s="443">
        <f>SUM(N44:N46)</f>
        <v>82888946.039999992</v>
      </c>
      <c r="O47" s="446">
        <f>-IF($F47=0,0,P47/$F47)</f>
        <v>-5.1714532192208097E-2</v>
      </c>
      <c r="P47" s="443">
        <f>SUM(P44:P46)</f>
        <v>8447572.4199999999</v>
      </c>
      <c r="Q47" s="443">
        <f>SUM(Q44:Q46)</f>
        <v>63051554.57</v>
      </c>
      <c r="R47" s="48"/>
    </row>
    <row r="48" spans="1:22" ht="13.5" customHeight="1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31142</v>
      </c>
      <c r="F50" s="352">
        <f>IFERROR(VLOOKUP(E50,'2019 B-7'!C:P,14,FALSE),0)</f>
        <v>7047809.8900000006</v>
      </c>
      <c r="G50" s="353">
        <f>F50-F16</f>
        <v>0</v>
      </c>
      <c r="P50" s="260">
        <f>E50</f>
        <v>31142</v>
      </c>
      <c r="Q50" s="352">
        <f>IFERROR(VLOOKUP(P50,'2019 B-9'!C:R,16,FALSE),0)</f>
        <v>3899544.0899999919</v>
      </c>
      <c r="R50" s="353">
        <f>Q50-Q16</f>
        <v>-7.9162418842315674E-9</v>
      </c>
    </row>
    <row r="51" spans="5:18" x14ac:dyDescent="0.2">
      <c r="E51" s="260">
        <v>31242</v>
      </c>
      <c r="F51" s="352">
        <f>IFERROR(VLOOKUP(E51,'2019 B-7'!C:P,14,FALSE),0)</f>
        <v>86094074.779999986</v>
      </c>
      <c r="G51" s="353">
        <f>F51-F22</f>
        <v>0</v>
      </c>
      <c r="P51" s="260">
        <f t="shared" ref="P51:P54" si="11">E51</f>
        <v>31242</v>
      </c>
      <c r="Q51" s="352">
        <f>IFERROR(VLOOKUP(P51,'2019 B-9'!C:R,16,FALSE),0)</f>
        <v>28513715.339999992</v>
      </c>
      <c r="R51" s="353">
        <f>Q51-Q22</f>
        <v>0</v>
      </c>
    </row>
    <row r="52" spans="5:18" x14ac:dyDescent="0.2">
      <c r="E52" s="260">
        <v>31442</v>
      </c>
      <c r="F52" s="352">
        <f>IFERROR(VLOOKUP(E52,'2019 B-7'!C:P,14,FALSE),0)</f>
        <v>50791175.919999987</v>
      </c>
      <c r="G52" s="353">
        <f>F52-F28</f>
        <v>0</v>
      </c>
      <c r="P52" s="260">
        <f t="shared" si="11"/>
        <v>31442</v>
      </c>
      <c r="Q52" s="352">
        <f>IFERROR(VLOOKUP(P52,'2019 B-9'!C:R,16,FALSE),0)</f>
        <v>23173470.919999983</v>
      </c>
      <c r="R52" s="353">
        <f>Q52-Q28</f>
        <v>0</v>
      </c>
    </row>
    <row r="53" spans="5:18" x14ac:dyDescent="0.2">
      <c r="E53" s="260">
        <v>31542</v>
      </c>
      <c r="F53" s="352">
        <f>IFERROR(VLOOKUP(E53,'2019 B-7'!C:P,14,FALSE),0)</f>
        <v>18870058.369999997</v>
      </c>
      <c r="G53" s="353">
        <f>F53-F34</f>
        <v>0</v>
      </c>
      <c r="P53" s="260">
        <f t="shared" si="11"/>
        <v>31542</v>
      </c>
      <c r="Q53" s="352">
        <f>IFERROR(VLOOKUP(P53,'2019 B-9'!C:R,16,FALSE),0)</f>
        <v>6995819.8800000027</v>
      </c>
      <c r="R53" s="353">
        <f>Q53-Q34</f>
        <v>0</v>
      </c>
    </row>
    <row r="54" spans="5:18" x14ac:dyDescent="0.2">
      <c r="E54" s="260">
        <v>31642</v>
      </c>
      <c r="F54" s="352">
        <f>IFERROR(VLOOKUP(E54,'2019 B-7'!C:P,14,FALSE),0)</f>
        <v>546950.39</v>
      </c>
      <c r="G54" s="353">
        <f>F54-F40</f>
        <v>0</v>
      </c>
      <c r="P54" s="260">
        <f t="shared" si="11"/>
        <v>31642</v>
      </c>
      <c r="Q54" s="352">
        <f>IFERROR(VLOOKUP(P54,'2019 B-9'!C:R,16,FALSE),0)</f>
        <v>469004.34000000067</v>
      </c>
      <c r="R54" s="353">
        <f>Q54-Q40</f>
        <v>6.4028427004814148E-10</v>
      </c>
    </row>
    <row r="55" spans="5:18" ht="13.5" thickBot="1" x14ac:dyDescent="0.25">
      <c r="E55" s="349" t="s">
        <v>40</v>
      </c>
      <c r="F55" s="354">
        <f>SUM(F50:F54)</f>
        <v>163350069.34999996</v>
      </c>
      <c r="G55" s="354">
        <f>SUM(G50:G54)</f>
        <v>0</v>
      </c>
      <c r="P55" s="349" t="s">
        <v>40</v>
      </c>
      <c r="Q55" s="354">
        <f>SUM(Q50:Q54)</f>
        <v>63051554.56999997</v>
      </c>
      <c r="R55" s="354">
        <f>SUM(R50:R54)</f>
        <v>-7.2759576141834259E-9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-7.2759576141834259E-9</v>
      </c>
    </row>
    <row r="57" spans="5:18" x14ac:dyDescent="0.2">
      <c r="E57" s="50"/>
    </row>
    <row r="58" spans="5:18" x14ac:dyDescent="0.2">
      <c r="E58" s="50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71093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28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2041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9"/>
      <c r="C12" s="231" t="s">
        <v>1182</v>
      </c>
      <c r="E12" s="50"/>
      <c r="P12" s="18"/>
      <c r="Q12" s="18"/>
      <c r="R12" s="48"/>
    </row>
    <row r="13" spans="1:22" ht="15.95" customHeight="1" x14ac:dyDescent="0.2">
      <c r="A13" s="49" t="s">
        <v>417</v>
      </c>
      <c r="B13" s="499">
        <f>IFERROR(VLOOKUP($A13,'PP DS Query'!$C$1:$R$1005,5,FALSE),0)</f>
        <v>2041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13973836.109999999</v>
      </c>
      <c r="G13" s="523">
        <f>IFERROR(VLOOKUP($A13,'PP DS Query'!$C$1:$R$1005,7,FALSE),0)</f>
        <v>42.771848830000003</v>
      </c>
      <c r="H13" s="358">
        <f>IFERROR(VLOOKUP($A13,'PP DS Query'!$C$1:$R$1005,8,FALSE),0)</f>
        <v>597686805.71000004</v>
      </c>
      <c r="I13" s="523">
        <f>IFERROR(VLOOKUP($A13,'PP DS Query'!$C$1:$R$1005,9,FALSE),0)</f>
        <v>63.79</v>
      </c>
      <c r="J13" s="358">
        <f>IFERROR(VLOOKUP($A13,'PP DS Query'!$C$1:$R$1005,10,FALSE),0)</f>
        <v>891391005.46000004</v>
      </c>
      <c r="K13" s="523">
        <f>IFERROR(VLOOKUP($A13,'PP DS Query'!$C$1:$R$1005,11,FALSE),0)</f>
        <v>21.5</v>
      </c>
      <c r="L13" s="358">
        <f>IFERROR(VLOOKUP($A13,'PP DS Query'!$C$1:$R$1005,12,FALSE),0)</f>
        <v>300437476.37</v>
      </c>
      <c r="M13" s="19">
        <f>IFERROR(VLOOKUP($A13,'PP DS Query'!$C$1:$R$1005,13,FALSE),0)</f>
        <v>0.67622179000000004</v>
      </c>
      <c r="N13" s="358">
        <f>IFERROR(VLOOKUP($A13,'PP DS Query'!$C$1:$R$1005,14,FALSE),0)</f>
        <v>9449412.4700000007</v>
      </c>
      <c r="O13" s="56">
        <f>IFERROR(VLOOKUP($A13,'PP DS Query'!$C$1:$R$1005,4,FALSE),0)</f>
        <v>-0.02</v>
      </c>
      <c r="P13" s="358">
        <f>-IFERROR(VLOOKUP($A13,'PP DS Query'!$C$1:$R$1005,15,FALSE),0)</f>
        <v>279476.71999999997</v>
      </c>
      <c r="Q13" s="358">
        <f>IFERROR(VLOOKUP($A13,'PP DS Query'!$C$1:$R$1005,16,FALSE),0)</f>
        <v>9354813.3300000001</v>
      </c>
      <c r="R13" s="48"/>
      <c r="S13" s="472">
        <f>IFERROR(ROUND(LEFT(A13,7)*100,0),0)</f>
        <v>31143</v>
      </c>
      <c r="T13" s="472" t="s">
        <v>962</v>
      </c>
      <c r="U13" s="474">
        <f>IFERROR(VLOOKUP($S13,#REF!,6,FALSE),0)</f>
        <v>0</v>
      </c>
      <c r="V13" s="473">
        <f>U13-F13</f>
        <v>-13973836.109999999</v>
      </c>
    </row>
    <row r="14" spans="1:22" ht="15.95" customHeight="1" x14ac:dyDescent="0.2">
      <c r="A14" s="49" t="s">
        <v>418</v>
      </c>
      <c r="B14" s="499">
        <f>IFERROR(VLOOKUP($A14,'PP DS Query'!$C$1:$R$1005,5,FALSE),0)</f>
        <v>2041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899700.76</v>
      </c>
      <c r="G14" s="523">
        <f>IFERROR(VLOOKUP($A14,'PP DS Query'!$C$1:$R$1005,7,FALSE),0)</f>
        <v>24.008718900000002</v>
      </c>
      <c r="H14" s="358">
        <f>IFERROR(VLOOKUP($A14,'PP DS Query'!$C$1:$R$1005,8,FALSE),0)</f>
        <v>21600662.640000001</v>
      </c>
      <c r="I14" s="523">
        <f>IFERROR(VLOOKUP($A14,'PP DS Query'!$C$1:$R$1005,9,FALSE),0)</f>
        <v>28.81</v>
      </c>
      <c r="J14" s="358">
        <f>IFERROR(VLOOKUP($A14,'PP DS Query'!$C$1:$R$1005,10,FALSE),0)</f>
        <v>25920378.899999999</v>
      </c>
      <c r="K14" s="523">
        <f>IFERROR(VLOOKUP($A14,'PP DS Query'!$C$1:$R$1005,11,FALSE),0)</f>
        <v>13.22537</v>
      </c>
      <c r="L14" s="358">
        <f>IFERROR(VLOOKUP($A14,'PP DS Query'!$C$1:$R$1005,12,FALSE),0)</f>
        <v>11898875.439999999</v>
      </c>
      <c r="M14" s="19">
        <f>IFERROR(VLOOKUP($A14,'PP DS Query'!$C$1:$R$1005,13,FALSE),0)</f>
        <v>0.55172849000000002</v>
      </c>
      <c r="N14" s="358">
        <f>IFERROR(VLOOKUP($A14,'PP DS Query'!$C$1:$R$1005,14,FALSE),0)</f>
        <v>496390.54</v>
      </c>
      <c r="O14" s="56">
        <f>IFERROR(VLOOKUP($A14,'PP DS Query'!$C$1:$R$1005,4,FALSE),0)</f>
        <v>-0.02</v>
      </c>
      <c r="P14" s="358">
        <f>-IFERROR(VLOOKUP($A14,'PP DS Query'!$C$1:$R$1005,15,FALSE),0)</f>
        <v>17994.02</v>
      </c>
      <c r="Q14" s="358">
        <f>IFERROR(VLOOKUP($A14,'PP DS Query'!$C$1:$R$1005,16,FALSE),0)</f>
        <v>491421.12</v>
      </c>
      <c r="R14" s="48"/>
      <c r="S14" s="472">
        <f t="shared" ref="S14:S15" si="0">IFERROR(ROUND(LEFT(A14,7)*100,0),0)</f>
        <v>31143</v>
      </c>
      <c r="T14" s="472" t="s">
        <v>963</v>
      </c>
      <c r="U14" s="474">
        <f>IFERROR(VLOOKUP($S14,#REF!,7,FALSE),0)</f>
        <v>0</v>
      </c>
      <c r="V14" s="473">
        <f t="shared" ref="V14:V15" si="1">U14-F14</f>
        <v>-899700.76</v>
      </c>
    </row>
    <row r="15" spans="1:22" ht="15.95" customHeight="1" thickBot="1" x14ac:dyDescent="0.25">
      <c r="A15" s="49" t="s">
        <v>419</v>
      </c>
      <c r="B15" s="499">
        <f>IFERROR(VLOOKUP($A15,'PP DS Query'!$C$1:$R$1005,5,FALSE),0)</f>
        <v>2041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452141.39</v>
      </c>
      <c r="G15" s="524">
        <f>IFERROR(VLOOKUP($A15,'PP DS Query'!$C$1:$R$1005,7,FALSE),0)</f>
        <v>12.44632732</v>
      </c>
      <c r="H15" s="250">
        <f>IFERROR(VLOOKUP($A15,'PP DS Query'!$C$1:$R$1005,8,FALSE),0)</f>
        <v>5627499.7400000002</v>
      </c>
      <c r="I15" s="524">
        <f>IFERROR(VLOOKUP($A15,'PP DS Query'!$C$1:$R$1005,9,FALSE),0)</f>
        <v>19.72</v>
      </c>
      <c r="J15" s="250">
        <f>IFERROR(VLOOKUP($A15,'PP DS Query'!$C$1:$R$1005,10,FALSE),0)</f>
        <v>8916228.2100000009</v>
      </c>
      <c r="K15" s="524">
        <f>IFERROR(VLOOKUP($A15,'PP DS Query'!$C$1:$R$1005,11,FALSE),0)</f>
        <v>11.25939</v>
      </c>
      <c r="L15" s="250">
        <f>IFERROR(VLOOKUP($A15,'PP DS Query'!$C$1:$R$1005,12,FALSE),0)</f>
        <v>5090836.25</v>
      </c>
      <c r="M15" s="21">
        <f>IFERROR(VLOOKUP($A15,'PP DS Query'!$C$1:$R$1005,13,FALSE),0)</f>
        <v>0.44669352000000001</v>
      </c>
      <c r="N15" s="250">
        <f>IFERROR(VLOOKUP($A15,'PP DS Query'!$C$1:$R$1005,14,FALSE),0)</f>
        <v>201968.63</v>
      </c>
      <c r="O15" s="57">
        <f>IFERROR(VLOOKUP($A15,'PP DS Query'!$C$1:$R$1005,4,FALSE),0)</f>
        <v>-0.02</v>
      </c>
      <c r="P15" s="250">
        <f>-IFERROR(VLOOKUP($A15,'PP DS Query'!$C$1:$R$1005,15,FALSE),0)</f>
        <v>9042.83</v>
      </c>
      <c r="Q15" s="250">
        <f>IFERROR(VLOOKUP($A15,'PP DS Query'!$C$1:$R$1005,16,FALSE),0)</f>
        <v>199946.7</v>
      </c>
      <c r="R15" s="48"/>
      <c r="S15" s="472">
        <f t="shared" si="0"/>
        <v>31143</v>
      </c>
      <c r="T15" s="472" t="s">
        <v>964</v>
      </c>
      <c r="U15" s="475">
        <f>IFERROR(VLOOKUP($S15,#REF!,8,FALSE),0)</f>
        <v>0</v>
      </c>
      <c r="V15" s="476">
        <f t="shared" si="1"/>
        <v>-452141.39</v>
      </c>
    </row>
    <row r="16" spans="1:22" ht="15.95" customHeight="1" x14ac:dyDescent="0.2">
      <c r="A16" s="49" t="s">
        <v>420</v>
      </c>
      <c r="B16" s="499">
        <f>IFERROR(VLOOKUP($A16,'PP DS Query'!$C$1:$R$1005,5,FALSE),0)</f>
        <v>2041</v>
      </c>
      <c r="C16" s="33"/>
      <c r="D16" s="34"/>
      <c r="E16" s="15"/>
      <c r="F16" s="443">
        <f>IFERROR(VLOOKUP($A16,'PP DS Query'!$C$1:$R$1005,6,FALSE),0)</f>
        <v>15325678.26</v>
      </c>
      <c r="G16" s="525">
        <f>IFERROR(VLOOKUP($A16,'PP DS Query'!$C$1:$R$1005,7,FALSE),0)</f>
        <v>40.77568102</v>
      </c>
      <c r="H16" s="443">
        <f>IFERROR(VLOOKUP($A16,'PP DS Query'!$C$1:$R$1005,8,FALSE),0)</f>
        <v>624914968.08000004</v>
      </c>
      <c r="I16" s="525">
        <f>IFERROR(VLOOKUP($A16,'PP DS Query'!$C$1:$R$1005,9,FALSE),0)</f>
        <v>60.436321110000002</v>
      </c>
      <c r="J16" s="443">
        <f>IFERROR(VLOOKUP($A16,'PP DS Query'!$C$1:$R$1005,10,FALSE),0)</f>
        <v>926227612.55999994</v>
      </c>
      <c r="K16" s="525">
        <f>IFERROR(VLOOKUP($A16,'PP DS Query'!$C$1:$R$1005,11,FALSE),0)</f>
        <v>20.71211353</v>
      </c>
      <c r="L16" s="443">
        <f>IFERROR(VLOOKUP($A16,'PP DS Query'!$C$1:$R$1005,12,FALSE),0)</f>
        <v>317427188.05000001</v>
      </c>
      <c r="M16" s="445">
        <f>IFERROR(VLOOKUP($A16,'PP DS Query'!$C$1:$R$1005,13,FALSE),0)</f>
        <v>0.66214176000000002</v>
      </c>
      <c r="N16" s="443">
        <f>IFERROR(VLOOKUP($A16,'PP DS Query'!$C$1:$R$1005,14,FALSE),0)</f>
        <v>10147771.640000001</v>
      </c>
      <c r="O16" s="446">
        <f>IFERROR(VLOOKUP($A16,'PP DS Query'!$C$1:$R$1005,4,FALSE),0)</f>
        <v>-0.02</v>
      </c>
      <c r="P16" s="443">
        <f>-IFERROR(VLOOKUP($A16,'PP DS Query'!$C$1:$R$1005,15,FALSE),0)</f>
        <v>306513.57</v>
      </c>
      <c r="Q16" s="443">
        <f>IFERROR(VLOOKUP($A16,'PP DS Query'!$C$1:$R$1005,16,FALSE),0)</f>
        <v>10046181.15</v>
      </c>
      <c r="R16" s="48"/>
      <c r="U16" s="473">
        <f>SUM(U13:U15)</f>
        <v>0</v>
      </c>
      <c r="V16" s="473">
        <f>SUM(V13:V15)</f>
        <v>-15325678.26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1183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461</v>
      </c>
      <c r="B19" s="499">
        <f>IFERROR(VLOOKUP($A19,'PP DS Query'!$C$1:$R$1005,5,FALSE),0)</f>
        <v>2041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60885830.810000002</v>
      </c>
      <c r="G19" s="523">
        <f>IFERROR(VLOOKUP($A19,'PP DS Query'!$C$1:$R$1005,7,FALSE),0)</f>
        <v>28.807025670000002</v>
      </c>
      <c r="H19" s="358">
        <f>IFERROR(VLOOKUP($A19,'PP DS Query'!$C$1:$R$1005,8,FALSE),0)</f>
        <v>1753939690.8900001</v>
      </c>
      <c r="I19" s="523">
        <f>IFERROR(VLOOKUP($A19,'PP DS Query'!$C$1:$R$1005,9,FALSE),0)</f>
        <v>43.63</v>
      </c>
      <c r="J19" s="358">
        <f>IFERROR(VLOOKUP($A19,'PP DS Query'!$C$1:$R$1005,10,FALSE),0)</f>
        <v>2656448798.2399998</v>
      </c>
      <c r="K19" s="523">
        <f>IFERROR(VLOOKUP($A19,'PP DS Query'!$C$1:$R$1005,11,FALSE),0)</f>
        <v>21.5</v>
      </c>
      <c r="L19" s="358">
        <f>IFERROR(VLOOKUP($A19,'PP DS Query'!$C$1:$R$1005,12,FALSE),0)</f>
        <v>1309045362.4200001</v>
      </c>
      <c r="M19" s="19">
        <f>IFERROR(VLOOKUP($A19,'PP DS Query'!$C$1:$R$1005,13,FALSE),0)</f>
        <v>0.53252213999999998</v>
      </c>
      <c r="N19" s="358">
        <f>IFERROR(VLOOKUP($A19,'PP DS Query'!$C$1:$R$1005,14,FALSE),0)</f>
        <v>32423053.170000002</v>
      </c>
      <c r="O19" s="56">
        <f>IFERROR(VLOOKUP($A19,'PP DS Query'!$C$1:$R$1005,4,FALSE),0)</f>
        <v>-0.05</v>
      </c>
      <c r="P19" s="358">
        <f>-IFERROR(VLOOKUP($A19,'PP DS Query'!$C$1:$R$1005,15,FALSE),0)</f>
        <v>3044291.54</v>
      </c>
      <c r="Q19" s="358">
        <f>IFERROR(VLOOKUP($A19,'PP DS Query'!$C$1:$R$1005,16,FALSE),0)</f>
        <v>24773111.390000001</v>
      </c>
      <c r="R19" s="48"/>
      <c r="S19" s="472">
        <f>IFERROR(ROUND(LEFT(A19,7)*100,0),0)</f>
        <v>31243</v>
      </c>
      <c r="T19" s="472" t="s">
        <v>962</v>
      </c>
      <c r="U19" s="474">
        <f>IFERROR(VLOOKUP($S19,#REF!,6,FALSE),0)</f>
        <v>0</v>
      </c>
      <c r="V19" s="473">
        <f>U19-F19</f>
        <v>-60885830.810000002</v>
      </c>
    </row>
    <row r="20" spans="1:22" ht="15.95" customHeight="1" x14ac:dyDescent="0.2">
      <c r="A20" s="49" t="s">
        <v>462</v>
      </c>
      <c r="B20" s="499">
        <f>IFERROR(VLOOKUP($A20,'PP DS Query'!$C$1:$R$1005,5,FALSE),0)</f>
        <v>2041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93749549.640000001</v>
      </c>
      <c r="G20" s="523">
        <f>IFERROR(VLOOKUP($A20,'PP DS Query'!$C$1:$R$1005,7,FALSE),0)</f>
        <v>13.07739351</v>
      </c>
      <c r="H20" s="358">
        <f>IFERROR(VLOOKUP($A20,'PP DS Query'!$C$1:$R$1005,8,FALSE),0)</f>
        <v>1225999751.8900001</v>
      </c>
      <c r="I20" s="523">
        <f>IFERROR(VLOOKUP($A20,'PP DS Query'!$C$1:$R$1005,9,FALSE),0)</f>
        <v>30.62</v>
      </c>
      <c r="J20" s="358">
        <f>IFERROR(VLOOKUP($A20,'PP DS Query'!$C$1:$R$1005,10,FALSE),0)</f>
        <v>2870611209.98</v>
      </c>
      <c r="K20" s="523">
        <f>IFERROR(VLOOKUP($A20,'PP DS Query'!$C$1:$R$1005,11,FALSE),0)</f>
        <v>18.622240999999999</v>
      </c>
      <c r="L20" s="358">
        <f>IFERROR(VLOOKUP($A20,'PP DS Query'!$C$1:$R$1005,12,FALSE),0)</f>
        <v>1745826707.04</v>
      </c>
      <c r="M20" s="19">
        <f>IFERROR(VLOOKUP($A20,'PP DS Query'!$C$1:$R$1005,13,FALSE),0)</f>
        <v>0.41137918000000001</v>
      </c>
      <c r="N20" s="358">
        <f>IFERROR(VLOOKUP($A20,'PP DS Query'!$C$1:$R$1005,14,FALSE),0)</f>
        <v>38566613.18</v>
      </c>
      <c r="O20" s="56">
        <f>IFERROR(VLOOKUP($A20,'PP DS Query'!$C$1:$R$1005,4,FALSE),0)</f>
        <v>-0.05</v>
      </c>
      <c r="P20" s="358">
        <f>-IFERROR(VLOOKUP($A20,'PP DS Query'!$C$1:$R$1005,15,FALSE),0)</f>
        <v>4687477.4800000004</v>
      </c>
      <c r="Q20" s="358">
        <f>IFERROR(VLOOKUP($A20,'PP DS Query'!$C$1:$R$1005,16,FALSE),0)</f>
        <v>29467151.02</v>
      </c>
      <c r="R20" s="48"/>
      <c r="S20" s="472">
        <f t="shared" ref="S20:S21" si="2">IFERROR(ROUND(LEFT(A20,7)*100,0),0)</f>
        <v>31243</v>
      </c>
      <c r="T20" s="472" t="s">
        <v>963</v>
      </c>
      <c r="U20" s="474">
        <f>IFERROR(VLOOKUP($S20,#REF!,7,FALSE),0)</f>
        <v>0</v>
      </c>
      <c r="V20" s="473">
        <f t="shared" ref="V20:V21" si="3">U20-F20</f>
        <v>-93749549.640000001</v>
      </c>
    </row>
    <row r="21" spans="1:22" ht="15.95" customHeight="1" thickBot="1" x14ac:dyDescent="0.25">
      <c r="A21" s="49" t="s">
        <v>463</v>
      </c>
      <c r="B21" s="499">
        <f>IFERROR(VLOOKUP($A21,'PP DS Query'!$C$1:$R$1005,5,FALSE),0)</f>
        <v>2041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7338948.0800000001</v>
      </c>
      <c r="G21" s="524">
        <f>IFERROR(VLOOKUP($A21,'PP DS Query'!$C$1:$R$1005,7,FALSE),0)</f>
        <v>13.45588834</v>
      </c>
      <c r="H21" s="250">
        <f>IFERROR(VLOOKUP($A21,'PP DS Query'!$C$1:$R$1005,8,FALSE),0)</f>
        <v>98752065.900000006</v>
      </c>
      <c r="I21" s="524">
        <f>IFERROR(VLOOKUP($A21,'PP DS Query'!$C$1:$R$1005,9,FALSE),0)</f>
        <v>19.98</v>
      </c>
      <c r="J21" s="250">
        <f>IFERROR(VLOOKUP($A21,'PP DS Query'!$C$1:$R$1005,10,FALSE),0)</f>
        <v>146632182.63999999</v>
      </c>
      <c r="K21" s="524">
        <f>IFERROR(VLOOKUP($A21,'PP DS Query'!$C$1:$R$1005,11,FALSE),0)</f>
        <v>10.217051</v>
      </c>
      <c r="L21" s="250">
        <f>IFERROR(VLOOKUP($A21,'PP DS Query'!$C$1:$R$1005,12,FALSE),0)</f>
        <v>74982406.819999993</v>
      </c>
      <c r="M21" s="21">
        <f>IFERROR(VLOOKUP($A21,'PP DS Query'!$C$1:$R$1005,13,FALSE),0)</f>
        <v>0.55820625999999995</v>
      </c>
      <c r="N21" s="250">
        <f>IFERROR(VLOOKUP($A21,'PP DS Query'!$C$1:$R$1005,14,FALSE),0)</f>
        <v>4096646.75</v>
      </c>
      <c r="O21" s="57">
        <f>IFERROR(VLOOKUP($A21,'PP DS Query'!$C$1:$R$1005,4,FALSE),0)</f>
        <v>-0.05</v>
      </c>
      <c r="P21" s="250">
        <f>-IFERROR(VLOOKUP($A21,'PP DS Query'!$C$1:$R$1005,15,FALSE),0)</f>
        <v>366947.4</v>
      </c>
      <c r="Q21" s="250">
        <f>IFERROR(VLOOKUP($A21,'PP DS Query'!$C$1:$R$1005,16,FALSE),0)</f>
        <v>3130078.03</v>
      </c>
      <c r="R21" s="48"/>
      <c r="S21" s="472">
        <f t="shared" si="2"/>
        <v>31243</v>
      </c>
      <c r="T21" s="472" t="s">
        <v>964</v>
      </c>
      <c r="U21" s="475">
        <f>IFERROR(VLOOKUP($S21,#REF!,8,FALSE),0)</f>
        <v>0</v>
      </c>
      <c r="V21" s="476">
        <f t="shared" si="3"/>
        <v>-7338948.0800000001</v>
      </c>
    </row>
    <row r="22" spans="1:22" ht="15.95" customHeight="1" x14ac:dyDescent="0.2">
      <c r="A22" s="49" t="s">
        <v>464</v>
      </c>
      <c r="B22" s="499">
        <f>IFERROR(VLOOKUP($A22,'PP DS Query'!$C$1:$R$1005,5,FALSE),0)</f>
        <v>2041</v>
      </c>
      <c r="C22" s="33"/>
      <c r="D22" s="34"/>
      <c r="E22" s="15"/>
      <c r="F22" s="443">
        <f>IFERROR(VLOOKUP($A22,'PP DS Query'!$C$1:$R$1005,6,FALSE),0)</f>
        <v>161974328.53</v>
      </c>
      <c r="G22" s="525">
        <f>IFERROR(VLOOKUP($A22,'PP DS Query'!$C$1:$R$1005,7,FALSE),0)</f>
        <v>19.00728058</v>
      </c>
      <c r="H22" s="443">
        <f>IFERROR(VLOOKUP($A22,'PP DS Query'!$C$1:$R$1005,8,FALSE),0)</f>
        <v>3078691508.6799998</v>
      </c>
      <c r="I22" s="525">
        <f>IFERROR(VLOOKUP($A22,'PP DS Query'!$C$1:$R$1005,9,FALSE),0)</f>
        <v>35.028342100000003</v>
      </c>
      <c r="J22" s="443">
        <f>IFERROR(VLOOKUP($A22,'PP DS Query'!$C$1:$R$1005,10,FALSE),0)</f>
        <v>5673692190.8599997</v>
      </c>
      <c r="K22" s="525">
        <f>IFERROR(VLOOKUP($A22,'PP DS Query'!$C$1:$R$1005,11,FALSE),0)</f>
        <v>19.323151419999999</v>
      </c>
      <c r="L22" s="443">
        <f>IFERROR(VLOOKUP($A22,'PP DS Query'!$C$1:$R$1005,12,FALSE),0)</f>
        <v>3129854476.27</v>
      </c>
      <c r="M22" s="445">
        <f>IFERROR(VLOOKUP($A22,'PP DS Query'!$C$1:$R$1005,13,FALSE),0)</f>
        <v>0.46356922</v>
      </c>
      <c r="N22" s="443">
        <f>IFERROR(VLOOKUP($A22,'PP DS Query'!$C$1:$R$1005,14,FALSE),0)</f>
        <v>75086313.099999994</v>
      </c>
      <c r="O22" s="446">
        <f>IFERROR(VLOOKUP($A22,'PP DS Query'!$C$1:$R$1005,4,FALSE),0)</f>
        <v>-0.05</v>
      </c>
      <c r="P22" s="443">
        <f>-IFERROR(VLOOKUP($A22,'PP DS Query'!$C$1:$R$1005,15,FALSE),0)</f>
        <v>8098716.4299999997</v>
      </c>
      <c r="Q22" s="443">
        <f>IFERROR(VLOOKUP($A22,'PP DS Query'!$C$1:$R$1005,16,FALSE),0)</f>
        <v>57370340.439999998</v>
      </c>
      <c r="R22" s="48"/>
      <c r="U22" s="473">
        <f>SUM(U19:U21)</f>
        <v>0</v>
      </c>
      <c r="V22" s="473">
        <f>SUM(V19:V21)</f>
        <v>-161974328.53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1184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49" t="s">
        <v>505</v>
      </c>
      <c r="B25" s="499">
        <f>IFERROR(VLOOKUP($A25,'PP DS Query'!$C$1:$R$1005,5,FALSE),0)</f>
        <v>2041</v>
      </c>
      <c r="C25" s="33">
        <f>IFERROR(VLOOKUP($A25,'PP DS Query'!$C$1:$R$1005,3,FALSE),0)</f>
        <v>65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15216161.130000001</v>
      </c>
      <c r="G25" s="523">
        <f>IFERROR(VLOOKUP($A25,'PP DS Query'!$C$1:$R$1005,7,FALSE),0)</f>
        <v>37.638043799999998</v>
      </c>
      <c r="H25" s="358">
        <f>IFERROR(VLOOKUP($A25,'PP DS Query'!$C$1:$R$1005,8,FALSE),0)</f>
        <v>572706539.05999994</v>
      </c>
      <c r="I25" s="523">
        <f>IFERROR(VLOOKUP($A25,'PP DS Query'!$C$1:$R$1005,9,FALSE),0)</f>
        <v>54.39</v>
      </c>
      <c r="J25" s="358">
        <f>IFERROR(VLOOKUP($A25,'PP DS Query'!$C$1:$R$1005,10,FALSE),0)</f>
        <v>827607003.86000001</v>
      </c>
      <c r="K25" s="523">
        <f>IFERROR(VLOOKUP($A25,'PP DS Query'!$C$1:$R$1005,11,FALSE),0)</f>
        <v>21.5</v>
      </c>
      <c r="L25" s="358">
        <f>IFERROR(VLOOKUP($A25,'PP DS Query'!$C$1:$R$1005,12,FALSE),0)</f>
        <v>327147464.30000001</v>
      </c>
      <c r="M25" s="19">
        <f>IFERROR(VLOOKUP($A25,'PP DS Query'!$C$1:$R$1005,13,FALSE),0)</f>
        <v>0.64100999999999997</v>
      </c>
      <c r="N25" s="358">
        <f>IFERROR(VLOOKUP($A25,'PP DS Query'!$C$1:$R$1005,14,FALSE),0)</f>
        <v>9753711.4399999995</v>
      </c>
      <c r="O25" s="56">
        <f>IFERROR(VLOOKUP($A25,'PP DS Query'!$C$1:$R$1005,4,FALSE),0)</f>
        <v>-0.06</v>
      </c>
      <c r="P25" s="358">
        <f>-IFERROR(VLOOKUP($A25,'PP DS Query'!$C$1:$R$1005,15,FALSE),0)</f>
        <v>912969.67</v>
      </c>
      <c r="Q25" s="358">
        <f>IFERROR(VLOOKUP($A25,'PP DS Query'!$C$1:$R$1005,16,FALSE),0)</f>
        <v>7699526.4900000002</v>
      </c>
      <c r="R25" s="48"/>
      <c r="S25" s="472">
        <f>IFERROR(ROUND(LEFT(A25,7)*100,0),0)</f>
        <v>31443</v>
      </c>
      <c r="T25" s="472" t="s">
        <v>962</v>
      </c>
      <c r="U25" s="474">
        <f>IFERROR(VLOOKUP($S25,#REF!,6,FALSE),0)</f>
        <v>0</v>
      </c>
      <c r="V25" s="473">
        <f>U25-F25</f>
        <v>-15216161.130000001</v>
      </c>
    </row>
    <row r="26" spans="1:22" ht="15.95" customHeight="1" x14ac:dyDescent="0.2">
      <c r="A26" s="49" t="s">
        <v>506</v>
      </c>
      <c r="B26" s="499">
        <f>IFERROR(VLOOKUP($A26,'PP DS Query'!$C$1:$R$1005,5,FALSE),0)</f>
        <v>2041</v>
      </c>
      <c r="C26" s="33">
        <f>IFERROR(VLOOKUP($A26,'PP DS Query'!$C$1:$R$1005,3,FALSE),0)</f>
        <v>35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27439567.199999999</v>
      </c>
      <c r="G26" s="523">
        <f>IFERROR(VLOOKUP($A26,'PP DS Query'!$C$1:$R$1005,7,FALSE),0)</f>
        <v>21.747927560000001</v>
      </c>
      <c r="H26" s="358">
        <f>IFERROR(VLOOKUP($A26,'PP DS Query'!$C$1:$R$1005,8,FALSE),0)</f>
        <v>596753719.70000005</v>
      </c>
      <c r="I26" s="523">
        <f>IFERROR(VLOOKUP($A26,'PP DS Query'!$C$1:$R$1005,9,FALSE),0)</f>
        <v>31.75</v>
      </c>
      <c r="J26" s="358">
        <f>IFERROR(VLOOKUP($A26,'PP DS Query'!$C$1:$R$1005,10,FALSE),0)</f>
        <v>871206258.60000002</v>
      </c>
      <c r="K26" s="523">
        <f>IFERROR(VLOOKUP($A26,'PP DS Query'!$C$1:$R$1005,11,FALSE),0)</f>
        <v>14.654025000000001</v>
      </c>
      <c r="L26" s="358">
        <f>IFERROR(VLOOKUP($A26,'PP DS Query'!$C$1:$R$1005,12,FALSE),0)</f>
        <v>402100103.74000001</v>
      </c>
      <c r="M26" s="19">
        <f>IFERROR(VLOOKUP($A26,'PP DS Query'!$C$1:$R$1005,13,FALSE),0)</f>
        <v>0.57076523000000001</v>
      </c>
      <c r="N26" s="358">
        <f>IFERROR(VLOOKUP($A26,'PP DS Query'!$C$1:$R$1005,14,FALSE),0)</f>
        <v>15661551.02</v>
      </c>
      <c r="O26" s="56">
        <f>IFERROR(VLOOKUP($A26,'PP DS Query'!$C$1:$R$1005,4,FALSE),0)</f>
        <v>-0.06</v>
      </c>
      <c r="P26" s="358">
        <f>-IFERROR(VLOOKUP($A26,'PP DS Query'!$C$1:$R$1005,15,FALSE),0)</f>
        <v>1646374.03</v>
      </c>
      <c r="Q26" s="358">
        <f>IFERROR(VLOOKUP($A26,'PP DS Query'!$C$1:$R$1005,16,FALSE),0)</f>
        <v>12363142.76</v>
      </c>
      <c r="R26" s="48"/>
      <c r="S26" s="472">
        <f t="shared" ref="S26:S27" si="4">IFERROR(ROUND(LEFT(A26,7)*100,0),0)</f>
        <v>31443</v>
      </c>
      <c r="T26" s="472" t="s">
        <v>963</v>
      </c>
      <c r="U26" s="474">
        <f>IFERROR(VLOOKUP($S26,#REF!,7,FALSE),0)</f>
        <v>0</v>
      </c>
      <c r="V26" s="473">
        <f t="shared" ref="V26:V27" si="5">U26-F26</f>
        <v>-27439567.199999999</v>
      </c>
    </row>
    <row r="27" spans="1:22" ht="15.95" customHeight="1" thickBot="1" x14ac:dyDescent="0.25">
      <c r="A27" s="49" t="s">
        <v>507</v>
      </c>
      <c r="B27" s="499">
        <f>IFERROR(VLOOKUP($A27,'PP DS Query'!$C$1:$R$1005,5,FALSE),0)</f>
        <v>2041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9280695.1099999994</v>
      </c>
      <c r="G27" s="524">
        <f>IFERROR(VLOOKUP($A27,'PP DS Query'!$C$1:$R$1005,7,FALSE),0)</f>
        <v>6.7246830400000004</v>
      </c>
      <c r="H27" s="250">
        <f>IFERROR(VLOOKUP($A27,'PP DS Query'!$C$1:$R$1005,8,FALSE),0)</f>
        <v>62409733.020000003</v>
      </c>
      <c r="I27" s="524">
        <f>IFERROR(VLOOKUP($A27,'PP DS Query'!$C$1:$R$1005,9,FALSE),0)</f>
        <v>19.989999999999998</v>
      </c>
      <c r="J27" s="250">
        <f>IFERROR(VLOOKUP($A27,'PP DS Query'!$C$1:$R$1005,10,FALSE),0)</f>
        <v>185521095.25</v>
      </c>
      <c r="K27" s="524">
        <f>IFERROR(VLOOKUP($A27,'PP DS Query'!$C$1:$R$1005,11,FALSE),0)</f>
        <v>13.487962</v>
      </c>
      <c r="L27" s="250">
        <f>IFERROR(VLOOKUP($A27,'PP DS Query'!$C$1:$R$1005,12,FALSE),0)</f>
        <v>125177662.98</v>
      </c>
      <c r="M27" s="21">
        <f>IFERROR(VLOOKUP($A27,'PP DS Query'!$C$1:$R$1005,13,FALSE),0)</f>
        <v>0.35046532000000002</v>
      </c>
      <c r="N27" s="250">
        <f>IFERROR(VLOOKUP($A27,'PP DS Query'!$C$1:$R$1005,14,FALSE),0)</f>
        <v>3252561.79</v>
      </c>
      <c r="O27" s="57">
        <f>IFERROR(VLOOKUP($A27,'PP DS Query'!$C$1:$R$1005,4,FALSE),0)</f>
        <v>-0.06</v>
      </c>
      <c r="P27" s="250">
        <f>-IFERROR(VLOOKUP($A27,'PP DS Query'!$C$1:$R$1005,15,FALSE),0)</f>
        <v>556841.71</v>
      </c>
      <c r="Q27" s="250">
        <f>IFERROR(VLOOKUP($A27,'PP DS Query'!$C$1:$R$1005,16,FALSE),0)</f>
        <v>2567554.5</v>
      </c>
      <c r="R27" s="48"/>
      <c r="S27" s="472">
        <f t="shared" si="4"/>
        <v>31443</v>
      </c>
      <c r="T27" s="472" t="s">
        <v>964</v>
      </c>
      <c r="U27" s="475">
        <f>IFERROR(VLOOKUP($S27,#REF!,8,FALSE),0)</f>
        <v>0</v>
      </c>
      <c r="V27" s="476">
        <f t="shared" si="5"/>
        <v>-9280695.1099999994</v>
      </c>
    </row>
    <row r="28" spans="1:22" ht="15.95" customHeight="1" x14ac:dyDescent="0.2">
      <c r="A28" s="49" t="s">
        <v>508</v>
      </c>
      <c r="B28" s="499">
        <f>IFERROR(VLOOKUP($A28,'PP DS Query'!$C$1:$R$1005,5,FALSE),0)</f>
        <v>2041</v>
      </c>
      <c r="C28" s="33"/>
      <c r="D28" s="34"/>
      <c r="E28" s="15"/>
      <c r="F28" s="443">
        <f>IFERROR(VLOOKUP($A28,'PP DS Query'!$C$1:$R$1005,6,FALSE),0)</f>
        <v>51936423.439999998</v>
      </c>
      <c r="G28" s="525">
        <f>IFERROR(VLOOKUP($A28,'PP DS Query'!$C$1:$R$1005,7,FALSE),0)</f>
        <v>23.71880677</v>
      </c>
      <c r="H28" s="443">
        <f>IFERROR(VLOOKUP($A28,'PP DS Query'!$C$1:$R$1005,8,FALSE),0)</f>
        <v>1231869991.77</v>
      </c>
      <c r="I28" s="525">
        <f>IFERROR(VLOOKUP($A28,'PP DS Query'!$C$1:$R$1005,9,FALSE),0)</f>
        <v>36.281557970000001</v>
      </c>
      <c r="J28" s="443">
        <f>IFERROR(VLOOKUP($A28,'PP DS Query'!$C$1:$R$1005,10,FALSE),0)</f>
        <v>1884334357.71</v>
      </c>
      <c r="K28" s="525">
        <f>IFERROR(VLOOKUP($A28,'PP DS Query'!$C$1:$R$1005,11,FALSE),0)</f>
        <v>16.45136832</v>
      </c>
      <c r="L28" s="443">
        <f>IFERROR(VLOOKUP($A28,'PP DS Query'!$C$1:$R$1005,12,FALSE),0)</f>
        <v>854425231.00999999</v>
      </c>
      <c r="M28" s="445">
        <f>IFERROR(VLOOKUP($A28,'PP DS Query'!$C$1:$R$1005,13,FALSE),0)</f>
        <v>0.55197918000000001</v>
      </c>
      <c r="N28" s="443">
        <f>IFERROR(VLOOKUP($A28,'PP DS Query'!$C$1:$R$1005,14,FALSE),0)</f>
        <v>28667824.25</v>
      </c>
      <c r="O28" s="446">
        <f>IFERROR(VLOOKUP($A28,'PP DS Query'!$C$1:$R$1005,4,FALSE),0)</f>
        <v>-0.06</v>
      </c>
      <c r="P28" s="443">
        <f>-IFERROR(VLOOKUP($A28,'PP DS Query'!$C$1:$R$1005,15,FALSE),0)</f>
        <v>3116185.41</v>
      </c>
      <c r="Q28" s="443">
        <f>IFERROR(VLOOKUP($A28,'PP DS Query'!$C$1:$R$1005,16,FALSE),0)</f>
        <v>22630223.75</v>
      </c>
      <c r="R28" s="48"/>
      <c r="U28" s="473">
        <f>SUM(U25:U27)</f>
        <v>0</v>
      </c>
      <c r="V28" s="473">
        <f>SUM(V25:V27)</f>
        <v>-51936423.439999998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1185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525</v>
      </c>
      <c r="B31" s="499">
        <f>IFERROR(VLOOKUP($A31,'PP DS Query'!$C$1:$R$1005,5,FALSE),0)</f>
        <v>2041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6202137.6100000003</v>
      </c>
      <c r="G31" s="523">
        <f>IFERROR(VLOOKUP($A31,'PP DS Query'!$C$1:$R$1005,7,FALSE),0)</f>
        <v>40.268323209999998</v>
      </c>
      <c r="H31" s="358">
        <f>IFERROR(VLOOKUP($A31,'PP DS Query'!$C$1:$R$1005,8,FALSE),0)</f>
        <v>249749681.88999999</v>
      </c>
      <c r="I31" s="523">
        <f>IFERROR(VLOOKUP($A31,'PP DS Query'!$C$1:$R$1005,9,FALSE),0)</f>
        <v>59.1</v>
      </c>
      <c r="J31" s="358">
        <f>IFERROR(VLOOKUP($A31,'PP DS Query'!$C$1:$R$1005,10,FALSE),0)</f>
        <v>366546332.75</v>
      </c>
      <c r="K31" s="523">
        <f>IFERROR(VLOOKUP($A31,'PP DS Query'!$C$1:$R$1005,11,FALSE),0)</f>
        <v>21.5</v>
      </c>
      <c r="L31" s="358">
        <f>IFERROR(VLOOKUP($A31,'PP DS Query'!$C$1:$R$1005,12,FALSE),0)</f>
        <v>133345958.62</v>
      </c>
      <c r="M31" s="19">
        <f>IFERROR(VLOOKUP($A31,'PP DS Query'!$C$1:$R$1005,13,FALSE),0)</f>
        <v>0.66798933000000005</v>
      </c>
      <c r="N31" s="358">
        <f>IFERROR(VLOOKUP($A31,'PP DS Query'!$C$1:$R$1005,14,FALSE),0)</f>
        <v>4142961.73</v>
      </c>
      <c r="O31" s="56">
        <f>IFERROR(VLOOKUP($A31,'PP DS Query'!$C$1:$R$1005,4,FALSE),0)</f>
        <v>-0.05</v>
      </c>
      <c r="P31" s="358">
        <f>-IFERROR(VLOOKUP($A31,'PP DS Query'!$C$1:$R$1005,15,FALSE),0)</f>
        <v>310106.88</v>
      </c>
      <c r="Q31" s="358">
        <f>IFERROR(VLOOKUP($A31,'PP DS Query'!$C$1:$R$1005,16,FALSE),0)</f>
        <v>4084605.72</v>
      </c>
      <c r="R31" s="48"/>
      <c r="S31" s="472">
        <f>IFERROR(ROUND(LEFT(A31,7)*100,0),0)</f>
        <v>31543</v>
      </c>
      <c r="T31" s="472" t="s">
        <v>962</v>
      </c>
      <c r="U31" s="474">
        <f>IFERROR(VLOOKUP($S31,#REF!,6,FALSE),0)</f>
        <v>0</v>
      </c>
      <c r="V31" s="473">
        <f>U31-F31</f>
        <v>-6202137.6100000003</v>
      </c>
    </row>
    <row r="32" spans="1:22" ht="15.95" customHeight="1" x14ac:dyDescent="0.2">
      <c r="A32" s="49" t="s">
        <v>526</v>
      </c>
      <c r="B32" s="499">
        <f>IFERROR(VLOOKUP($A32,'PP DS Query'!$C$1:$R$1005,5,FALSE),0)</f>
        <v>2041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9507385.5999999996</v>
      </c>
      <c r="G32" s="523">
        <f>IFERROR(VLOOKUP($A32,'PP DS Query'!$C$1:$R$1005,7,FALSE),0)</f>
        <v>24.255808890000001</v>
      </c>
      <c r="H32" s="358">
        <f>IFERROR(VLOOKUP($A32,'PP DS Query'!$C$1:$R$1005,8,FALSE),0)</f>
        <v>230609328.11000001</v>
      </c>
      <c r="I32" s="523">
        <f>IFERROR(VLOOKUP($A32,'PP DS Query'!$C$1:$R$1005,9,FALSE),0)</f>
        <v>30.88</v>
      </c>
      <c r="J32" s="358">
        <f>IFERROR(VLOOKUP($A32,'PP DS Query'!$C$1:$R$1005,10,FALSE),0)</f>
        <v>293588067.32999998</v>
      </c>
      <c r="K32" s="523">
        <f>IFERROR(VLOOKUP($A32,'PP DS Query'!$C$1:$R$1005,11,FALSE),0)</f>
        <v>13.148659</v>
      </c>
      <c r="L32" s="358">
        <f>IFERROR(VLOOKUP($A32,'PP DS Query'!$C$1:$R$1005,12,FALSE),0)</f>
        <v>125009371.23999999</v>
      </c>
      <c r="M32" s="19">
        <f>IFERROR(VLOOKUP($A32,'PP DS Query'!$C$1:$R$1005,13,FALSE),0)</f>
        <v>0.60287743999999999</v>
      </c>
      <c r="N32" s="358">
        <f>IFERROR(VLOOKUP($A32,'PP DS Query'!$C$1:$R$1005,14,FALSE),0)</f>
        <v>5731788.3099999996</v>
      </c>
      <c r="O32" s="56">
        <f>IFERROR(VLOOKUP($A32,'PP DS Query'!$C$1:$R$1005,4,FALSE),0)</f>
        <v>-0.05</v>
      </c>
      <c r="P32" s="358">
        <f>-IFERROR(VLOOKUP($A32,'PP DS Query'!$C$1:$R$1005,15,FALSE),0)</f>
        <v>475369.28</v>
      </c>
      <c r="Q32" s="358">
        <f>IFERROR(VLOOKUP($A32,'PP DS Query'!$C$1:$R$1005,16,FALSE),0)</f>
        <v>5651052.7599999998</v>
      </c>
      <c r="R32" s="48"/>
      <c r="S32" s="472">
        <f t="shared" ref="S32:S33" si="6">IFERROR(ROUND(LEFT(A32,7)*100,0),0)</f>
        <v>31543</v>
      </c>
      <c r="T32" s="472" t="s">
        <v>963</v>
      </c>
      <c r="U32" s="474">
        <f>IFERROR(VLOOKUP($S32,#REF!,7,FALSE),0)</f>
        <v>0</v>
      </c>
      <c r="V32" s="473">
        <f t="shared" ref="V32:V33" si="7">U32-F32</f>
        <v>-9507385.5999999996</v>
      </c>
    </row>
    <row r="33" spans="1:22" ht="15.95" customHeight="1" thickBot="1" x14ac:dyDescent="0.25">
      <c r="A33" s="49" t="s">
        <v>527</v>
      </c>
      <c r="B33" s="499">
        <f>IFERROR(VLOOKUP($A33,'PP DS Query'!$C$1:$R$1005,5,FALSE),0)</f>
        <v>2041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9164562.0500000007</v>
      </c>
      <c r="G33" s="524">
        <f>IFERROR(VLOOKUP($A33,'PP DS Query'!$C$1:$R$1005,7,FALSE),0)</f>
        <v>11.42451354</v>
      </c>
      <c r="H33" s="250">
        <f>IFERROR(VLOOKUP($A33,'PP DS Query'!$C$1:$R$1005,8,FALSE),0)</f>
        <v>104700663.23</v>
      </c>
      <c r="I33" s="524">
        <f>IFERROR(VLOOKUP($A33,'PP DS Query'!$C$1:$R$1005,9,FALSE),0)</f>
        <v>19.989999999999998</v>
      </c>
      <c r="J33" s="250">
        <f>IFERROR(VLOOKUP($A33,'PP DS Query'!$C$1:$R$1005,10,FALSE),0)</f>
        <v>183199595.38</v>
      </c>
      <c r="K33" s="524">
        <f>IFERROR(VLOOKUP($A33,'PP DS Query'!$C$1:$R$1005,11,FALSE),0)</f>
        <v>9.754766</v>
      </c>
      <c r="L33" s="250">
        <f>IFERROR(VLOOKUP($A33,'PP DS Query'!$C$1:$R$1005,12,FALSE),0)</f>
        <v>89398158.290000007</v>
      </c>
      <c r="M33" s="21">
        <f>IFERROR(VLOOKUP($A33,'PP DS Query'!$C$1:$R$1005,13,FALSE),0)</f>
        <v>0.54616925000000005</v>
      </c>
      <c r="N33" s="250">
        <f>IFERROR(VLOOKUP($A33,'PP DS Query'!$C$1:$R$1005,14,FALSE),0)</f>
        <v>5005401.9400000004</v>
      </c>
      <c r="O33" s="57">
        <f>IFERROR(VLOOKUP($A33,'PP DS Query'!$C$1:$R$1005,4,FALSE),0)</f>
        <v>-0.05</v>
      </c>
      <c r="P33" s="250">
        <f>-IFERROR(VLOOKUP($A33,'PP DS Query'!$C$1:$R$1005,15,FALSE),0)</f>
        <v>458228.1</v>
      </c>
      <c r="Q33" s="250">
        <f>IFERROR(VLOOKUP($A33,'PP DS Query'!$C$1:$R$1005,16,FALSE),0)</f>
        <v>4934897.97</v>
      </c>
      <c r="R33" s="48"/>
      <c r="S33" s="472">
        <f t="shared" si="6"/>
        <v>31543</v>
      </c>
      <c r="T33" s="472" t="s">
        <v>964</v>
      </c>
      <c r="U33" s="475">
        <f>IFERROR(VLOOKUP($S33,#REF!,8,FALSE),0)</f>
        <v>0</v>
      </c>
      <c r="V33" s="476">
        <f t="shared" si="7"/>
        <v>-9164562.0500000007</v>
      </c>
    </row>
    <row r="34" spans="1:22" ht="15.95" customHeight="1" x14ac:dyDescent="0.2">
      <c r="A34" s="49" t="s">
        <v>528</v>
      </c>
      <c r="B34" s="499">
        <f>IFERROR(VLOOKUP($A34,'PP DS Query'!$C$1:$R$1005,5,FALSE),0)</f>
        <v>2041</v>
      </c>
      <c r="C34" s="33"/>
      <c r="D34" s="34"/>
      <c r="E34" s="15"/>
      <c r="F34" s="443">
        <f>IFERROR(VLOOKUP($A34,'PP DS Query'!$C$1:$R$1005,6,FALSE),0)</f>
        <v>24874085.260000002</v>
      </c>
      <c r="G34" s="525">
        <f>IFERROR(VLOOKUP($A34,'PP DS Query'!$C$1:$R$1005,7,FALSE),0)</f>
        <v>23.52085181</v>
      </c>
      <c r="H34" s="443">
        <f>IFERROR(VLOOKUP($A34,'PP DS Query'!$C$1:$R$1005,8,FALSE),0)</f>
        <v>585059673.22000003</v>
      </c>
      <c r="I34" s="525">
        <f>IFERROR(VLOOKUP($A34,'PP DS Query'!$C$1:$R$1005,9,FALSE),0)</f>
        <v>33.90412096</v>
      </c>
      <c r="J34" s="443">
        <f>IFERROR(VLOOKUP($A34,'PP DS Query'!$C$1:$R$1005,10,FALSE),0)</f>
        <v>843333995.46000004</v>
      </c>
      <c r="K34" s="525">
        <f>IFERROR(VLOOKUP($A34,'PP DS Query'!$C$1:$R$1005,11,FALSE),0)</f>
        <v>13.980553840000001</v>
      </c>
      <c r="L34" s="443">
        <f>IFERROR(VLOOKUP($A34,'PP DS Query'!$C$1:$R$1005,12,FALSE),0)</f>
        <v>347753488.13999999</v>
      </c>
      <c r="M34" s="445">
        <f>IFERROR(VLOOKUP($A34,'PP DS Query'!$C$1:$R$1005,13,FALSE),0)</f>
        <v>0.59821906000000002</v>
      </c>
      <c r="N34" s="443">
        <f>IFERROR(VLOOKUP($A34,'PP DS Query'!$C$1:$R$1005,14,FALSE),0)</f>
        <v>14880151.98</v>
      </c>
      <c r="O34" s="446">
        <f>IFERROR(VLOOKUP($A34,'PP DS Query'!$C$1:$R$1005,4,FALSE),0)</f>
        <v>-0.05</v>
      </c>
      <c r="P34" s="443">
        <f>-IFERROR(VLOOKUP($A34,'PP DS Query'!$C$1:$R$1005,15,FALSE),0)</f>
        <v>1243704.26</v>
      </c>
      <c r="Q34" s="443">
        <f>IFERROR(VLOOKUP($A34,'PP DS Query'!$C$1:$R$1005,16,FALSE),0)</f>
        <v>14670556.449999999</v>
      </c>
      <c r="R34" s="48"/>
      <c r="U34" s="473">
        <f>SUM(U31:U33)</f>
        <v>0</v>
      </c>
      <c r="V34" s="473">
        <f>SUM(V31:V33)</f>
        <v>-24874085.260000002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1186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569</v>
      </c>
      <c r="B37" s="499">
        <f>IFERROR(VLOOKUP($A37,'PP DS Query'!$C$1:$R$1005,5,FALSE),0)</f>
        <v>2041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699601.44</v>
      </c>
      <c r="G37" s="523">
        <f>IFERROR(VLOOKUP($A37,'PP DS Query'!$C$1:$R$1005,7,FALSE),0)</f>
        <v>40.434550649999998</v>
      </c>
      <c r="H37" s="358">
        <f>IFERROR(VLOOKUP($A37,'PP DS Query'!$C$1:$R$1005,8,FALSE),0)</f>
        <v>28288069.859999999</v>
      </c>
      <c r="I37" s="523">
        <f>IFERROR(VLOOKUP($A37,'PP DS Query'!$C$1:$R$1005,9,FALSE),0)</f>
        <v>60.26</v>
      </c>
      <c r="J37" s="358">
        <f>IFERROR(VLOOKUP($A37,'PP DS Query'!$C$1:$R$1005,10,FALSE),0)</f>
        <v>42157982.770000003</v>
      </c>
      <c r="K37" s="523">
        <f>IFERROR(VLOOKUP($A37,'PP DS Query'!$C$1:$R$1005,11,FALSE),0)</f>
        <v>21.5</v>
      </c>
      <c r="L37" s="358">
        <f>IFERROR(VLOOKUP($A37,'PP DS Query'!$C$1:$R$1005,12,FALSE),0)</f>
        <v>15041430.960000001</v>
      </c>
      <c r="M37" s="19">
        <f>IFERROR(VLOOKUP($A37,'PP DS Query'!$C$1:$R$1005,13,FALSE),0)</f>
        <v>0.65606379000000004</v>
      </c>
      <c r="N37" s="358">
        <f>IFERROR(VLOOKUP($A37,'PP DS Query'!$C$1:$R$1005,14,FALSE),0)</f>
        <v>458983.17</v>
      </c>
      <c r="O37" s="56">
        <f>IFERROR(VLOOKUP($A37,'PP DS Query'!$C$1:$R$1005,4,FALSE),0)</f>
        <v>-0.02</v>
      </c>
      <c r="P37" s="358">
        <f>-IFERROR(VLOOKUP($A37,'PP DS Query'!$C$1:$R$1005,15,FALSE),0)</f>
        <v>13992.03</v>
      </c>
      <c r="Q37" s="358">
        <f>IFERROR(VLOOKUP($A37,'PP DS Query'!$C$1:$R$1005,16,FALSE),0)</f>
        <v>383228.3</v>
      </c>
      <c r="R37" s="48"/>
      <c r="S37" s="472">
        <f>IFERROR(ROUND(LEFT(A37,7)*100,0),0)</f>
        <v>31643</v>
      </c>
      <c r="T37" s="472" t="s">
        <v>962</v>
      </c>
      <c r="U37" s="474">
        <f>IFERROR(VLOOKUP($S37,#REF!,6,FALSE),0)</f>
        <v>0</v>
      </c>
      <c r="V37" s="473">
        <f>U37-F37</f>
        <v>-699601.44</v>
      </c>
    </row>
    <row r="38" spans="1:22" ht="15.95" customHeight="1" x14ac:dyDescent="0.2">
      <c r="A38" s="49" t="s">
        <v>570</v>
      </c>
      <c r="B38" s="499">
        <f>IFERROR(VLOOKUP($A38,'PP DS Query'!$C$1:$R$1005,5,FALSE),0)</f>
        <v>2041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439711.82</v>
      </c>
      <c r="G38" s="523">
        <f>IFERROR(VLOOKUP($A38,'PP DS Query'!$C$1:$R$1005,7,FALSE),0)</f>
        <v>13.091566589999999</v>
      </c>
      <c r="H38" s="358">
        <f>IFERROR(VLOOKUP($A38,'PP DS Query'!$C$1:$R$1005,8,FALSE),0)</f>
        <v>5756516.5700000003</v>
      </c>
      <c r="I38" s="523">
        <f>IFERROR(VLOOKUP($A38,'PP DS Query'!$C$1:$R$1005,9,FALSE),0)</f>
        <v>31.74</v>
      </c>
      <c r="J38" s="358">
        <f>IFERROR(VLOOKUP($A38,'PP DS Query'!$C$1:$R$1005,10,FALSE),0)</f>
        <v>13956453.17</v>
      </c>
      <c r="K38" s="523">
        <f>IFERROR(VLOOKUP($A38,'PP DS Query'!$C$1:$R$1005,11,FALSE),0)</f>
        <v>19.054348999999998</v>
      </c>
      <c r="L38" s="358">
        <f>IFERROR(VLOOKUP($A38,'PP DS Query'!$C$1:$R$1005,12,FALSE),0)</f>
        <v>8378422.4800000004</v>
      </c>
      <c r="M38" s="19">
        <f>IFERROR(VLOOKUP($A38,'PP DS Query'!$C$1:$R$1005,13,FALSE),0)</f>
        <v>0.40761125999999998</v>
      </c>
      <c r="N38" s="358">
        <f>IFERROR(VLOOKUP($A38,'PP DS Query'!$C$1:$R$1005,14,FALSE),0)</f>
        <v>179231.49</v>
      </c>
      <c r="O38" s="56">
        <f>IFERROR(VLOOKUP($A38,'PP DS Query'!$C$1:$R$1005,4,FALSE),0)</f>
        <v>-0.02</v>
      </c>
      <c r="P38" s="358">
        <f>-IFERROR(VLOOKUP($A38,'PP DS Query'!$C$1:$R$1005,15,FALSE),0)</f>
        <v>8794.24</v>
      </c>
      <c r="Q38" s="358">
        <f>IFERROR(VLOOKUP($A38,'PP DS Query'!$C$1:$R$1005,16,FALSE),0)</f>
        <v>149649.45000000001</v>
      </c>
      <c r="R38" s="48"/>
      <c r="S38" s="472">
        <f t="shared" ref="S38:S39" si="8">IFERROR(ROUND(LEFT(A38,7)*100,0),0)</f>
        <v>31643</v>
      </c>
      <c r="T38" s="472" t="s">
        <v>963</v>
      </c>
      <c r="U38" s="474">
        <f>IFERROR(VLOOKUP($S38,#REF!,7,FALSE),0)</f>
        <v>0</v>
      </c>
      <c r="V38" s="473">
        <f t="shared" ref="V38:V39" si="9">U38-F38</f>
        <v>-439711.82</v>
      </c>
    </row>
    <row r="39" spans="1:22" ht="15.95" customHeight="1" thickBot="1" x14ac:dyDescent="0.25">
      <c r="A39" s="49" t="s">
        <v>571</v>
      </c>
      <c r="B39" s="499">
        <f>IFERROR(VLOOKUP($A39,'PP DS Query'!$C$1:$R$1005,5,FALSE),0)</f>
        <v>2041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848939.54</v>
      </c>
      <c r="G39" s="524">
        <f>IFERROR(VLOOKUP($A39,'PP DS Query'!$C$1:$R$1005,7,FALSE),0)</f>
        <v>9.5203601800000008</v>
      </c>
      <c r="H39" s="250">
        <f>IFERROR(VLOOKUP($A39,'PP DS Query'!$C$1:$R$1005,8,FALSE),0)</f>
        <v>8082210.1900000004</v>
      </c>
      <c r="I39" s="524">
        <f>IFERROR(VLOOKUP($A39,'PP DS Query'!$C$1:$R$1005,9,FALSE),0)</f>
        <v>20</v>
      </c>
      <c r="J39" s="250">
        <f>IFERROR(VLOOKUP($A39,'PP DS Query'!$C$1:$R$1005,10,FALSE),0)</f>
        <v>16978790.800000001</v>
      </c>
      <c r="K39" s="524">
        <f>IFERROR(VLOOKUP($A39,'PP DS Query'!$C$1:$R$1005,11,FALSE),0)</f>
        <v>11.467533</v>
      </c>
      <c r="L39" s="250">
        <f>IFERROR(VLOOKUP($A39,'PP DS Query'!$C$1:$R$1005,12,FALSE),0)</f>
        <v>9735242.1899999995</v>
      </c>
      <c r="M39" s="21">
        <f>IFERROR(VLOOKUP($A39,'PP DS Query'!$C$1:$R$1005,13,FALSE),0)</f>
        <v>0.43515578999999999</v>
      </c>
      <c r="N39" s="250">
        <f>IFERROR(VLOOKUP($A39,'PP DS Query'!$C$1:$R$1005,14,FALSE),0)</f>
        <v>369420.96</v>
      </c>
      <c r="O39" s="57">
        <f>IFERROR(VLOOKUP($A39,'PP DS Query'!$C$1:$R$1005,4,FALSE),0)</f>
        <v>-0.02</v>
      </c>
      <c r="P39" s="250">
        <f>-IFERROR(VLOOKUP($A39,'PP DS Query'!$C$1:$R$1005,15,FALSE),0)</f>
        <v>16978.79</v>
      </c>
      <c r="Q39" s="250">
        <f>IFERROR(VLOOKUP($A39,'PP DS Query'!$C$1:$R$1005,16,FALSE),0)</f>
        <v>308448.27</v>
      </c>
      <c r="R39" s="48"/>
      <c r="S39" s="472">
        <f t="shared" si="8"/>
        <v>31643</v>
      </c>
      <c r="T39" s="472" t="s">
        <v>964</v>
      </c>
      <c r="U39" s="475">
        <f>IFERROR(VLOOKUP($S39,#REF!,8,FALSE),0)</f>
        <v>0</v>
      </c>
      <c r="V39" s="476">
        <f t="shared" si="9"/>
        <v>-848939.54</v>
      </c>
    </row>
    <row r="40" spans="1:22" ht="15.95" customHeight="1" x14ac:dyDescent="0.2">
      <c r="A40" s="49" t="s">
        <v>572</v>
      </c>
      <c r="B40" s="499">
        <f>IFERROR(VLOOKUP($A40,'PP DS Query'!$C$1:$R$1005,5,FALSE),0)</f>
        <v>2041</v>
      </c>
      <c r="C40" s="33"/>
      <c r="D40" s="34"/>
      <c r="E40" s="15"/>
      <c r="F40" s="443">
        <f>IFERROR(VLOOKUP($A40,'PP DS Query'!$C$1:$R$1005,6,FALSE),0)</f>
        <v>1988252.8</v>
      </c>
      <c r="G40" s="525">
        <f>IFERROR(VLOOKUP($A40,'PP DS Query'!$C$1:$R$1005,7,FALSE),0)</f>
        <v>21.187847250000001</v>
      </c>
      <c r="H40" s="443">
        <f>IFERROR(VLOOKUP($A40,'PP DS Query'!$C$1:$R$1005,8,FALSE),0)</f>
        <v>42126796.619999997</v>
      </c>
      <c r="I40" s="525">
        <f>IFERROR(VLOOKUP($A40,'PP DS Query'!$C$1:$R$1005,9,FALSE),0)</f>
        <v>36.762541839999997</v>
      </c>
      <c r="J40" s="443">
        <f>IFERROR(VLOOKUP($A40,'PP DS Query'!$C$1:$R$1005,10,FALSE),0)</f>
        <v>73093226.739999995</v>
      </c>
      <c r="K40" s="525">
        <f>IFERROR(VLOOKUP($A40,'PP DS Query'!$C$1:$R$1005,11,FALSE),0)</f>
        <v>16.675492989999999</v>
      </c>
      <c r="L40" s="443">
        <f>IFERROR(VLOOKUP($A40,'PP DS Query'!$C$1:$R$1005,12,FALSE),0)</f>
        <v>33155095.629999999</v>
      </c>
      <c r="M40" s="445">
        <f>IFERROR(VLOOKUP($A40,'PP DS Query'!$C$1:$R$1005,13,FALSE),0)</f>
        <v>0.50679452000000003</v>
      </c>
      <c r="N40" s="443">
        <f>IFERROR(VLOOKUP($A40,'PP DS Query'!$C$1:$R$1005,14,FALSE),0)</f>
        <v>1007635.62</v>
      </c>
      <c r="O40" s="446">
        <f>IFERROR(VLOOKUP($A40,'PP DS Query'!$C$1:$R$1005,4,FALSE),0)</f>
        <v>-0.02</v>
      </c>
      <c r="P40" s="443">
        <f>-IFERROR(VLOOKUP($A40,'PP DS Query'!$C$1:$R$1005,15,FALSE),0)</f>
        <v>39765.06</v>
      </c>
      <c r="Q40" s="443">
        <f>IFERROR(VLOOKUP($A40,'PP DS Query'!$C$1:$R$1005,16,FALSE),0)</f>
        <v>841326.02</v>
      </c>
      <c r="R40" s="48"/>
      <c r="U40" s="473">
        <f>SUM(U37:U39)</f>
        <v>0</v>
      </c>
      <c r="V40" s="473">
        <f>SUM(V37:V39)</f>
        <v>-1988252.8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Unit #3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96977567.099999994</v>
      </c>
      <c r="G44" s="523">
        <f>IF($F44=0,0,H44/$F44)</f>
        <v>33.021768674685596</v>
      </c>
      <c r="H44" s="358">
        <f>H13+H19+H25+H31+H37</f>
        <v>3202370787.4100003</v>
      </c>
      <c r="I44" s="523">
        <f>IF($F44=0,0,J44/$F44)</f>
        <v>49.332554591174109</v>
      </c>
      <c r="J44" s="358">
        <f>J13+J19+J25+J31+J37</f>
        <v>4784151123.0799999</v>
      </c>
      <c r="K44" s="523">
        <f>IF($F44=0,0,L44/$F44)</f>
        <v>21.500000000206235</v>
      </c>
      <c r="L44" s="358">
        <f>L13+L19+L25+L31+L37</f>
        <v>2085017692.6700001</v>
      </c>
      <c r="M44" s="19">
        <f>IF($F44=0,0,N44/$F44)</f>
        <v>0.57980545049165289</v>
      </c>
      <c r="N44" s="358">
        <f>N13+N19+N25+N31+N37</f>
        <v>56228121.979999997</v>
      </c>
      <c r="O44" s="56">
        <f>-IF($F44=0,0,P44/$F44)</f>
        <v>-4.7029812939079187E-2</v>
      </c>
      <c r="P44" s="358">
        <f t="shared" ref="P44:Q46" si="10">P13+P19+P25+P31+P37</f>
        <v>4560836.84</v>
      </c>
      <c r="Q44" s="358">
        <f t="shared" si="10"/>
        <v>46295285.229999997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132035915.02</v>
      </c>
      <c r="G45" s="523">
        <f>IF($F45=0,0,H45/$F45)</f>
        <v>15.758742449695035</v>
      </c>
      <c r="H45" s="358">
        <f>H14+H20+H26+H32+H38</f>
        <v>2080719978.9100001</v>
      </c>
      <c r="I45" s="523">
        <f>IF($F45=0,0,J45/$F45)</f>
        <v>30.864953428487251</v>
      </c>
      <c r="J45" s="358">
        <f>J14+J20+J26+J32+J38</f>
        <v>4075282367.98</v>
      </c>
      <c r="K45" s="523">
        <f>IF($F45=0,0,L45/$F45)</f>
        <v>17.368103819272491</v>
      </c>
      <c r="L45" s="358">
        <f>L14+L20+L26+L32+L38</f>
        <v>2293213479.9400001</v>
      </c>
      <c r="M45" s="19">
        <f>IF($F45=0,0,N45/$F45)</f>
        <v>0.45923546279673444</v>
      </c>
      <c r="N45" s="358">
        <f>N14+N20+N26+N32+N38</f>
        <v>60635574.539999999</v>
      </c>
      <c r="O45" s="56">
        <f>-IF($F45=0,0,P45/$F45)</f>
        <v>-5.1773860536086139E-2</v>
      </c>
      <c r="P45" s="358">
        <f t="shared" si="10"/>
        <v>6836009.0500000007</v>
      </c>
      <c r="Q45" s="358">
        <f t="shared" si="10"/>
        <v>48122417.109999999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27085286.169999998</v>
      </c>
      <c r="G46" s="524">
        <f>IF($F46=0,0,H46/$F46)</f>
        <v>10.321920555879435</v>
      </c>
      <c r="H46" s="250">
        <f>H15+H21+H27+H33+H39</f>
        <v>279572172.07999998</v>
      </c>
      <c r="I46" s="524">
        <f>IF($F46=0,0,J46/$F46)</f>
        <v>19.983096685147558</v>
      </c>
      <c r="J46" s="250">
        <f>J15+J21+J27+J33+J39</f>
        <v>541247892.27999997</v>
      </c>
      <c r="K46" s="524">
        <f>IF($F46=0,0,L46/$F46)</f>
        <v>11.237994851505018</v>
      </c>
      <c r="L46" s="250">
        <f>L15+L21+L27+L33+L39</f>
        <v>304384306.53000003</v>
      </c>
      <c r="M46" s="21">
        <f>IF($F46=0,0,N46/$F46)</f>
        <v>0.47723328411117177</v>
      </c>
      <c r="N46" s="250">
        <f>N15+N21+N27+N33+N39</f>
        <v>12926000.07</v>
      </c>
      <c r="O46" s="57">
        <f>-IF($F46=0,0,P46/$F46)</f>
        <v>-5.1985377638710771E-2</v>
      </c>
      <c r="P46" s="250">
        <f t="shared" si="10"/>
        <v>1408038.83</v>
      </c>
      <c r="Q46" s="250">
        <f t="shared" si="10"/>
        <v>11140925.469999999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256098768.28999999</v>
      </c>
      <c r="G47" s="525">
        <f>IF($F47=0,0,H47/$F47)</f>
        <v>21.720771933197963</v>
      </c>
      <c r="H47" s="443">
        <f>SUM(H44:H46)</f>
        <v>5562662938.4000006</v>
      </c>
      <c r="I47" s="525">
        <f>IF($F47=0,0,J47/$F47)</f>
        <v>36.707249496393118</v>
      </c>
      <c r="J47" s="443">
        <f>SUM(J44:J46)</f>
        <v>9400681383.3400002</v>
      </c>
      <c r="K47" s="525">
        <f>IF($F47=0,0,L47/$F47)</f>
        <v>18.28441233984195</v>
      </c>
      <c r="L47" s="443">
        <f>SUM(L44:L46)</f>
        <v>4682615479.1400003</v>
      </c>
      <c r="M47" s="445">
        <f>IF($F47=0,0,N47/$F47)</f>
        <v>0.50679547370188571</v>
      </c>
      <c r="N47" s="443">
        <f>SUM(N44:N46)</f>
        <v>129789696.59</v>
      </c>
      <c r="O47" s="446">
        <f>-IF($F47=0,0,P47/$F47)</f>
        <v>-4.9999790336750317E-2</v>
      </c>
      <c r="P47" s="443">
        <f>SUM(P44:P46)</f>
        <v>12804884.720000001</v>
      </c>
      <c r="Q47" s="443">
        <f>SUM(Q44:Q46)</f>
        <v>105558627.81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31143</v>
      </c>
      <c r="F50" s="352">
        <f>IFERROR(VLOOKUP(E50,'2019 B-7'!C:P,14,FALSE),0)</f>
        <v>15325678.26</v>
      </c>
      <c r="G50" s="353">
        <f>F50-F16</f>
        <v>0</v>
      </c>
      <c r="P50" s="260">
        <f>E50</f>
        <v>31143</v>
      </c>
      <c r="Q50" s="352">
        <f>IFERROR(VLOOKUP(P50,'2019 B-9'!C:R,16,FALSE),0)</f>
        <v>10046181.149999978</v>
      </c>
      <c r="R50" s="353">
        <f>Q50-Q16</f>
        <v>-2.2351741790771484E-8</v>
      </c>
    </row>
    <row r="51" spans="5:18" x14ac:dyDescent="0.2">
      <c r="E51" s="260">
        <v>31243</v>
      </c>
      <c r="F51" s="352">
        <f>IFERROR(VLOOKUP(E51,'2019 B-7'!C:P,14,FALSE),0)</f>
        <v>161974328.52999997</v>
      </c>
      <c r="G51" s="353">
        <f>F51-F22</f>
        <v>0</v>
      </c>
      <c r="P51" s="260">
        <f t="shared" ref="P51:P54" si="11">E51</f>
        <v>31243</v>
      </c>
      <c r="Q51" s="352">
        <f>IFERROR(VLOOKUP(P51,'2019 B-9'!C:R,16,FALSE),0)</f>
        <v>57370340.44000002</v>
      </c>
      <c r="R51" s="353">
        <f>Q51-Q22</f>
        <v>0</v>
      </c>
    </row>
    <row r="52" spans="5:18" x14ac:dyDescent="0.2">
      <c r="E52" s="260">
        <v>31443</v>
      </c>
      <c r="F52" s="352">
        <f>IFERROR(VLOOKUP(E52,'2019 B-7'!C:P,14,FALSE),0)</f>
        <v>51936423.43999999</v>
      </c>
      <c r="G52" s="353">
        <f>F52-F28</f>
        <v>0</v>
      </c>
      <c r="P52" s="260">
        <f t="shared" si="11"/>
        <v>31443</v>
      </c>
      <c r="Q52" s="352">
        <f>IFERROR(VLOOKUP(P52,'2019 B-9'!C:R,16,FALSE),0)</f>
        <v>22630223.749999959</v>
      </c>
      <c r="R52" s="353">
        <f>Q52-Q28</f>
        <v>-4.0978193283081055E-8</v>
      </c>
    </row>
    <row r="53" spans="5:18" x14ac:dyDescent="0.2">
      <c r="E53" s="260">
        <v>31543</v>
      </c>
      <c r="F53" s="352">
        <f>IFERROR(VLOOKUP(E53,'2019 B-7'!C:P,14,FALSE),0)</f>
        <v>24874085.259999994</v>
      </c>
      <c r="G53" s="353">
        <f>F53-F34</f>
        <v>0</v>
      </c>
      <c r="P53" s="260">
        <f t="shared" si="11"/>
        <v>31543</v>
      </c>
      <c r="Q53" s="352">
        <f>IFERROR(VLOOKUP(P53,'2019 B-9'!C:R,16,FALSE),0)</f>
        <v>14670556.449999996</v>
      </c>
      <c r="R53" s="353">
        <f>Q53-Q34</f>
        <v>0</v>
      </c>
    </row>
    <row r="54" spans="5:18" x14ac:dyDescent="0.2">
      <c r="E54" s="260">
        <v>31643</v>
      </c>
      <c r="F54" s="352">
        <f>IFERROR(VLOOKUP(E54,'2019 B-7'!C:P,14,FALSE),0)</f>
        <v>1988252.8</v>
      </c>
      <c r="G54" s="353">
        <f>F54-F40</f>
        <v>0</v>
      </c>
      <c r="P54" s="260">
        <f t="shared" si="11"/>
        <v>31643</v>
      </c>
      <c r="Q54" s="352">
        <f>IFERROR(VLOOKUP(P54,'2019 B-9'!C:R,16,FALSE),0)</f>
        <v>841326.0200000013</v>
      </c>
      <c r="R54" s="353">
        <f>Q54-Q40</f>
        <v>1.280568540096283E-9</v>
      </c>
    </row>
    <row r="55" spans="5:18" ht="13.5" thickBot="1" x14ac:dyDescent="0.25">
      <c r="E55" s="349" t="s">
        <v>40</v>
      </c>
      <c r="F55" s="354">
        <f>SUM(F50:F54)</f>
        <v>256098768.28999996</v>
      </c>
      <c r="G55" s="354">
        <f>SUM(G50:G54)</f>
        <v>0</v>
      </c>
      <c r="P55" s="349" t="s">
        <v>40</v>
      </c>
      <c r="Q55" s="354">
        <f>SUM(Q50:Q54)</f>
        <v>105558627.80999996</v>
      </c>
      <c r="R55" s="354">
        <f>SUM(R50:R54)</f>
        <v>-6.2049366533756256E-8</v>
      </c>
    </row>
    <row r="56" spans="5:18" ht="13.5" thickTop="1" x14ac:dyDescent="0.2">
      <c r="E56" s="50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-6.2049366533756256E-8</v>
      </c>
    </row>
    <row r="57" spans="5:18" x14ac:dyDescent="0.2">
      <c r="E57" s="50"/>
      <c r="G57" s="18"/>
    </row>
    <row r="58" spans="5:18" x14ac:dyDescent="0.2">
      <c r="E58" s="50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7E75F-5383-4E92-9AF5-2820383FAB75}">
  <sheetPr>
    <tabColor theme="2" tint="-0.499984740745262"/>
  </sheetPr>
  <dimension ref="A1:AN521"/>
  <sheetViews>
    <sheetView topLeftCell="A79" zoomScaleNormal="100" zoomScaleSheetLayoutView="100" workbookViewId="0">
      <selection activeCell="H103" sqref="H103"/>
    </sheetView>
  </sheetViews>
  <sheetFormatPr defaultRowHeight="14.1" customHeight="1" x14ac:dyDescent="0.2"/>
  <cols>
    <col min="1" max="1" width="4.5703125" style="252" customWidth="1"/>
    <col min="2" max="2" width="6.140625" style="252" customWidth="1"/>
    <col min="3" max="3" width="12" style="252" customWidth="1"/>
    <col min="4" max="4" width="42.140625" style="252" customWidth="1"/>
    <col min="5" max="5" width="2.28515625" style="252" customWidth="1"/>
    <col min="6" max="6" width="10.5703125" style="252" customWidth="1"/>
    <col min="7" max="7" width="2.28515625" style="252" customWidth="1"/>
    <col min="8" max="8" width="16.7109375" style="252" customWidth="1"/>
    <col min="9" max="9" width="2.28515625" style="252" customWidth="1"/>
    <col min="10" max="10" width="16.7109375" style="252" customWidth="1"/>
    <col min="11" max="11" width="2.28515625" style="252" customWidth="1"/>
    <col min="12" max="12" width="16.7109375" style="252" customWidth="1"/>
    <col min="13" max="13" width="2.28515625" style="252" customWidth="1"/>
    <col min="14" max="14" width="16.7109375" style="252" customWidth="1"/>
    <col min="15" max="15" width="2.28515625" style="252" customWidth="1"/>
    <col min="16" max="16" width="16.7109375" style="252" customWidth="1"/>
    <col min="17" max="17" width="2.28515625" style="252" customWidth="1"/>
    <col min="18" max="18" width="17.140625" style="252" customWidth="1"/>
    <col min="19" max="19" width="3.28515625" style="252" customWidth="1"/>
    <col min="20" max="20" width="5" style="252" customWidth="1"/>
    <col min="21" max="21" width="8.140625" style="252" customWidth="1"/>
    <col min="22" max="22" width="11.140625" style="252" customWidth="1"/>
    <col min="23" max="23" width="41.28515625" style="252" customWidth="1"/>
    <col min="24" max="24" width="2.28515625" style="252" customWidth="1"/>
    <col min="25" max="25" width="11" style="252" customWidth="1"/>
    <col min="26" max="26" width="2.28515625" style="252" customWidth="1"/>
    <col min="27" max="27" width="17.140625" style="252" customWidth="1"/>
    <col min="28" max="28" width="2.28515625" style="252" customWidth="1"/>
    <col min="29" max="29" width="17.140625" style="252" customWidth="1"/>
    <col min="30" max="30" width="2.28515625" style="252" customWidth="1"/>
    <col min="31" max="31" width="17.140625" style="252" customWidth="1"/>
    <col min="32" max="32" width="2.28515625" style="252" customWidth="1"/>
    <col min="33" max="33" width="17.140625" style="252" customWidth="1"/>
    <col min="34" max="34" width="2.28515625" style="252" customWidth="1"/>
    <col min="35" max="35" width="17.140625" style="252" customWidth="1"/>
    <col min="36" max="36" width="2.28515625" style="252" customWidth="1"/>
    <col min="37" max="37" width="17.140625" style="252" customWidth="1"/>
    <col min="38" max="38" width="13.5703125" style="252" customWidth="1"/>
    <col min="39" max="39" width="9.140625" style="252"/>
    <col min="40" max="40" width="12.85546875" style="252" bestFit="1" customWidth="1"/>
    <col min="41" max="256" width="9.140625" style="252"/>
    <col min="257" max="257" width="3.5703125" style="252" customWidth="1"/>
    <col min="258" max="258" width="6.7109375" style="252" bestFit="1" customWidth="1"/>
    <col min="259" max="259" width="10.7109375" style="252" bestFit="1" customWidth="1"/>
    <col min="260" max="260" width="40.28515625" style="252" bestFit="1" customWidth="1"/>
    <col min="261" max="261" width="2.28515625" style="252" customWidth="1"/>
    <col min="262" max="262" width="9.5703125" style="252" customWidth="1"/>
    <col min="263" max="263" width="2.28515625" style="252" customWidth="1"/>
    <col min="264" max="264" width="13.5703125" style="252" customWidth="1"/>
    <col min="265" max="265" width="2.28515625" style="252" customWidth="1"/>
    <col min="266" max="266" width="13.5703125" style="252" customWidth="1"/>
    <col min="267" max="267" width="2.28515625" style="252" customWidth="1"/>
    <col min="268" max="268" width="13.5703125" style="252" customWidth="1"/>
    <col min="269" max="269" width="2.28515625" style="252" customWidth="1"/>
    <col min="270" max="270" width="13.5703125" style="252" customWidth="1"/>
    <col min="271" max="271" width="2.28515625" style="252" customWidth="1"/>
    <col min="272" max="272" width="13.5703125" style="252" customWidth="1"/>
    <col min="273" max="273" width="2.28515625" style="252" customWidth="1"/>
    <col min="274" max="274" width="13.5703125" style="252" customWidth="1"/>
    <col min="275" max="275" width="3.28515625" style="252" customWidth="1"/>
    <col min="276" max="276" width="3.5703125" style="252" customWidth="1"/>
    <col min="277" max="277" width="11.28515625" style="252" customWidth="1"/>
    <col min="278" max="278" width="11.7109375" style="252" bestFit="1" customWidth="1"/>
    <col min="279" max="279" width="40.28515625" style="252" bestFit="1" customWidth="1"/>
    <col min="280" max="280" width="2.28515625" style="252" customWidth="1"/>
    <col min="281" max="281" width="9.5703125" style="252" customWidth="1"/>
    <col min="282" max="282" width="2.28515625" style="252" customWidth="1"/>
    <col min="283" max="283" width="13.5703125" style="252" customWidth="1"/>
    <col min="284" max="284" width="2.28515625" style="252" customWidth="1"/>
    <col min="285" max="285" width="13.5703125" style="252" customWidth="1"/>
    <col min="286" max="286" width="2.28515625" style="252" customWidth="1"/>
    <col min="287" max="287" width="13.5703125" style="252" customWidth="1"/>
    <col min="288" max="288" width="2.28515625" style="252" customWidth="1"/>
    <col min="289" max="289" width="13.5703125" style="252" customWidth="1"/>
    <col min="290" max="290" width="2.28515625" style="252" customWidth="1"/>
    <col min="291" max="291" width="13.5703125" style="252" customWidth="1"/>
    <col min="292" max="292" width="2.28515625" style="252" customWidth="1"/>
    <col min="293" max="294" width="13.5703125" style="252" customWidth="1"/>
    <col min="295" max="512" width="9.140625" style="252"/>
    <col min="513" max="513" width="3.5703125" style="252" customWidth="1"/>
    <col min="514" max="514" width="6.7109375" style="252" bestFit="1" customWidth="1"/>
    <col min="515" max="515" width="10.7109375" style="252" bestFit="1" customWidth="1"/>
    <col min="516" max="516" width="40.28515625" style="252" bestFit="1" customWidth="1"/>
    <col min="517" max="517" width="2.28515625" style="252" customWidth="1"/>
    <col min="518" max="518" width="9.5703125" style="252" customWidth="1"/>
    <col min="519" max="519" width="2.28515625" style="252" customWidth="1"/>
    <col min="520" max="520" width="13.5703125" style="252" customWidth="1"/>
    <col min="521" max="521" width="2.28515625" style="252" customWidth="1"/>
    <col min="522" max="522" width="13.5703125" style="252" customWidth="1"/>
    <col min="523" max="523" width="2.28515625" style="252" customWidth="1"/>
    <col min="524" max="524" width="13.5703125" style="252" customWidth="1"/>
    <col min="525" max="525" width="2.28515625" style="252" customWidth="1"/>
    <col min="526" max="526" width="13.5703125" style="252" customWidth="1"/>
    <col min="527" max="527" width="2.28515625" style="252" customWidth="1"/>
    <col min="528" max="528" width="13.5703125" style="252" customWidth="1"/>
    <col min="529" max="529" width="2.28515625" style="252" customWidth="1"/>
    <col min="530" max="530" width="13.5703125" style="252" customWidth="1"/>
    <col min="531" max="531" width="3.28515625" style="252" customWidth="1"/>
    <col min="532" max="532" width="3.5703125" style="252" customWidth="1"/>
    <col min="533" max="533" width="11.28515625" style="252" customWidth="1"/>
    <col min="534" max="534" width="11.7109375" style="252" bestFit="1" customWidth="1"/>
    <col min="535" max="535" width="40.28515625" style="252" bestFit="1" customWidth="1"/>
    <col min="536" max="536" width="2.28515625" style="252" customWidth="1"/>
    <col min="537" max="537" width="9.5703125" style="252" customWidth="1"/>
    <col min="538" max="538" width="2.28515625" style="252" customWidth="1"/>
    <col min="539" max="539" width="13.5703125" style="252" customWidth="1"/>
    <col min="540" max="540" width="2.28515625" style="252" customWidth="1"/>
    <col min="541" max="541" width="13.5703125" style="252" customWidth="1"/>
    <col min="542" max="542" width="2.28515625" style="252" customWidth="1"/>
    <col min="543" max="543" width="13.5703125" style="252" customWidth="1"/>
    <col min="544" max="544" width="2.28515625" style="252" customWidth="1"/>
    <col min="545" max="545" width="13.5703125" style="252" customWidth="1"/>
    <col min="546" max="546" width="2.28515625" style="252" customWidth="1"/>
    <col min="547" max="547" width="13.5703125" style="252" customWidth="1"/>
    <col min="548" max="548" width="2.28515625" style="252" customWidth="1"/>
    <col min="549" max="550" width="13.5703125" style="252" customWidth="1"/>
    <col min="551" max="768" width="9.140625" style="252"/>
    <col min="769" max="769" width="3.5703125" style="252" customWidth="1"/>
    <col min="770" max="770" width="6.7109375" style="252" bestFit="1" customWidth="1"/>
    <col min="771" max="771" width="10.7109375" style="252" bestFit="1" customWidth="1"/>
    <col min="772" max="772" width="40.28515625" style="252" bestFit="1" customWidth="1"/>
    <col min="773" max="773" width="2.28515625" style="252" customWidth="1"/>
    <col min="774" max="774" width="9.5703125" style="252" customWidth="1"/>
    <col min="775" max="775" width="2.28515625" style="252" customWidth="1"/>
    <col min="776" max="776" width="13.5703125" style="252" customWidth="1"/>
    <col min="777" max="777" width="2.28515625" style="252" customWidth="1"/>
    <col min="778" max="778" width="13.5703125" style="252" customWidth="1"/>
    <col min="779" max="779" width="2.28515625" style="252" customWidth="1"/>
    <col min="780" max="780" width="13.5703125" style="252" customWidth="1"/>
    <col min="781" max="781" width="2.28515625" style="252" customWidth="1"/>
    <col min="782" max="782" width="13.5703125" style="252" customWidth="1"/>
    <col min="783" max="783" width="2.28515625" style="252" customWidth="1"/>
    <col min="784" max="784" width="13.5703125" style="252" customWidth="1"/>
    <col min="785" max="785" width="2.28515625" style="252" customWidth="1"/>
    <col min="786" max="786" width="13.5703125" style="252" customWidth="1"/>
    <col min="787" max="787" width="3.28515625" style="252" customWidth="1"/>
    <col min="788" max="788" width="3.5703125" style="252" customWidth="1"/>
    <col min="789" max="789" width="11.28515625" style="252" customWidth="1"/>
    <col min="790" max="790" width="11.7109375" style="252" bestFit="1" customWidth="1"/>
    <col min="791" max="791" width="40.28515625" style="252" bestFit="1" customWidth="1"/>
    <col min="792" max="792" width="2.28515625" style="252" customWidth="1"/>
    <col min="793" max="793" width="9.5703125" style="252" customWidth="1"/>
    <col min="794" max="794" width="2.28515625" style="252" customWidth="1"/>
    <col min="795" max="795" width="13.5703125" style="252" customWidth="1"/>
    <col min="796" max="796" width="2.28515625" style="252" customWidth="1"/>
    <col min="797" max="797" width="13.5703125" style="252" customWidth="1"/>
    <col min="798" max="798" width="2.28515625" style="252" customWidth="1"/>
    <col min="799" max="799" width="13.5703125" style="252" customWidth="1"/>
    <col min="800" max="800" width="2.28515625" style="252" customWidth="1"/>
    <col min="801" max="801" width="13.5703125" style="252" customWidth="1"/>
    <col min="802" max="802" width="2.28515625" style="252" customWidth="1"/>
    <col min="803" max="803" width="13.5703125" style="252" customWidth="1"/>
    <col min="804" max="804" width="2.28515625" style="252" customWidth="1"/>
    <col min="805" max="806" width="13.5703125" style="252" customWidth="1"/>
    <col min="807" max="1024" width="9.140625" style="252"/>
    <col min="1025" max="1025" width="3.5703125" style="252" customWidth="1"/>
    <col min="1026" max="1026" width="6.7109375" style="252" bestFit="1" customWidth="1"/>
    <col min="1027" max="1027" width="10.7109375" style="252" bestFit="1" customWidth="1"/>
    <col min="1028" max="1028" width="40.28515625" style="252" bestFit="1" customWidth="1"/>
    <col min="1029" max="1029" width="2.28515625" style="252" customWidth="1"/>
    <col min="1030" max="1030" width="9.5703125" style="252" customWidth="1"/>
    <col min="1031" max="1031" width="2.28515625" style="252" customWidth="1"/>
    <col min="1032" max="1032" width="13.5703125" style="252" customWidth="1"/>
    <col min="1033" max="1033" width="2.28515625" style="252" customWidth="1"/>
    <col min="1034" max="1034" width="13.5703125" style="252" customWidth="1"/>
    <col min="1035" max="1035" width="2.28515625" style="252" customWidth="1"/>
    <col min="1036" max="1036" width="13.5703125" style="252" customWidth="1"/>
    <col min="1037" max="1037" width="2.28515625" style="252" customWidth="1"/>
    <col min="1038" max="1038" width="13.5703125" style="252" customWidth="1"/>
    <col min="1039" max="1039" width="2.28515625" style="252" customWidth="1"/>
    <col min="1040" max="1040" width="13.5703125" style="252" customWidth="1"/>
    <col min="1041" max="1041" width="2.28515625" style="252" customWidth="1"/>
    <col min="1042" max="1042" width="13.5703125" style="252" customWidth="1"/>
    <col min="1043" max="1043" width="3.28515625" style="252" customWidth="1"/>
    <col min="1044" max="1044" width="3.5703125" style="252" customWidth="1"/>
    <col min="1045" max="1045" width="11.28515625" style="252" customWidth="1"/>
    <col min="1046" max="1046" width="11.7109375" style="252" bestFit="1" customWidth="1"/>
    <col min="1047" max="1047" width="40.28515625" style="252" bestFit="1" customWidth="1"/>
    <col min="1048" max="1048" width="2.28515625" style="252" customWidth="1"/>
    <col min="1049" max="1049" width="9.5703125" style="252" customWidth="1"/>
    <col min="1050" max="1050" width="2.28515625" style="252" customWidth="1"/>
    <col min="1051" max="1051" width="13.5703125" style="252" customWidth="1"/>
    <col min="1052" max="1052" width="2.28515625" style="252" customWidth="1"/>
    <col min="1053" max="1053" width="13.5703125" style="252" customWidth="1"/>
    <col min="1054" max="1054" width="2.28515625" style="252" customWidth="1"/>
    <col min="1055" max="1055" width="13.5703125" style="252" customWidth="1"/>
    <col min="1056" max="1056" width="2.28515625" style="252" customWidth="1"/>
    <col min="1057" max="1057" width="13.5703125" style="252" customWidth="1"/>
    <col min="1058" max="1058" width="2.28515625" style="252" customWidth="1"/>
    <col min="1059" max="1059" width="13.5703125" style="252" customWidth="1"/>
    <col min="1060" max="1060" width="2.28515625" style="252" customWidth="1"/>
    <col min="1061" max="1062" width="13.5703125" style="252" customWidth="1"/>
    <col min="1063" max="1280" width="9.140625" style="252"/>
    <col min="1281" max="1281" width="3.5703125" style="252" customWidth="1"/>
    <col min="1282" max="1282" width="6.7109375" style="252" bestFit="1" customWidth="1"/>
    <col min="1283" max="1283" width="10.7109375" style="252" bestFit="1" customWidth="1"/>
    <col min="1284" max="1284" width="40.28515625" style="252" bestFit="1" customWidth="1"/>
    <col min="1285" max="1285" width="2.28515625" style="252" customWidth="1"/>
    <col min="1286" max="1286" width="9.5703125" style="252" customWidth="1"/>
    <col min="1287" max="1287" width="2.28515625" style="252" customWidth="1"/>
    <col min="1288" max="1288" width="13.5703125" style="252" customWidth="1"/>
    <col min="1289" max="1289" width="2.28515625" style="252" customWidth="1"/>
    <col min="1290" max="1290" width="13.5703125" style="252" customWidth="1"/>
    <col min="1291" max="1291" width="2.28515625" style="252" customWidth="1"/>
    <col min="1292" max="1292" width="13.5703125" style="252" customWidth="1"/>
    <col min="1293" max="1293" width="2.28515625" style="252" customWidth="1"/>
    <col min="1294" max="1294" width="13.5703125" style="252" customWidth="1"/>
    <col min="1295" max="1295" width="2.28515625" style="252" customWidth="1"/>
    <col min="1296" max="1296" width="13.5703125" style="252" customWidth="1"/>
    <col min="1297" max="1297" width="2.28515625" style="252" customWidth="1"/>
    <col min="1298" max="1298" width="13.5703125" style="252" customWidth="1"/>
    <col min="1299" max="1299" width="3.28515625" style="252" customWidth="1"/>
    <col min="1300" max="1300" width="3.5703125" style="252" customWidth="1"/>
    <col min="1301" max="1301" width="11.28515625" style="252" customWidth="1"/>
    <col min="1302" max="1302" width="11.7109375" style="252" bestFit="1" customWidth="1"/>
    <col min="1303" max="1303" width="40.28515625" style="252" bestFit="1" customWidth="1"/>
    <col min="1304" max="1304" width="2.28515625" style="252" customWidth="1"/>
    <col min="1305" max="1305" width="9.5703125" style="252" customWidth="1"/>
    <col min="1306" max="1306" width="2.28515625" style="252" customWidth="1"/>
    <col min="1307" max="1307" width="13.5703125" style="252" customWidth="1"/>
    <col min="1308" max="1308" width="2.28515625" style="252" customWidth="1"/>
    <col min="1309" max="1309" width="13.5703125" style="252" customWidth="1"/>
    <col min="1310" max="1310" width="2.28515625" style="252" customWidth="1"/>
    <col min="1311" max="1311" width="13.5703125" style="252" customWidth="1"/>
    <col min="1312" max="1312" width="2.28515625" style="252" customWidth="1"/>
    <col min="1313" max="1313" width="13.5703125" style="252" customWidth="1"/>
    <col min="1314" max="1314" width="2.28515625" style="252" customWidth="1"/>
    <col min="1315" max="1315" width="13.5703125" style="252" customWidth="1"/>
    <col min="1316" max="1316" width="2.28515625" style="252" customWidth="1"/>
    <col min="1317" max="1318" width="13.5703125" style="252" customWidth="1"/>
    <col min="1319" max="1536" width="9.140625" style="252"/>
    <col min="1537" max="1537" width="3.5703125" style="252" customWidth="1"/>
    <col min="1538" max="1538" width="6.7109375" style="252" bestFit="1" customWidth="1"/>
    <col min="1539" max="1539" width="10.7109375" style="252" bestFit="1" customWidth="1"/>
    <col min="1540" max="1540" width="40.28515625" style="252" bestFit="1" customWidth="1"/>
    <col min="1541" max="1541" width="2.28515625" style="252" customWidth="1"/>
    <col min="1542" max="1542" width="9.5703125" style="252" customWidth="1"/>
    <col min="1543" max="1543" width="2.28515625" style="252" customWidth="1"/>
    <col min="1544" max="1544" width="13.5703125" style="252" customWidth="1"/>
    <col min="1545" max="1545" width="2.28515625" style="252" customWidth="1"/>
    <col min="1546" max="1546" width="13.5703125" style="252" customWidth="1"/>
    <col min="1547" max="1547" width="2.28515625" style="252" customWidth="1"/>
    <col min="1548" max="1548" width="13.5703125" style="252" customWidth="1"/>
    <col min="1549" max="1549" width="2.28515625" style="252" customWidth="1"/>
    <col min="1550" max="1550" width="13.5703125" style="252" customWidth="1"/>
    <col min="1551" max="1551" width="2.28515625" style="252" customWidth="1"/>
    <col min="1552" max="1552" width="13.5703125" style="252" customWidth="1"/>
    <col min="1553" max="1553" width="2.28515625" style="252" customWidth="1"/>
    <col min="1554" max="1554" width="13.5703125" style="252" customWidth="1"/>
    <col min="1555" max="1555" width="3.28515625" style="252" customWidth="1"/>
    <col min="1556" max="1556" width="3.5703125" style="252" customWidth="1"/>
    <col min="1557" max="1557" width="11.28515625" style="252" customWidth="1"/>
    <col min="1558" max="1558" width="11.7109375" style="252" bestFit="1" customWidth="1"/>
    <col min="1559" max="1559" width="40.28515625" style="252" bestFit="1" customWidth="1"/>
    <col min="1560" max="1560" width="2.28515625" style="252" customWidth="1"/>
    <col min="1561" max="1561" width="9.5703125" style="252" customWidth="1"/>
    <col min="1562" max="1562" width="2.28515625" style="252" customWidth="1"/>
    <col min="1563" max="1563" width="13.5703125" style="252" customWidth="1"/>
    <col min="1564" max="1564" width="2.28515625" style="252" customWidth="1"/>
    <col min="1565" max="1565" width="13.5703125" style="252" customWidth="1"/>
    <col min="1566" max="1566" width="2.28515625" style="252" customWidth="1"/>
    <col min="1567" max="1567" width="13.5703125" style="252" customWidth="1"/>
    <col min="1568" max="1568" width="2.28515625" style="252" customWidth="1"/>
    <col min="1569" max="1569" width="13.5703125" style="252" customWidth="1"/>
    <col min="1570" max="1570" width="2.28515625" style="252" customWidth="1"/>
    <col min="1571" max="1571" width="13.5703125" style="252" customWidth="1"/>
    <col min="1572" max="1572" width="2.28515625" style="252" customWidth="1"/>
    <col min="1573" max="1574" width="13.5703125" style="252" customWidth="1"/>
    <col min="1575" max="1792" width="9.140625" style="252"/>
    <col min="1793" max="1793" width="3.5703125" style="252" customWidth="1"/>
    <col min="1794" max="1794" width="6.7109375" style="252" bestFit="1" customWidth="1"/>
    <col min="1795" max="1795" width="10.7109375" style="252" bestFit="1" customWidth="1"/>
    <col min="1796" max="1796" width="40.28515625" style="252" bestFit="1" customWidth="1"/>
    <col min="1797" max="1797" width="2.28515625" style="252" customWidth="1"/>
    <col min="1798" max="1798" width="9.5703125" style="252" customWidth="1"/>
    <col min="1799" max="1799" width="2.28515625" style="252" customWidth="1"/>
    <col min="1800" max="1800" width="13.5703125" style="252" customWidth="1"/>
    <col min="1801" max="1801" width="2.28515625" style="252" customWidth="1"/>
    <col min="1802" max="1802" width="13.5703125" style="252" customWidth="1"/>
    <col min="1803" max="1803" width="2.28515625" style="252" customWidth="1"/>
    <col min="1804" max="1804" width="13.5703125" style="252" customWidth="1"/>
    <col min="1805" max="1805" width="2.28515625" style="252" customWidth="1"/>
    <col min="1806" max="1806" width="13.5703125" style="252" customWidth="1"/>
    <col min="1807" max="1807" width="2.28515625" style="252" customWidth="1"/>
    <col min="1808" max="1808" width="13.5703125" style="252" customWidth="1"/>
    <col min="1809" max="1809" width="2.28515625" style="252" customWidth="1"/>
    <col min="1810" max="1810" width="13.5703125" style="252" customWidth="1"/>
    <col min="1811" max="1811" width="3.28515625" style="252" customWidth="1"/>
    <col min="1812" max="1812" width="3.5703125" style="252" customWidth="1"/>
    <col min="1813" max="1813" width="11.28515625" style="252" customWidth="1"/>
    <col min="1814" max="1814" width="11.7109375" style="252" bestFit="1" customWidth="1"/>
    <col min="1815" max="1815" width="40.28515625" style="252" bestFit="1" customWidth="1"/>
    <col min="1816" max="1816" width="2.28515625" style="252" customWidth="1"/>
    <col min="1817" max="1817" width="9.5703125" style="252" customWidth="1"/>
    <col min="1818" max="1818" width="2.28515625" style="252" customWidth="1"/>
    <col min="1819" max="1819" width="13.5703125" style="252" customWidth="1"/>
    <col min="1820" max="1820" width="2.28515625" style="252" customWidth="1"/>
    <col min="1821" max="1821" width="13.5703125" style="252" customWidth="1"/>
    <col min="1822" max="1822" width="2.28515625" style="252" customWidth="1"/>
    <col min="1823" max="1823" width="13.5703125" style="252" customWidth="1"/>
    <col min="1824" max="1824" width="2.28515625" style="252" customWidth="1"/>
    <col min="1825" max="1825" width="13.5703125" style="252" customWidth="1"/>
    <col min="1826" max="1826" width="2.28515625" style="252" customWidth="1"/>
    <col min="1827" max="1827" width="13.5703125" style="252" customWidth="1"/>
    <col min="1828" max="1828" width="2.28515625" style="252" customWidth="1"/>
    <col min="1829" max="1830" width="13.5703125" style="252" customWidth="1"/>
    <col min="1831" max="2048" width="9.140625" style="252"/>
    <col min="2049" max="2049" width="3.5703125" style="252" customWidth="1"/>
    <col min="2050" max="2050" width="6.7109375" style="252" bestFit="1" customWidth="1"/>
    <col min="2051" max="2051" width="10.7109375" style="252" bestFit="1" customWidth="1"/>
    <col min="2052" max="2052" width="40.28515625" style="252" bestFit="1" customWidth="1"/>
    <col min="2053" max="2053" width="2.28515625" style="252" customWidth="1"/>
    <col min="2054" max="2054" width="9.5703125" style="252" customWidth="1"/>
    <col min="2055" max="2055" width="2.28515625" style="252" customWidth="1"/>
    <col min="2056" max="2056" width="13.5703125" style="252" customWidth="1"/>
    <col min="2057" max="2057" width="2.28515625" style="252" customWidth="1"/>
    <col min="2058" max="2058" width="13.5703125" style="252" customWidth="1"/>
    <col min="2059" max="2059" width="2.28515625" style="252" customWidth="1"/>
    <col min="2060" max="2060" width="13.5703125" style="252" customWidth="1"/>
    <col min="2061" max="2061" width="2.28515625" style="252" customWidth="1"/>
    <col min="2062" max="2062" width="13.5703125" style="252" customWidth="1"/>
    <col min="2063" max="2063" width="2.28515625" style="252" customWidth="1"/>
    <col min="2064" max="2064" width="13.5703125" style="252" customWidth="1"/>
    <col min="2065" max="2065" width="2.28515625" style="252" customWidth="1"/>
    <col min="2066" max="2066" width="13.5703125" style="252" customWidth="1"/>
    <col min="2067" max="2067" width="3.28515625" style="252" customWidth="1"/>
    <col min="2068" max="2068" width="3.5703125" style="252" customWidth="1"/>
    <col min="2069" max="2069" width="11.28515625" style="252" customWidth="1"/>
    <col min="2070" max="2070" width="11.7109375" style="252" bestFit="1" customWidth="1"/>
    <col min="2071" max="2071" width="40.28515625" style="252" bestFit="1" customWidth="1"/>
    <col min="2072" max="2072" width="2.28515625" style="252" customWidth="1"/>
    <col min="2073" max="2073" width="9.5703125" style="252" customWidth="1"/>
    <col min="2074" max="2074" width="2.28515625" style="252" customWidth="1"/>
    <col min="2075" max="2075" width="13.5703125" style="252" customWidth="1"/>
    <col min="2076" max="2076" width="2.28515625" style="252" customWidth="1"/>
    <col min="2077" max="2077" width="13.5703125" style="252" customWidth="1"/>
    <col min="2078" max="2078" width="2.28515625" style="252" customWidth="1"/>
    <col min="2079" max="2079" width="13.5703125" style="252" customWidth="1"/>
    <col min="2080" max="2080" width="2.28515625" style="252" customWidth="1"/>
    <col min="2081" max="2081" width="13.5703125" style="252" customWidth="1"/>
    <col min="2082" max="2082" width="2.28515625" style="252" customWidth="1"/>
    <col min="2083" max="2083" width="13.5703125" style="252" customWidth="1"/>
    <col min="2084" max="2084" width="2.28515625" style="252" customWidth="1"/>
    <col min="2085" max="2086" width="13.5703125" style="252" customWidth="1"/>
    <col min="2087" max="2304" width="9.140625" style="252"/>
    <col min="2305" max="2305" width="3.5703125" style="252" customWidth="1"/>
    <col min="2306" max="2306" width="6.7109375" style="252" bestFit="1" customWidth="1"/>
    <col min="2307" max="2307" width="10.7109375" style="252" bestFit="1" customWidth="1"/>
    <col min="2308" max="2308" width="40.28515625" style="252" bestFit="1" customWidth="1"/>
    <col min="2309" max="2309" width="2.28515625" style="252" customWidth="1"/>
    <col min="2310" max="2310" width="9.5703125" style="252" customWidth="1"/>
    <col min="2311" max="2311" width="2.28515625" style="252" customWidth="1"/>
    <col min="2312" max="2312" width="13.5703125" style="252" customWidth="1"/>
    <col min="2313" max="2313" width="2.28515625" style="252" customWidth="1"/>
    <col min="2314" max="2314" width="13.5703125" style="252" customWidth="1"/>
    <col min="2315" max="2315" width="2.28515625" style="252" customWidth="1"/>
    <col min="2316" max="2316" width="13.5703125" style="252" customWidth="1"/>
    <col min="2317" max="2317" width="2.28515625" style="252" customWidth="1"/>
    <col min="2318" max="2318" width="13.5703125" style="252" customWidth="1"/>
    <col min="2319" max="2319" width="2.28515625" style="252" customWidth="1"/>
    <col min="2320" max="2320" width="13.5703125" style="252" customWidth="1"/>
    <col min="2321" max="2321" width="2.28515625" style="252" customWidth="1"/>
    <col min="2322" max="2322" width="13.5703125" style="252" customWidth="1"/>
    <col min="2323" max="2323" width="3.28515625" style="252" customWidth="1"/>
    <col min="2324" max="2324" width="3.5703125" style="252" customWidth="1"/>
    <col min="2325" max="2325" width="11.28515625" style="252" customWidth="1"/>
    <col min="2326" max="2326" width="11.7109375" style="252" bestFit="1" customWidth="1"/>
    <col min="2327" max="2327" width="40.28515625" style="252" bestFit="1" customWidth="1"/>
    <col min="2328" max="2328" width="2.28515625" style="252" customWidth="1"/>
    <col min="2329" max="2329" width="9.5703125" style="252" customWidth="1"/>
    <col min="2330" max="2330" width="2.28515625" style="252" customWidth="1"/>
    <col min="2331" max="2331" width="13.5703125" style="252" customWidth="1"/>
    <col min="2332" max="2332" width="2.28515625" style="252" customWidth="1"/>
    <col min="2333" max="2333" width="13.5703125" style="252" customWidth="1"/>
    <col min="2334" max="2334" width="2.28515625" style="252" customWidth="1"/>
    <col min="2335" max="2335" width="13.5703125" style="252" customWidth="1"/>
    <col min="2336" max="2336" width="2.28515625" style="252" customWidth="1"/>
    <col min="2337" max="2337" width="13.5703125" style="252" customWidth="1"/>
    <col min="2338" max="2338" width="2.28515625" style="252" customWidth="1"/>
    <col min="2339" max="2339" width="13.5703125" style="252" customWidth="1"/>
    <col min="2340" max="2340" width="2.28515625" style="252" customWidth="1"/>
    <col min="2341" max="2342" width="13.5703125" style="252" customWidth="1"/>
    <col min="2343" max="2560" width="9.140625" style="252"/>
    <col min="2561" max="2561" width="3.5703125" style="252" customWidth="1"/>
    <col min="2562" max="2562" width="6.7109375" style="252" bestFit="1" customWidth="1"/>
    <col min="2563" max="2563" width="10.7109375" style="252" bestFit="1" customWidth="1"/>
    <col min="2564" max="2564" width="40.28515625" style="252" bestFit="1" customWidth="1"/>
    <col min="2565" max="2565" width="2.28515625" style="252" customWidth="1"/>
    <col min="2566" max="2566" width="9.5703125" style="252" customWidth="1"/>
    <col min="2567" max="2567" width="2.28515625" style="252" customWidth="1"/>
    <col min="2568" max="2568" width="13.5703125" style="252" customWidth="1"/>
    <col min="2569" max="2569" width="2.28515625" style="252" customWidth="1"/>
    <col min="2570" max="2570" width="13.5703125" style="252" customWidth="1"/>
    <col min="2571" max="2571" width="2.28515625" style="252" customWidth="1"/>
    <col min="2572" max="2572" width="13.5703125" style="252" customWidth="1"/>
    <col min="2573" max="2573" width="2.28515625" style="252" customWidth="1"/>
    <col min="2574" max="2574" width="13.5703125" style="252" customWidth="1"/>
    <col min="2575" max="2575" width="2.28515625" style="252" customWidth="1"/>
    <col min="2576" max="2576" width="13.5703125" style="252" customWidth="1"/>
    <col min="2577" max="2577" width="2.28515625" style="252" customWidth="1"/>
    <col min="2578" max="2578" width="13.5703125" style="252" customWidth="1"/>
    <col min="2579" max="2579" width="3.28515625" style="252" customWidth="1"/>
    <col min="2580" max="2580" width="3.5703125" style="252" customWidth="1"/>
    <col min="2581" max="2581" width="11.28515625" style="252" customWidth="1"/>
    <col min="2582" max="2582" width="11.7109375" style="252" bestFit="1" customWidth="1"/>
    <col min="2583" max="2583" width="40.28515625" style="252" bestFit="1" customWidth="1"/>
    <col min="2584" max="2584" width="2.28515625" style="252" customWidth="1"/>
    <col min="2585" max="2585" width="9.5703125" style="252" customWidth="1"/>
    <col min="2586" max="2586" width="2.28515625" style="252" customWidth="1"/>
    <col min="2587" max="2587" width="13.5703125" style="252" customWidth="1"/>
    <col min="2588" max="2588" width="2.28515625" style="252" customWidth="1"/>
    <col min="2589" max="2589" width="13.5703125" style="252" customWidth="1"/>
    <col min="2590" max="2590" width="2.28515625" style="252" customWidth="1"/>
    <col min="2591" max="2591" width="13.5703125" style="252" customWidth="1"/>
    <col min="2592" max="2592" width="2.28515625" style="252" customWidth="1"/>
    <col min="2593" max="2593" width="13.5703125" style="252" customWidth="1"/>
    <col min="2594" max="2594" width="2.28515625" style="252" customWidth="1"/>
    <col min="2595" max="2595" width="13.5703125" style="252" customWidth="1"/>
    <col min="2596" max="2596" width="2.28515625" style="252" customWidth="1"/>
    <col min="2597" max="2598" width="13.5703125" style="252" customWidth="1"/>
    <col min="2599" max="2816" width="9.140625" style="252"/>
    <col min="2817" max="2817" width="3.5703125" style="252" customWidth="1"/>
    <col min="2818" max="2818" width="6.7109375" style="252" bestFit="1" customWidth="1"/>
    <col min="2819" max="2819" width="10.7109375" style="252" bestFit="1" customWidth="1"/>
    <col min="2820" max="2820" width="40.28515625" style="252" bestFit="1" customWidth="1"/>
    <col min="2821" max="2821" width="2.28515625" style="252" customWidth="1"/>
    <col min="2822" max="2822" width="9.5703125" style="252" customWidth="1"/>
    <col min="2823" max="2823" width="2.28515625" style="252" customWidth="1"/>
    <col min="2824" max="2824" width="13.5703125" style="252" customWidth="1"/>
    <col min="2825" max="2825" width="2.28515625" style="252" customWidth="1"/>
    <col min="2826" max="2826" width="13.5703125" style="252" customWidth="1"/>
    <col min="2827" max="2827" width="2.28515625" style="252" customWidth="1"/>
    <col min="2828" max="2828" width="13.5703125" style="252" customWidth="1"/>
    <col min="2829" max="2829" width="2.28515625" style="252" customWidth="1"/>
    <col min="2830" max="2830" width="13.5703125" style="252" customWidth="1"/>
    <col min="2831" max="2831" width="2.28515625" style="252" customWidth="1"/>
    <col min="2832" max="2832" width="13.5703125" style="252" customWidth="1"/>
    <col min="2833" max="2833" width="2.28515625" style="252" customWidth="1"/>
    <col min="2834" max="2834" width="13.5703125" style="252" customWidth="1"/>
    <col min="2835" max="2835" width="3.28515625" style="252" customWidth="1"/>
    <col min="2836" max="2836" width="3.5703125" style="252" customWidth="1"/>
    <col min="2837" max="2837" width="11.28515625" style="252" customWidth="1"/>
    <col min="2838" max="2838" width="11.7109375" style="252" bestFit="1" customWidth="1"/>
    <col min="2839" max="2839" width="40.28515625" style="252" bestFit="1" customWidth="1"/>
    <col min="2840" max="2840" width="2.28515625" style="252" customWidth="1"/>
    <col min="2841" max="2841" width="9.5703125" style="252" customWidth="1"/>
    <col min="2842" max="2842" width="2.28515625" style="252" customWidth="1"/>
    <col min="2843" max="2843" width="13.5703125" style="252" customWidth="1"/>
    <col min="2844" max="2844" width="2.28515625" style="252" customWidth="1"/>
    <col min="2845" max="2845" width="13.5703125" style="252" customWidth="1"/>
    <col min="2846" max="2846" width="2.28515625" style="252" customWidth="1"/>
    <col min="2847" max="2847" width="13.5703125" style="252" customWidth="1"/>
    <col min="2848" max="2848" width="2.28515625" style="252" customWidth="1"/>
    <col min="2849" max="2849" width="13.5703125" style="252" customWidth="1"/>
    <col min="2850" max="2850" width="2.28515625" style="252" customWidth="1"/>
    <col min="2851" max="2851" width="13.5703125" style="252" customWidth="1"/>
    <col min="2852" max="2852" width="2.28515625" style="252" customWidth="1"/>
    <col min="2853" max="2854" width="13.5703125" style="252" customWidth="1"/>
    <col min="2855" max="3072" width="9.140625" style="252"/>
    <col min="3073" max="3073" width="3.5703125" style="252" customWidth="1"/>
    <col min="3074" max="3074" width="6.7109375" style="252" bestFit="1" customWidth="1"/>
    <col min="3075" max="3075" width="10.7109375" style="252" bestFit="1" customWidth="1"/>
    <col min="3076" max="3076" width="40.28515625" style="252" bestFit="1" customWidth="1"/>
    <col min="3077" max="3077" width="2.28515625" style="252" customWidth="1"/>
    <col min="3078" max="3078" width="9.5703125" style="252" customWidth="1"/>
    <col min="3079" max="3079" width="2.28515625" style="252" customWidth="1"/>
    <col min="3080" max="3080" width="13.5703125" style="252" customWidth="1"/>
    <col min="3081" max="3081" width="2.28515625" style="252" customWidth="1"/>
    <col min="3082" max="3082" width="13.5703125" style="252" customWidth="1"/>
    <col min="3083" max="3083" width="2.28515625" style="252" customWidth="1"/>
    <col min="3084" max="3084" width="13.5703125" style="252" customWidth="1"/>
    <col min="3085" max="3085" width="2.28515625" style="252" customWidth="1"/>
    <col min="3086" max="3086" width="13.5703125" style="252" customWidth="1"/>
    <col min="3087" max="3087" width="2.28515625" style="252" customWidth="1"/>
    <col min="3088" max="3088" width="13.5703125" style="252" customWidth="1"/>
    <col min="3089" max="3089" width="2.28515625" style="252" customWidth="1"/>
    <col min="3090" max="3090" width="13.5703125" style="252" customWidth="1"/>
    <col min="3091" max="3091" width="3.28515625" style="252" customWidth="1"/>
    <col min="3092" max="3092" width="3.5703125" style="252" customWidth="1"/>
    <col min="3093" max="3093" width="11.28515625" style="252" customWidth="1"/>
    <col min="3094" max="3094" width="11.7109375" style="252" bestFit="1" customWidth="1"/>
    <col min="3095" max="3095" width="40.28515625" style="252" bestFit="1" customWidth="1"/>
    <col min="3096" max="3096" width="2.28515625" style="252" customWidth="1"/>
    <col min="3097" max="3097" width="9.5703125" style="252" customWidth="1"/>
    <col min="3098" max="3098" width="2.28515625" style="252" customWidth="1"/>
    <col min="3099" max="3099" width="13.5703125" style="252" customWidth="1"/>
    <col min="3100" max="3100" width="2.28515625" style="252" customWidth="1"/>
    <col min="3101" max="3101" width="13.5703125" style="252" customWidth="1"/>
    <col min="3102" max="3102" width="2.28515625" style="252" customWidth="1"/>
    <col min="3103" max="3103" width="13.5703125" style="252" customWidth="1"/>
    <col min="3104" max="3104" width="2.28515625" style="252" customWidth="1"/>
    <col min="3105" max="3105" width="13.5703125" style="252" customWidth="1"/>
    <col min="3106" max="3106" width="2.28515625" style="252" customWidth="1"/>
    <col min="3107" max="3107" width="13.5703125" style="252" customWidth="1"/>
    <col min="3108" max="3108" width="2.28515625" style="252" customWidth="1"/>
    <col min="3109" max="3110" width="13.5703125" style="252" customWidth="1"/>
    <col min="3111" max="3328" width="9.140625" style="252"/>
    <col min="3329" max="3329" width="3.5703125" style="252" customWidth="1"/>
    <col min="3330" max="3330" width="6.7109375" style="252" bestFit="1" customWidth="1"/>
    <col min="3331" max="3331" width="10.7109375" style="252" bestFit="1" customWidth="1"/>
    <col min="3332" max="3332" width="40.28515625" style="252" bestFit="1" customWidth="1"/>
    <col min="3333" max="3333" width="2.28515625" style="252" customWidth="1"/>
    <col min="3334" max="3334" width="9.5703125" style="252" customWidth="1"/>
    <col min="3335" max="3335" width="2.28515625" style="252" customWidth="1"/>
    <col min="3336" max="3336" width="13.5703125" style="252" customWidth="1"/>
    <col min="3337" max="3337" width="2.28515625" style="252" customWidth="1"/>
    <col min="3338" max="3338" width="13.5703125" style="252" customWidth="1"/>
    <col min="3339" max="3339" width="2.28515625" style="252" customWidth="1"/>
    <col min="3340" max="3340" width="13.5703125" style="252" customWidth="1"/>
    <col min="3341" max="3341" width="2.28515625" style="252" customWidth="1"/>
    <col min="3342" max="3342" width="13.5703125" style="252" customWidth="1"/>
    <col min="3343" max="3343" width="2.28515625" style="252" customWidth="1"/>
    <col min="3344" max="3344" width="13.5703125" style="252" customWidth="1"/>
    <col min="3345" max="3345" width="2.28515625" style="252" customWidth="1"/>
    <col min="3346" max="3346" width="13.5703125" style="252" customWidth="1"/>
    <col min="3347" max="3347" width="3.28515625" style="252" customWidth="1"/>
    <col min="3348" max="3348" width="3.5703125" style="252" customWidth="1"/>
    <col min="3349" max="3349" width="11.28515625" style="252" customWidth="1"/>
    <col min="3350" max="3350" width="11.7109375" style="252" bestFit="1" customWidth="1"/>
    <col min="3351" max="3351" width="40.28515625" style="252" bestFit="1" customWidth="1"/>
    <col min="3352" max="3352" width="2.28515625" style="252" customWidth="1"/>
    <col min="3353" max="3353" width="9.5703125" style="252" customWidth="1"/>
    <col min="3354" max="3354" width="2.28515625" style="252" customWidth="1"/>
    <col min="3355" max="3355" width="13.5703125" style="252" customWidth="1"/>
    <col min="3356" max="3356" width="2.28515625" style="252" customWidth="1"/>
    <col min="3357" max="3357" width="13.5703125" style="252" customWidth="1"/>
    <col min="3358" max="3358" width="2.28515625" style="252" customWidth="1"/>
    <col min="3359" max="3359" width="13.5703125" style="252" customWidth="1"/>
    <col min="3360" max="3360" width="2.28515625" style="252" customWidth="1"/>
    <col min="3361" max="3361" width="13.5703125" style="252" customWidth="1"/>
    <col min="3362" max="3362" width="2.28515625" style="252" customWidth="1"/>
    <col min="3363" max="3363" width="13.5703125" style="252" customWidth="1"/>
    <col min="3364" max="3364" width="2.28515625" style="252" customWidth="1"/>
    <col min="3365" max="3366" width="13.5703125" style="252" customWidth="1"/>
    <col min="3367" max="3584" width="9.140625" style="252"/>
    <col min="3585" max="3585" width="3.5703125" style="252" customWidth="1"/>
    <col min="3586" max="3586" width="6.7109375" style="252" bestFit="1" customWidth="1"/>
    <col min="3587" max="3587" width="10.7109375" style="252" bestFit="1" customWidth="1"/>
    <col min="3588" max="3588" width="40.28515625" style="252" bestFit="1" customWidth="1"/>
    <col min="3589" max="3589" width="2.28515625" style="252" customWidth="1"/>
    <col min="3590" max="3590" width="9.5703125" style="252" customWidth="1"/>
    <col min="3591" max="3591" width="2.28515625" style="252" customWidth="1"/>
    <col min="3592" max="3592" width="13.5703125" style="252" customWidth="1"/>
    <col min="3593" max="3593" width="2.28515625" style="252" customWidth="1"/>
    <col min="3594" max="3594" width="13.5703125" style="252" customWidth="1"/>
    <col min="3595" max="3595" width="2.28515625" style="252" customWidth="1"/>
    <col min="3596" max="3596" width="13.5703125" style="252" customWidth="1"/>
    <col min="3597" max="3597" width="2.28515625" style="252" customWidth="1"/>
    <col min="3598" max="3598" width="13.5703125" style="252" customWidth="1"/>
    <col min="3599" max="3599" width="2.28515625" style="252" customWidth="1"/>
    <col min="3600" max="3600" width="13.5703125" style="252" customWidth="1"/>
    <col min="3601" max="3601" width="2.28515625" style="252" customWidth="1"/>
    <col min="3602" max="3602" width="13.5703125" style="252" customWidth="1"/>
    <col min="3603" max="3603" width="3.28515625" style="252" customWidth="1"/>
    <col min="3604" max="3604" width="3.5703125" style="252" customWidth="1"/>
    <col min="3605" max="3605" width="11.28515625" style="252" customWidth="1"/>
    <col min="3606" max="3606" width="11.7109375" style="252" bestFit="1" customWidth="1"/>
    <col min="3607" max="3607" width="40.28515625" style="252" bestFit="1" customWidth="1"/>
    <col min="3608" max="3608" width="2.28515625" style="252" customWidth="1"/>
    <col min="3609" max="3609" width="9.5703125" style="252" customWidth="1"/>
    <col min="3610" max="3610" width="2.28515625" style="252" customWidth="1"/>
    <col min="3611" max="3611" width="13.5703125" style="252" customWidth="1"/>
    <col min="3612" max="3612" width="2.28515625" style="252" customWidth="1"/>
    <col min="3613" max="3613" width="13.5703125" style="252" customWidth="1"/>
    <col min="3614" max="3614" width="2.28515625" style="252" customWidth="1"/>
    <col min="3615" max="3615" width="13.5703125" style="252" customWidth="1"/>
    <col min="3616" max="3616" width="2.28515625" style="252" customWidth="1"/>
    <col min="3617" max="3617" width="13.5703125" style="252" customWidth="1"/>
    <col min="3618" max="3618" width="2.28515625" style="252" customWidth="1"/>
    <col min="3619" max="3619" width="13.5703125" style="252" customWidth="1"/>
    <col min="3620" max="3620" width="2.28515625" style="252" customWidth="1"/>
    <col min="3621" max="3622" width="13.5703125" style="252" customWidth="1"/>
    <col min="3623" max="3840" width="9.140625" style="252"/>
    <col min="3841" max="3841" width="3.5703125" style="252" customWidth="1"/>
    <col min="3842" max="3842" width="6.7109375" style="252" bestFit="1" customWidth="1"/>
    <col min="3843" max="3843" width="10.7109375" style="252" bestFit="1" customWidth="1"/>
    <col min="3844" max="3844" width="40.28515625" style="252" bestFit="1" customWidth="1"/>
    <col min="3845" max="3845" width="2.28515625" style="252" customWidth="1"/>
    <col min="3846" max="3846" width="9.5703125" style="252" customWidth="1"/>
    <col min="3847" max="3847" width="2.28515625" style="252" customWidth="1"/>
    <col min="3848" max="3848" width="13.5703125" style="252" customWidth="1"/>
    <col min="3849" max="3849" width="2.28515625" style="252" customWidth="1"/>
    <col min="3850" max="3850" width="13.5703125" style="252" customWidth="1"/>
    <col min="3851" max="3851" width="2.28515625" style="252" customWidth="1"/>
    <col min="3852" max="3852" width="13.5703125" style="252" customWidth="1"/>
    <col min="3853" max="3853" width="2.28515625" style="252" customWidth="1"/>
    <col min="3854" max="3854" width="13.5703125" style="252" customWidth="1"/>
    <col min="3855" max="3855" width="2.28515625" style="252" customWidth="1"/>
    <col min="3856" max="3856" width="13.5703125" style="252" customWidth="1"/>
    <col min="3857" max="3857" width="2.28515625" style="252" customWidth="1"/>
    <col min="3858" max="3858" width="13.5703125" style="252" customWidth="1"/>
    <col min="3859" max="3859" width="3.28515625" style="252" customWidth="1"/>
    <col min="3860" max="3860" width="3.5703125" style="252" customWidth="1"/>
    <col min="3861" max="3861" width="11.28515625" style="252" customWidth="1"/>
    <col min="3862" max="3862" width="11.7109375" style="252" bestFit="1" customWidth="1"/>
    <col min="3863" max="3863" width="40.28515625" style="252" bestFit="1" customWidth="1"/>
    <col min="3864" max="3864" width="2.28515625" style="252" customWidth="1"/>
    <col min="3865" max="3865" width="9.5703125" style="252" customWidth="1"/>
    <col min="3866" max="3866" width="2.28515625" style="252" customWidth="1"/>
    <col min="3867" max="3867" width="13.5703125" style="252" customWidth="1"/>
    <col min="3868" max="3868" width="2.28515625" style="252" customWidth="1"/>
    <col min="3869" max="3869" width="13.5703125" style="252" customWidth="1"/>
    <col min="3870" max="3870" width="2.28515625" style="252" customWidth="1"/>
    <col min="3871" max="3871" width="13.5703125" style="252" customWidth="1"/>
    <col min="3872" max="3872" width="2.28515625" style="252" customWidth="1"/>
    <col min="3873" max="3873" width="13.5703125" style="252" customWidth="1"/>
    <col min="3874" max="3874" width="2.28515625" style="252" customWidth="1"/>
    <col min="3875" max="3875" width="13.5703125" style="252" customWidth="1"/>
    <col min="3876" max="3876" width="2.28515625" style="252" customWidth="1"/>
    <col min="3877" max="3878" width="13.5703125" style="252" customWidth="1"/>
    <col min="3879" max="4096" width="9.140625" style="252"/>
    <col min="4097" max="4097" width="3.5703125" style="252" customWidth="1"/>
    <col min="4098" max="4098" width="6.7109375" style="252" bestFit="1" customWidth="1"/>
    <col min="4099" max="4099" width="10.7109375" style="252" bestFit="1" customWidth="1"/>
    <col min="4100" max="4100" width="40.28515625" style="252" bestFit="1" customWidth="1"/>
    <col min="4101" max="4101" width="2.28515625" style="252" customWidth="1"/>
    <col min="4102" max="4102" width="9.5703125" style="252" customWidth="1"/>
    <col min="4103" max="4103" width="2.28515625" style="252" customWidth="1"/>
    <col min="4104" max="4104" width="13.5703125" style="252" customWidth="1"/>
    <col min="4105" max="4105" width="2.28515625" style="252" customWidth="1"/>
    <col min="4106" max="4106" width="13.5703125" style="252" customWidth="1"/>
    <col min="4107" max="4107" width="2.28515625" style="252" customWidth="1"/>
    <col min="4108" max="4108" width="13.5703125" style="252" customWidth="1"/>
    <col min="4109" max="4109" width="2.28515625" style="252" customWidth="1"/>
    <col min="4110" max="4110" width="13.5703125" style="252" customWidth="1"/>
    <col min="4111" max="4111" width="2.28515625" style="252" customWidth="1"/>
    <col min="4112" max="4112" width="13.5703125" style="252" customWidth="1"/>
    <col min="4113" max="4113" width="2.28515625" style="252" customWidth="1"/>
    <col min="4114" max="4114" width="13.5703125" style="252" customWidth="1"/>
    <col min="4115" max="4115" width="3.28515625" style="252" customWidth="1"/>
    <col min="4116" max="4116" width="3.5703125" style="252" customWidth="1"/>
    <col min="4117" max="4117" width="11.28515625" style="252" customWidth="1"/>
    <col min="4118" max="4118" width="11.7109375" style="252" bestFit="1" customWidth="1"/>
    <col min="4119" max="4119" width="40.28515625" style="252" bestFit="1" customWidth="1"/>
    <col min="4120" max="4120" width="2.28515625" style="252" customWidth="1"/>
    <col min="4121" max="4121" width="9.5703125" style="252" customWidth="1"/>
    <col min="4122" max="4122" width="2.28515625" style="252" customWidth="1"/>
    <col min="4123" max="4123" width="13.5703125" style="252" customWidth="1"/>
    <col min="4124" max="4124" width="2.28515625" style="252" customWidth="1"/>
    <col min="4125" max="4125" width="13.5703125" style="252" customWidth="1"/>
    <col min="4126" max="4126" width="2.28515625" style="252" customWidth="1"/>
    <col min="4127" max="4127" width="13.5703125" style="252" customWidth="1"/>
    <col min="4128" max="4128" width="2.28515625" style="252" customWidth="1"/>
    <col min="4129" max="4129" width="13.5703125" style="252" customWidth="1"/>
    <col min="4130" max="4130" width="2.28515625" style="252" customWidth="1"/>
    <col min="4131" max="4131" width="13.5703125" style="252" customWidth="1"/>
    <col min="4132" max="4132" width="2.28515625" style="252" customWidth="1"/>
    <col min="4133" max="4134" width="13.5703125" style="252" customWidth="1"/>
    <col min="4135" max="4352" width="9.140625" style="252"/>
    <col min="4353" max="4353" width="3.5703125" style="252" customWidth="1"/>
    <col min="4354" max="4354" width="6.7109375" style="252" bestFit="1" customWidth="1"/>
    <col min="4355" max="4355" width="10.7109375" style="252" bestFit="1" customWidth="1"/>
    <col min="4356" max="4356" width="40.28515625" style="252" bestFit="1" customWidth="1"/>
    <col min="4357" max="4357" width="2.28515625" style="252" customWidth="1"/>
    <col min="4358" max="4358" width="9.5703125" style="252" customWidth="1"/>
    <col min="4359" max="4359" width="2.28515625" style="252" customWidth="1"/>
    <col min="4360" max="4360" width="13.5703125" style="252" customWidth="1"/>
    <col min="4361" max="4361" width="2.28515625" style="252" customWidth="1"/>
    <col min="4362" max="4362" width="13.5703125" style="252" customWidth="1"/>
    <col min="4363" max="4363" width="2.28515625" style="252" customWidth="1"/>
    <col min="4364" max="4364" width="13.5703125" style="252" customWidth="1"/>
    <col min="4365" max="4365" width="2.28515625" style="252" customWidth="1"/>
    <col min="4366" max="4366" width="13.5703125" style="252" customWidth="1"/>
    <col min="4367" max="4367" width="2.28515625" style="252" customWidth="1"/>
    <col min="4368" max="4368" width="13.5703125" style="252" customWidth="1"/>
    <col min="4369" max="4369" width="2.28515625" style="252" customWidth="1"/>
    <col min="4370" max="4370" width="13.5703125" style="252" customWidth="1"/>
    <col min="4371" max="4371" width="3.28515625" style="252" customWidth="1"/>
    <col min="4372" max="4372" width="3.5703125" style="252" customWidth="1"/>
    <col min="4373" max="4373" width="11.28515625" style="252" customWidth="1"/>
    <col min="4374" max="4374" width="11.7109375" style="252" bestFit="1" customWidth="1"/>
    <col min="4375" max="4375" width="40.28515625" style="252" bestFit="1" customWidth="1"/>
    <col min="4376" max="4376" width="2.28515625" style="252" customWidth="1"/>
    <col min="4377" max="4377" width="9.5703125" style="252" customWidth="1"/>
    <col min="4378" max="4378" width="2.28515625" style="252" customWidth="1"/>
    <col min="4379" max="4379" width="13.5703125" style="252" customWidth="1"/>
    <col min="4380" max="4380" width="2.28515625" style="252" customWidth="1"/>
    <col min="4381" max="4381" width="13.5703125" style="252" customWidth="1"/>
    <col min="4382" max="4382" width="2.28515625" style="252" customWidth="1"/>
    <col min="4383" max="4383" width="13.5703125" style="252" customWidth="1"/>
    <col min="4384" max="4384" width="2.28515625" style="252" customWidth="1"/>
    <col min="4385" max="4385" width="13.5703125" style="252" customWidth="1"/>
    <col min="4386" max="4386" width="2.28515625" style="252" customWidth="1"/>
    <col min="4387" max="4387" width="13.5703125" style="252" customWidth="1"/>
    <col min="4388" max="4388" width="2.28515625" style="252" customWidth="1"/>
    <col min="4389" max="4390" width="13.5703125" style="252" customWidth="1"/>
    <col min="4391" max="4608" width="9.140625" style="252"/>
    <col min="4609" max="4609" width="3.5703125" style="252" customWidth="1"/>
    <col min="4610" max="4610" width="6.7109375" style="252" bestFit="1" customWidth="1"/>
    <col min="4611" max="4611" width="10.7109375" style="252" bestFit="1" customWidth="1"/>
    <col min="4612" max="4612" width="40.28515625" style="252" bestFit="1" customWidth="1"/>
    <col min="4613" max="4613" width="2.28515625" style="252" customWidth="1"/>
    <col min="4614" max="4614" width="9.5703125" style="252" customWidth="1"/>
    <col min="4615" max="4615" width="2.28515625" style="252" customWidth="1"/>
    <col min="4616" max="4616" width="13.5703125" style="252" customWidth="1"/>
    <col min="4617" max="4617" width="2.28515625" style="252" customWidth="1"/>
    <col min="4618" max="4618" width="13.5703125" style="252" customWidth="1"/>
    <col min="4619" max="4619" width="2.28515625" style="252" customWidth="1"/>
    <col min="4620" max="4620" width="13.5703125" style="252" customWidth="1"/>
    <col min="4621" max="4621" width="2.28515625" style="252" customWidth="1"/>
    <col min="4622" max="4622" width="13.5703125" style="252" customWidth="1"/>
    <col min="4623" max="4623" width="2.28515625" style="252" customWidth="1"/>
    <col min="4624" max="4624" width="13.5703125" style="252" customWidth="1"/>
    <col min="4625" max="4625" width="2.28515625" style="252" customWidth="1"/>
    <col min="4626" max="4626" width="13.5703125" style="252" customWidth="1"/>
    <col min="4627" max="4627" width="3.28515625" style="252" customWidth="1"/>
    <col min="4628" max="4628" width="3.5703125" style="252" customWidth="1"/>
    <col min="4629" max="4629" width="11.28515625" style="252" customWidth="1"/>
    <col min="4630" max="4630" width="11.7109375" style="252" bestFit="1" customWidth="1"/>
    <col min="4631" max="4631" width="40.28515625" style="252" bestFit="1" customWidth="1"/>
    <col min="4632" max="4632" width="2.28515625" style="252" customWidth="1"/>
    <col min="4633" max="4633" width="9.5703125" style="252" customWidth="1"/>
    <col min="4634" max="4634" width="2.28515625" style="252" customWidth="1"/>
    <col min="4635" max="4635" width="13.5703125" style="252" customWidth="1"/>
    <col min="4636" max="4636" width="2.28515625" style="252" customWidth="1"/>
    <col min="4637" max="4637" width="13.5703125" style="252" customWidth="1"/>
    <col min="4638" max="4638" width="2.28515625" style="252" customWidth="1"/>
    <col min="4639" max="4639" width="13.5703125" style="252" customWidth="1"/>
    <col min="4640" max="4640" width="2.28515625" style="252" customWidth="1"/>
    <col min="4641" max="4641" width="13.5703125" style="252" customWidth="1"/>
    <col min="4642" max="4642" width="2.28515625" style="252" customWidth="1"/>
    <col min="4643" max="4643" width="13.5703125" style="252" customWidth="1"/>
    <col min="4644" max="4644" width="2.28515625" style="252" customWidth="1"/>
    <col min="4645" max="4646" width="13.5703125" style="252" customWidth="1"/>
    <col min="4647" max="4864" width="9.140625" style="252"/>
    <col min="4865" max="4865" width="3.5703125" style="252" customWidth="1"/>
    <col min="4866" max="4866" width="6.7109375" style="252" bestFit="1" customWidth="1"/>
    <col min="4867" max="4867" width="10.7109375" style="252" bestFit="1" customWidth="1"/>
    <col min="4868" max="4868" width="40.28515625" style="252" bestFit="1" customWidth="1"/>
    <col min="4869" max="4869" width="2.28515625" style="252" customWidth="1"/>
    <col min="4870" max="4870" width="9.5703125" style="252" customWidth="1"/>
    <col min="4871" max="4871" width="2.28515625" style="252" customWidth="1"/>
    <col min="4872" max="4872" width="13.5703125" style="252" customWidth="1"/>
    <col min="4873" max="4873" width="2.28515625" style="252" customWidth="1"/>
    <col min="4874" max="4874" width="13.5703125" style="252" customWidth="1"/>
    <col min="4875" max="4875" width="2.28515625" style="252" customWidth="1"/>
    <col min="4876" max="4876" width="13.5703125" style="252" customWidth="1"/>
    <col min="4877" max="4877" width="2.28515625" style="252" customWidth="1"/>
    <col min="4878" max="4878" width="13.5703125" style="252" customWidth="1"/>
    <col min="4879" max="4879" width="2.28515625" style="252" customWidth="1"/>
    <col min="4880" max="4880" width="13.5703125" style="252" customWidth="1"/>
    <col min="4881" max="4881" width="2.28515625" style="252" customWidth="1"/>
    <col min="4882" max="4882" width="13.5703125" style="252" customWidth="1"/>
    <col min="4883" max="4883" width="3.28515625" style="252" customWidth="1"/>
    <col min="4884" max="4884" width="3.5703125" style="252" customWidth="1"/>
    <col min="4885" max="4885" width="11.28515625" style="252" customWidth="1"/>
    <col min="4886" max="4886" width="11.7109375" style="252" bestFit="1" customWidth="1"/>
    <col min="4887" max="4887" width="40.28515625" style="252" bestFit="1" customWidth="1"/>
    <col min="4888" max="4888" width="2.28515625" style="252" customWidth="1"/>
    <col min="4889" max="4889" width="9.5703125" style="252" customWidth="1"/>
    <col min="4890" max="4890" width="2.28515625" style="252" customWidth="1"/>
    <col min="4891" max="4891" width="13.5703125" style="252" customWidth="1"/>
    <col min="4892" max="4892" width="2.28515625" style="252" customWidth="1"/>
    <col min="4893" max="4893" width="13.5703125" style="252" customWidth="1"/>
    <col min="4894" max="4894" width="2.28515625" style="252" customWidth="1"/>
    <col min="4895" max="4895" width="13.5703125" style="252" customWidth="1"/>
    <col min="4896" max="4896" width="2.28515625" style="252" customWidth="1"/>
    <col min="4897" max="4897" width="13.5703125" style="252" customWidth="1"/>
    <col min="4898" max="4898" width="2.28515625" style="252" customWidth="1"/>
    <col min="4899" max="4899" width="13.5703125" style="252" customWidth="1"/>
    <col min="4900" max="4900" width="2.28515625" style="252" customWidth="1"/>
    <col min="4901" max="4902" width="13.5703125" style="252" customWidth="1"/>
    <col min="4903" max="5120" width="9.140625" style="252"/>
    <col min="5121" max="5121" width="3.5703125" style="252" customWidth="1"/>
    <col min="5122" max="5122" width="6.7109375" style="252" bestFit="1" customWidth="1"/>
    <col min="5123" max="5123" width="10.7109375" style="252" bestFit="1" customWidth="1"/>
    <col min="5124" max="5124" width="40.28515625" style="252" bestFit="1" customWidth="1"/>
    <col min="5125" max="5125" width="2.28515625" style="252" customWidth="1"/>
    <col min="5126" max="5126" width="9.5703125" style="252" customWidth="1"/>
    <col min="5127" max="5127" width="2.28515625" style="252" customWidth="1"/>
    <col min="5128" max="5128" width="13.5703125" style="252" customWidth="1"/>
    <col min="5129" max="5129" width="2.28515625" style="252" customWidth="1"/>
    <col min="5130" max="5130" width="13.5703125" style="252" customWidth="1"/>
    <col min="5131" max="5131" width="2.28515625" style="252" customWidth="1"/>
    <col min="5132" max="5132" width="13.5703125" style="252" customWidth="1"/>
    <col min="5133" max="5133" width="2.28515625" style="252" customWidth="1"/>
    <col min="5134" max="5134" width="13.5703125" style="252" customWidth="1"/>
    <col min="5135" max="5135" width="2.28515625" style="252" customWidth="1"/>
    <col min="5136" max="5136" width="13.5703125" style="252" customWidth="1"/>
    <col min="5137" max="5137" width="2.28515625" style="252" customWidth="1"/>
    <col min="5138" max="5138" width="13.5703125" style="252" customWidth="1"/>
    <col min="5139" max="5139" width="3.28515625" style="252" customWidth="1"/>
    <col min="5140" max="5140" width="3.5703125" style="252" customWidth="1"/>
    <col min="5141" max="5141" width="11.28515625" style="252" customWidth="1"/>
    <col min="5142" max="5142" width="11.7109375" style="252" bestFit="1" customWidth="1"/>
    <col min="5143" max="5143" width="40.28515625" style="252" bestFit="1" customWidth="1"/>
    <col min="5144" max="5144" width="2.28515625" style="252" customWidth="1"/>
    <col min="5145" max="5145" width="9.5703125" style="252" customWidth="1"/>
    <col min="5146" max="5146" width="2.28515625" style="252" customWidth="1"/>
    <col min="5147" max="5147" width="13.5703125" style="252" customWidth="1"/>
    <col min="5148" max="5148" width="2.28515625" style="252" customWidth="1"/>
    <col min="5149" max="5149" width="13.5703125" style="252" customWidth="1"/>
    <col min="5150" max="5150" width="2.28515625" style="252" customWidth="1"/>
    <col min="5151" max="5151" width="13.5703125" style="252" customWidth="1"/>
    <col min="5152" max="5152" width="2.28515625" style="252" customWidth="1"/>
    <col min="5153" max="5153" width="13.5703125" style="252" customWidth="1"/>
    <col min="5154" max="5154" width="2.28515625" style="252" customWidth="1"/>
    <col min="5155" max="5155" width="13.5703125" style="252" customWidth="1"/>
    <col min="5156" max="5156" width="2.28515625" style="252" customWidth="1"/>
    <col min="5157" max="5158" width="13.5703125" style="252" customWidth="1"/>
    <col min="5159" max="5376" width="9.140625" style="252"/>
    <col min="5377" max="5377" width="3.5703125" style="252" customWidth="1"/>
    <col min="5378" max="5378" width="6.7109375" style="252" bestFit="1" customWidth="1"/>
    <col min="5379" max="5379" width="10.7109375" style="252" bestFit="1" customWidth="1"/>
    <col min="5380" max="5380" width="40.28515625" style="252" bestFit="1" customWidth="1"/>
    <col min="5381" max="5381" width="2.28515625" style="252" customWidth="1"/>
    <col min="5382" max="5382" width="9.5703125" style="252" customWidth="1"/>
    <col min="5383" max="5383" width="2.28515625" style="252" customWidth="1"/>
    <col min="5384" max="5384" width="13.5703125" style="252" customWidth="1"/>
    <col min="5385" max="5385" width="2.28515625" style="252" customWidth="1"/>
    <col min="5386" max="5386" width="13.5703125" style="252" customWidth="1"/>
    <col min="5387" max="5387" width="2.28515625" style="252" customWidth="1"/>
    <col min="5388" max="5388" width="13.5703125" style="252" customWidth="1"/>
    <col min="5389" max="5389" width="2.28515625" style="252" customWidth="1"/>
    <col min="5390" max="5390" width="13.5703125" style="252" customWidth="1"/>
    <col min="5391" max="5391" width="2.28515625" style="252" customWidth="1"/>
    <col min="5392" max="5392" width="13.5703125" style="252" customWidth="1"/>
    <col min="5393" max="5393" width="2.28515625" style="252" customWidth="1"/>
    <col min="5394" max="5394" width="13.5703125" style="252" customWidth="1"/>
    <col min="5395" max="5395" width="3.28515625" style="252" customWidth="1"/>
    <col min="5396" max="5396" width="3.5703125" style="252" customWidth="1"/>
    <col min="5397" max="5397" width="11.28515625" style="252" customWidth="1"/>
    <col min="5398" max="5398" width="11.7109375" style="252" bestFit="1" customWidth="1"/>
    <col min="5399" max="5399" width="40.28515625" style="252" bestFit="1" customWidth="1"/>
    <col min="5400" max="5400" width="2.28515625" style="252" customWidth="1"/>
    <col min="5401" max="5401" width="9.5703125" style="252" customWidth="1"/>
    <col min="5402" max="5402" width="2.28515625" style="252" customWidth="1"/>
    <col min="5403" max="5403" width="13.5703125" style="252" customWidth="1"/>
    <col min="5404" max="5404" width="2.28515625" style="252" customWidth="1"/>
    <col min="5405" max="5405" width="13.5703125" style="252" customWidth="1"/>
    <col min="5406" max="5406" width="2.28515625" style="252" customWidth="1"/>
    <col min="5407" max="5407" width="13.5703125" style="252" customWidth="1"/>
    <col min="5408" max="5408" width="2.28515625" style="252" customWidth="1"/>
    <col min="5409" max="5409" width="13.5703125" style="252" customWidth="1"/>
    <col min="5410" max="5410" width="2.28515625" style="252" customWidth="1"/>
    <col min="5411" max="5411" width="13.5703125" style="252" customWidth="1"/>
    <col min="5412" max="5412" width="2.28515625" style="252" customWidth="1"/>
    <col min="5413" max="5414" width="13.5703125" style="252" customWidth="1"/>
    <col min="5415" max="5632" width="9.140625" style="252"/>
    <col min="5633" max="5633" width="3.5703125" style="252" customWidth="1"/>
    <col min="5634" max="5634" width="6.7109375" style="252" bestFit="1" customWidth="1"/>
    <col min="5635" max="5635" width="10.7109375" style="252" bestFit="1" customWidth="1"/>
    <col min="5636" max="5636" width="40.28515625" style="252" bestFit="1" customWidth="1"/>
    <col min="5637" max="5637" width="2.28515625" style="252" customWidth="1"/>
    <col min="5638" max="5638" width="9.5703125" style="252" customWidth="1"/>
    <col min="5639" max="5639" width="2.28515625" style="252" customWidth="1"/>
    <col min="5640" max="5640" width="13.5703125" style="252" customWidth="1"/>
    <col min="5641" max="5641" width="2.28515625" style="252" customWidth="1"/>
    <col min="5642" max="5642" width="13.5703125" style="252" customWidth="1"/>
    <col min="5643" max="5643" width="2.28515625" style="252" customWidth="1"/>
    <col min="5644" max="5644" width="13.5703125" style="252" customWidth="1"/>
    <col min="5645" max="5645" width="2.28515625" style="252" customWidth="1"/>
    <col min="5646" max="5646" width="13.5703125" style="252" customWidth="1"/>
    <col min="5647" max="5647" width="2.28515625" style="252" customWidth="1"/>
    <col min="5648" max="5648" width="13.5703125" style="252" customWidth="1"/>
    <col min="5649" max="5649" width="2.28515625" style="252" customWidth="1"/>
    <col min="5650" max="5650" width="13.5703125" style="252" customWidth="1"/>
    <col min="5651" max="5651" width="3.28515625" style="252" customWidth="1"/>
    <col min="5652" max="5652" width="3.5703125" style="252" customWidth="1"/>
    <col min="5653" max="5653" width="11.28515625" style="252" customWidth="1"/>
    <col min="5654" max="5654" width="11.7109375" style="252" bestFit="1" customWidth="1"/>
    <col min="5655" max="5655" width="40.28515625" style="252" bestFit="1" customWidth="1"/>
    <col min="5656" max="5656" width="2.28515625" style="252" customWidth="1"/>
    <col min="5657" max="5657" width="9.5703125" style="252" customWidth="1"/>
    <col min="5658" max="5658" width="2.28515625" style="252" customWidth="1"/>
    <col min="5659" max="5659" width="13.5703125" style="252" customWidth="1"/>
    <col min="5660" max="5660" width="2.28515625" style="252" customWidth="1"/>
    <col min="5661" max="5661" width="13.5703125" style="252" customWidth="1"/>
    <col min="5662" max="5662" width="2.28515625" style="252" customWidth="1"/>
    <col min="5663" max="5663" width="13.5703125" style="252" customWidth="1"/>
    <col min="5664" max="5664" width="2.28515625" style="252" customWidth="1"/>
    <col min="5665" max="5665" width="13.5703125" style="252" customWidth="1"/>
    <col min="5666" max="5666" width="2.28515625" style="252" customWidth="1"/>
    <col min="5667" max="5667" width="13.5703125" style="252" customWidth="1"/>
    <col min="5668" max="5668" width="2.28515625" style="252" customWidth="1"/>
    <col min="5669" max="5670" width="13.5703125" style="252" customWidth="1"/>
    <col min="5671" max="5888" width="9.140625" style="252"/>
    <col min="5889" max="5889" width="3.5703125" style="252" customWidth="1"/>
    <col min="5890" max="5890" width="6.7109375" style="252" bestFit="1" customWidth="1"/>
    <col min="5891" max="5891" width="10.7109375" style="252" bestFit="1" customWidth="1"/>
    <col min="5892" max="5892" width="40.28515625" style="252" bestFit="1" customWidth="1"/>
    <col min="5893" max="5893" width="2.28515625" style="252" customWidth="1"/>
    <col min="5894" max="5894" width="9.5703125" style="252" customWidth="1"/>
    <col min="5895" max="5895" width="2.28515625" style="252" customWidth="1"/>
    <col min="5896" max="5896" width="13.5703125" style="252" customWidth="1"/>
    <col min="5897" max="5897" width="2.28515625" style="252" customWidth="1"/>
    <col min="5898" max="5898" width="13.5703125" style="252" customWidth="1"/>
    <col min="5899" max="5899" width="2.28515625" style="252" customWidth="1"/>
    <col min="5900" max="5900" width="13.5703125" style="252" customWidth="1"/>
    <col min="5901" max="5901" width="2.28515625" style="252" customWidth="1"/>
    <col min="5902" max="5902" width="13.5703125" style="252" customWidth="1"/>
    <col min="5903" max="5903" width="2.28515625" style="252" customWidth="1"/>
    <col min="5904" max="5904" width="13.5703125" style="252" customWidth="1"/>
    <col min="5905" max="5905" width="2.28515625" style="252" customWidth="1"/>
    <col min="5906" max="5906" width="13.5703125" style="252" customWidth="1"/>
    <col min="5907" max="5907" width="3.28515625" style="252" customWidth="1"/>
    <col min="5908" max="5908" width="3.5703125" style="252" customWidth="1"/>
    <col min="5909" max="5909" width="11.28515625" style="252" customWidth="1"/>
    <col min="5910" max="5910" width="11.7109375" style="252" bestFit="1" customWidth="1"/>
    <col min="5911" max="5911" width="40.28515625" style="252" bestFit="1" customWidth="1"/>
    <col min="5912" max="5912" width="2.28515625" style="252" customWidth="1"/>
    <col min="5913" max="5913" width="9.5703125" style="252" customWidth="1"/>
    <col min="5914" max="5914" width="2.28515625" style="252" customWidth="1"/>
    <col min="5915" max="5915" width="13.5703125" style="252" customWidth="1"/>
    <col min="5916" max="5916" width="2.28515625" style="252" customWidth="1"/>
    <col min="5917" max="5917" width="13.5703125" style="252" customWidth="1"/>
    <col min="5918" max="5918" width="2.28515625" style="252" customWidth="1"/>
    <col min="5919" max="5919" width="13.5703125" style="252" customWidth="1"/>
    <col min="5920" max="5920" width="2.28515625" style="252" customWidth="1"/>
    <col min="5921" max="5921" width="13.5703125" style="252" customWidth="1"/>
    <col min="5922" max="5922" width="2.28515625" style="252" customWidth="1"/>
    <col min="5923" max="5923" width="13.5703125" style="252" customWidth="1"/>
    <col min="5924" max="5924" width="2.28515625" style="252" customWidth="1"/>
    <col min="5925" max="5926" width="13.5703125" style="252" customWidth="1"/>
    <col min="5927" max="6144" width="9.140625" style="252"/>
    <col min="6145" max="6145" width="3.5703125" style="252" customWidth="1"/>
    <col min="6146" max="6146" width="6.7109375" style="252" bestFit="1" customWidth="1"/>
    <col min="6147" max="6147" width="10.7109375" style="252" bestFit="1" customWidth="1"/>
    <col min="6148" max="6148" width="40.28515625" style="252" bestFit="1" customWidth="1"/>
    <col min="6149" max="6149" width="2.28515625" style="252" customWidth="1"/>
    <col min="6150" max="6150" width="9.5703125" style="252" customWidth="1"/>
    <col min="6151" max="6151" width="2.28515625" style="252" customWidth="1"/>
    <col min="6152" max="6152" width="13.5703125" style="252" customWidth="1"/>
    <col min="6153" max="6153" width="2.28515625" style="252" customWidth="1"/>
    <col min="6154" max="6154" width="13.5703125" style="252" customWidth="1"/>
    <col min="6155" max="6155" width="2.28515625" style="252" customWidth="1"/>
    <col min="6156" max="6156" width="13.5703125" style="252" customWidth="1"/>
    <col min="6157" max="6157" width="2.28515625" style="252" customWidth="1"/>
    <col min="6158" max="6158" width="13.5703125" style="252" customWidth="1"/>
    <col min="6159" max="6159" width="2.28515625" style="252" customWidth="1"/>
    <col min="6160" max="6160" width="13.5703125" style="252" customWidth="1"/>
    <col min="6161" max="6161" width="2.28515625" style="252" customWidth="1"/>
    <col min="6162" max="6162" width="13.5703125" style="252" customWidth="1"/>
    <col min="6163" max="6163" width="3.28515625" style="252" customWidth="1"/>
    <col min="6164" max="6164" width="3.5703125" style="252" customWidth="1"/>
    <col min="6165" max="6165" width="11.28515625" style="252" customWidth="1"/>
    <col min="6166" max="6166" width="11.7109375" style="252" bestFit="1" customWidth="1"/>
    <col min="6167" max="6167" width="40.28515625" style="252" bestFit="1" customWidth="1"/>
    <col min="6168" max="6168" width="2.28515625" style="252" customWidth="1"/>
    <col min="6169" max="6169" width="9.5703125" style="252" customWidth="1"/>
    <col min="6170" max="6170" width="2.28515625" style="252" customWidth="1"/>
    <col min="6171" max="6171" width="13.5703125" style="252" customWidth="1"/>
    <col min="6172" max="6172" width="2.28515625" style="252" customWidth="1"/>
    <col min="6173" max="6173" width="13.5703125" style="252" customWidth="1"/>
    <col min="6174" max="6174" width="2.28515625" style="252" customWidth="1"/>
    <col min="6175" max="6175" width="13.5703125" style="252" customWidth="1"/>
    <col min="6176" max="6176" width="2.28515625" style="252" customWidth="1"/>
    <col min="6177" max="6177" width="13.5703125" style="252" customWidth="1"/>
    <col min="6178" max="6178" width="2.28515625" style="252" customWidth="1"/>
    <col min="6179" max="6179" width="13.5703125" style="252" customWidth="1"/>
    <col min="6180" max="6180" width="2.28515625" style="252" customWidth="1"/>
    <col min="6181" max="6182" width="13.5703125" style="252" customWidth="1"/>
    <col min="6183" max="6400" width="9.140625" style="252"/>
    <col min="6401" max="6401" width="3.5703125" style="252" customWidth="1"/>
    <col min="6402" max="6402" width="6.7109375" style="252" bestFit="1" customWidth="1"/>
    <col min="6403" max="6403" width="10.7109375" style="252" bestFit="1" customWidth="1"/>
    <col min="6404" max="6404" width="40.28515625" style="252" bestFit="1" customWidth="1"/>
    <col min="6405" max="6405" width="2.28515625" style="252" customWidth="1"/>
    <col min="6406" max="6406" width="9.5703125" style="252" customWidth="1"/>
    <col min="6407" max="6407" width="2.28515625" style="252" customWidth="1"/>
    <col min="6408" max="6408" width="13.5703125" style="252" customWidth="1"/>
    <col min="6409" max="6409" width="2.28515625" style="252" customWidth="1"/>
    <col min="6410" max="6410" width="13.5703125" style="252" customWidth="1"/>
    <col min="6411" max="6411" width="2.28515625" style="252" customWidth="1"/>
    <col min="6412" max="6412" width="13.5703125" style="252" customWidth="1"/>
    <col min="6413" max="6413" width="2.28515625" style="252" customWidth="1"/>
    <col min="6414" max="6414" width="13.5703125" style="252" customWidth="1"/>
    <col min="6415" max="6415" width="2.28515625" style="252" customWidth="1"/>
    <col min="6416" max="6416" width="13.5703125" style="252" customWidth="1"/>
    <col min="6417" max="6417" width="2.28515625" style="252" customWidth="1"/>
    <col min="6418" max="6418" width="13.5703125" style="252" customWidth="1"/>
    <col min="6419" max="6419" width="3.28515625" style="252" customWidth="1"/>
    <col min="6420" max="6420" width="3.5703125" style="252" customWidth="1"/>
    <col min="6421" max="6421" width="11.28515625" style="252" customWidth="1"/>
    <col min="6422" max="6422" width="11.7109375" style="252" bestFit="1" customWidth="1"/>
    <col min="6423" max="6423" width="40.28515625" style="252" bestFit="1" customWidth="1"/>
    <col min="6424" max="6424" width="2.28515625" style="252" customWidth="1"/>
    <col min="6425" max="6425" width="9.5703125" style="252" customWidth="1"/>
    <col min="6426" max="6426" width="2.28515625" style="252" customWidth="1"/>
    <col min="6427" max="6427" width="13.5703125" style="252" customWidth="1"/>
    <col min="6428" max="6428" width="2.28515625" style="252" customWidth="1"/>
    <col min="6429" max="6429" width="13.5703125" style="252" customWidth="1"/>
    <col min="6430" max="6430" width="2.28515625" style="252" customWidth="1"/>
    <col min="6431" max="6431" width="13.5703125" style="252" customWidth="1"/>
    <col min="6432" max="6432" width="2.28515625" style="252" customWidth="1"/>
    <col min="6433" max="6433" width="13.5703125" style="252" customWidth="1"/>
    <col min="6434" max="6434" width="2.28515625" style="252" customWidth="1"/>
    <col min="6435" max="6435" width="13.5703125" style="252" customWidth="1"/>
    <col min="6436" max="6436" width="2.28515625" style="252" customWidth="1"/>
    <col min="6437" max="6438" width="13.5703125" style="252" customWidth="1"/>
    <col min="6439" max="6656" width="9.140625" style="252"/>
    <col min="6657" max="6657" width="3.5703125" style="252" customWidth="1"/>
    <col min="6658" max="6658" width="6.7109375" style="252" bestFit="1" customWidth="1"/>
    <col min="6659" max="6659" width="10.7109375" style="252" bestFit="1" customWidth="1"/>
    <col min="6660" max="6660" width="40.28515625" style="252" bestFit="1" customWidth="1"/>
    <col min="6661" max="6661" width="2.28515625" style="252" customWidth="1"/>
    <col min="6662" max="6662" width="9.5703125" style="252" customWidth="1"/>
    <col min="6663" max="6663" width="2.28515625" style="252" customWidth="1"/>
    <col min="6664" max="6664" width="13.5703125" style="252" customWidth="1"/>
    <col min="6665" max="6665" width="2.28515625" style="252" customWidth="1"/>
    <col min="6666" max="6666" width="13.5703125" style="252" customWidth="1"/>
    <col min="6667" max="6667" width="2.28515625" style="252" customWidth="1"/>
    <col min="6668" max="6668" width="13.5703125" style="252" customWidth="1"/>
    <col min="6669" max="6669" width="2.28515625" style="252" customWidth="1"/>
    <col min="6670" max="6670" width="13.5703125" style="252" customWidth="1"/>
    <col min="6671" max="6671" width="2.28515625" style="252" customWidth="1"/>
    <col min="6672" max="6672" width="13.5703125" style="252" customWidth="1"/>
    <col min="6673" max="6673" width="2.28515625" style="252" customWidth="1"/>
    <col min="6674" max="6674" width="13.5703125" style="252" customWidth="1"/>
    <col min="6675" max="6675" width="3.28515625" style="252" customWidth="1"/>
    <col min="6676" max="6676" width="3.5703125" style="252" customWidth="1"/>
    <col min="6677" max="6677" width="11.28515625" style="252" customWidth="1"/>
    <col min="6678" max="6678" width="11.7109375" style="252" bestFit="1" customWidth="1"/>
    <col min="6679" max="6679" width="40.28515625" style="252" bestFit="1" customWidth="1"/>
    <col min="6680" max="6680" width="2.28515625" style="252" customWidth="1"/>
    <col min="6681" max="6681" width="9.5703125" style="252" customWidth="1"/>
    <col min="6682" max="6682" width="2.28515625" style="252" customWidth="1"/>
    <col min="6683" max="6683" width="13.5703125" style="252" customWidth="1"/>
    <col min="6684" max="6684" width="2.28515625" style="252" customWidth="1"/>
    <col min="6685" max="6685" width="13.5703125" style="252" customWidth="1"/>
    <col min="6686" max="6686" width="2.28515625" style="252" customWidth="1"/>
    <col min="6687" max="6687" width="13.5703125" style="252" customWidth="1"/>
    <col min="6688" max="6688" width="2.28515625" style="252" customWidth="1"/>
    <col min="6689" max="6689" width="13.5703125" style="252" customWidth="1"/>
    <col min="6690" max="6690" width="2.28515625" style="252" customWidth="1"/>
    <col min="6691" max="6691" width="13.5703125" style="252" customWidth="1"/>
    <col min="6692" max="6692" width="2.28515625" style="252" customWidth="1"/>
    <col min="6693" max="6694" width="13.5703125" style="252" customWidth="1"/>
    <col min="6695" max="6912" width="9.140625" style="252"/>
    <col min="6913" max="6913" width="3.5703125" style="252" customWidth="1"/>
    <col min="6914" max="6914" width="6.7109375" style="252" bestFit="1" customWidth="1"/>
    <col min="6915" max="6915" width="10.7109375" style="252" bestFit="1" customWidth="1"/>
    <col min="6916" max="6916" width="40.28515625" style="252" bestFit="1" customWidth="1"/>
    <col min="6917" max="6917" width="2.28515625" style="252" customWidth="1"/>
    <col min="6918" max="6918" width="9.5703125" style="252" customWidth="1"/>
    <col min="6919" max="6919" width="2.28515625" style="252" customWidth="1"/>
    <col min="6920" max="6920" width="13.5703125" style="252" customWidth="1"/>
    <col min="6921" max="6921" width="2.28515625" style="252" customWidth="1"/>
    <col min="6922" max="6922" width="13.5703125" style="252" customWidth="1"/>
    <col min="6923" max="6923" width="2.28515625" style="252" customWidth="1"/>
    <col min="6924" max="6924" width="13.5703125" style="252" customWidth="1"/>
    <col min="6925" max="6925" width="2.28515625" style="252" customWidth="1"/>
    <col min="6926" max="6926" width="13.5703125" style="252" customWidth="1"/>
    <col min="6927" max="6927" width="2.28515625" style="252" customWidth="1"/>
    <col min="6928" max="6928" width="13.5703125" style="252" customWidth="1"/>
    <col min="6929" max="6929" width="2.28515625" style="252" customWidth="1"/>
    <col min="6930" max="6930" width="13.5703125" style="252" customWidth="1"/>
    <col min="6931" max="6931" width="3.28515625" style="252" customWidth="1"/>
    <col min="6932" max="6932" width="3.5703125" style="252" customWidth="1"/>
    <col min="6933" max="6933" width="11.28515625" style="252" customWidth="1"/>
    <col min="6934" max="6934" width="11.7109375" style="252" bestFit="1" customWidth="1"/>
    <col min="6935" max="6935" width="40.28515625" style="252" bestFit="1" customWidth="1"/>
    <col min="6936" max="6936" width="2.28515625" style="252" customWidth="1"/>
    <col min="6937" max="6937" width="9.5703125" style="252" customWidth="1"/>
    <col min="6938" max="6938" width="2.28515625" style="252" customWidth="1"/>
    <col min="6939" max="6939" width="13.5703125" style="252" customWidth="1"/>
    <col min="6940" max="6940" width="2.28515625" style="252" customWidth="1"/>
    <col min="6941" max="6941" width="13.5703125" style="252" customWidth="1"/>
    <col min="6942" max="6942" width="2.28515625" style="252" customWidth="1"/>
    <col min="6943" max="6943" width="13.5703125" style="252" customWidth="1"/>
    <col min="6944" max="6944" width="2.28515625" style="252" customWidth="1"/>
    <col min="6945" max="6945" width="13.5703125" style="252" customWidth="1"/>
    <col min="6946" max="6946" width="2.28515625" style="252" customWidth="1"/>
    <col min="6947" max="6947" width="13.5703125" style="252" customWidth="1"/>
    <col min="6948" max="6948" width="2.28515625" style="252" customWidth="1"/>
    <col min="6949" max="6950" width="13.5703125" style="252" customWidth="1"/>
    <col min="6951" max="7168" width="9.140625" style="252"/>
    <col min="7169" max="7169" width="3.5703125" style="252" customWidth="1"/>
    <col min="7170" max="7170" width="6.7109375" style="252" bestFit="1" customWidth="1"/>
    <col min="7171" max="7171" width="10.7109375" style="252" bestFit="1" customWidth="1"/>
    <col min="7172" max="7172" width="40.28515625" style="252" bestFit="1" customWidth="1"/>
    <col min="7173" max="7173" width="2.28515625" style="252" customWidth="1"/>
    <col min="7174" max="7174" width="9.5703125" style="252" customWidth="1"/>
    <col min="7175" max="7175" width="2.28515625" style="252" customWidth="1"/>
    <col min="7176" max="7176" width="13.5703125" style="252" customWidth="1"/>
    <col min="7177" max="7177" width="2.28515625" style="252" customWidth="1"/>
    <col min="7178" max="7178" width="13.5703125" style="252" customWidth="1"/>
    <col min="7179" max="7179" width="2.28515625" style="252" customWidth="1"/>
    <col min="7180" max="7180" width="13.5703125" style="252" customWidth="1"/>
    <col min="7181" max="7181" width="2.28515625" style="252" customWidth="1"/>
    <col min="7182" max="7182" width="13.5703125" style="252" customWidth="1"/>
    <col min="7183" max="7183" width="2.28515625" style="252" customWidth="1"/>
    <col min="7184" max="7184" width="13.5703125" style="252" customWidth="1"/>
    <col min="7185" max="7185" width="2.28515625" style="252" customWidth="1"/>
    <col min="7186" max="7186" width="13.5703125" style="252" customWidth="1"/>
    <col min="7187" max="7187" width="3.28515625" style="252" customWidth="1"/>
    <col min="7188" max="7188" width="3.5703125" style="252" customWidth="1"/>
    <col min="7189" max="7189" width="11.28515625" style="252" customWidth="1"/>
    <col min="7190" max="7190" width="11.7109375" style="252" bestFit="1" customWidth="1"/>
    <col min="7191" max="7191" width="40.28515625" style="252" bestFit="1" customWidth="1"/>
    <col min="7192" max="7192" width="2.28515625" style="252" customWidth="1"/>
    <col min="7193" max="7193" width="9.5703125" style="252" customWidth="1"/>
    <col min="7194" max="7194" width="2.28515625" style="252" customWidth="1"/>
    <col min="7195" max="7195" width="13.5703125" style="252" customWidth="1"/>
    <col min="7196" max="7196" width="2.28515625" style="252" customWidth="1"/>
    <col min="7197" max="7197" width="13.5703125" style="252" customWidth="1"/>
    <col min="7198" max="7198" width="2.28515625" style="252" customWidth="1"/>
    <col min="7199" max="7199" width="13.5703125" style="252" customWidth="1"/>
    <col min="7200" max="7200" width="2.28515625" style="252" customWidth="1"/>
    <col min="7201" max="7201" width="13.5703125" style="252" customWidth="1"/>
    <col min="7202" max="7202" width="2.28515625" style="252" customWidth="1"/>
    <col min="7203" max="7203" width="13.5703125" style="252" customWidth="1"/>
    <col min="7204" max="7204" width="2.28515625" style="252" customWidth="1"/>
    <col min="7205" max="7206" width="13.5703125" style="252" customWidth="1"/>
    <col min="7207" max="7424" width="9.140625" style="252"/>
    <col min="7425" max="7425" width="3.5703125" style="252" customWidth="1"/>
    <col min="7426" max="7426" width="6.7109375" style="252" bestFit="1" customWidth="1"/>
    <col min="7427" max="7427" width="10.7109375" style="252" bestFit="1" customWidth="1"/>
    <col min="7428" max="7428" width="40.28515625" style="252" bestFit="1" customWidth="1"/>
    <col min="7429" max="7429" width="2.28515625" style="252" customWidth="1"/>
    <col min="7430" max="7430" width="9.5703125" style="252" customWidth="1"/>
    <col min="7431" max="7431" width="2.28515625" style="252" customWidth="1"/>
    <col min="7432" max="7432" width="13.5703125" style="252" customWidth="1"/>
    <col min="7433" max="7433" width="2.28515625" style="252" customWidth="1"/>
    <col min="7434" max="7434" width="13.5703125" style="252" customWidth="1"/>
    <col min="7435" max="7435" width="2.28515625" style="252" customWidth="1"/>
    <col min="7436" max="7436" width="13.5703125" style="252" customWidth="1"/>
    <col min="7437" max="7437" width="2.28515625" style="252" customWidth="1"/>
    <col min="7438" max="7438" width="13.5703125" style="252" customWidth="1"/>
    <col min="7439" max="7439" width="2.28515625" style="252" customWidth="1"/>
    <col min="7440" max="7440" width="13.5703125" style="252" customWidth="1"/>
    <col min="7441" max="7441" width="2.28515625" style="252" customWidth="1"/>
    <col min="7442" max="7442" width="13.5703125" style="252" customWidth="1"/>
    <col min="7443" max="7443" width="3.28515625" style="252" customWidth="1"/>
    <col min="7444" max="7444" width="3.5703125" style="252" customWidth="1"/>
    <col min="7445" max="7445" width="11.28515625" style="252" customWidth="1"/>
    <col min="7446" max="7446" width="11.7109375" style="252" bestFit="1" customWidth="1"/>
    <col min="7447" max="7447" width="40.28515625" style="252" bestFit="1" customWidth="1"/>
    <col min="7448" max="7448" width="2.28515625" style="252" customWidth="1"/>
    <col min="7449" max="7449" width="9.5703125" style="252" customWidth="1"/>
    <col min="7450" max="7450" width="2.28515625" style="252" customWidth="1"/>
    <col min="7451" max="7451" width="13.5703125" style="252" customWidth="1"/>
    <col min="7452" max="7452" width="2.28515625" style="252" customWidth="1"/>
    <col min="7453" max="7453" width="13.5703125" style="252" customWidth="1"/>
    <col min="7454" max="7454" width="2.28515625" style="252" customWidth="1"/>
    <col min="7455" max="7455" width="13.5703125" style="252" customWidth="1"/>
    <col min="7456" max="7456" width="2.28515625" style="252" customWidth="1"/>
    <col min="7457" max="7457" width="13.5703125" style="252" customWidth="1"/>
    <col min="7458" max="7458" width="2.28515625" style="252" customWidth="1"/>
    <col min="7459" max="7459" width="13.5703125" style="252" customWidth="1"/>
    <col min="7460" max="7460" width="2.28515625" style="252" customWidth="1"/>
    <col min="7461" max="7462" width="13.5703125" style="252" customWidth="1"/>
    <col min="7463" max="7680" width="9.140625" style="252"/>
    <col min="7681" max="7681" width="3.5703125" style="252" customWidth="1"/>
    <col min="7682" max="7682" width="6.7109375" style="252" bestFit="1" customWidth="1"/>
    <col min="7683" max="7683" width="10.7109375" style="252" bestFit="1" customWidth="1"/>
    <col min="7684" max="7684" width="40.28515625" style="252" bestFit="1" customWidth="1"/>
    <col min="7685" max="7685" width="2.28515625" style="252" customWidth="1"/>
    <col min="7686" max="7686" width="9.5703125" style="252" customWidth="1"/>
    <col min="7687" max="7687" width="2.28515625" style="252" customWidth="1"/>
    <col min="7688" max="7688" width="13.5703125" style="252" customWidth="1"/>
    <col min="7689" max="7689" width="2.28515625" style="252" customWidth="1"/>
    <col min="7690" max="7690" width="13.5703125" style="252" customWidth="1"/>
    <col min="7691" max="7691" width="2.28515625" style="252" customWidth="1"/>
    <col min="7692" max="7692" width="13.5703125" style="252" customWidth="1"/>
    <col min="7693" max="7693" width="2.28515625" style="252" customWidth="1"/>
    <col min="7694" max="7694" width="13.5703125" style="252" customWidth="1"/>
    <col min="7695" max="7695" width="2.28515625" style="252" customWidth="1"/>
    <col min="7696" max="7696" width="13.5703125" style="252" customWidth="1"/>
    <col min="7697" max="7697" width="2.28515625" style="252" customWidth="1"/>
    <col min="7698" max="7698" width="13.5703125" style="252" customWidth="1"/>
    <col min="7699" max="7699" width="3.28515625" style="252" customWidth="1"/>
    <col min="7700" max="7700" width="3.5703125" style="252" customWidth="1"/>
    <col min="7701" max="7701" width="11.28515625" style="252" customWidth="1"/>
    <col min="7702" max="7702" width="11.7109375" style="252" bestFit="1" customWidth="1"/>
    <col min="7703" max="7703" width="40.28515625" style="252" bestFit="1" customWidth="1"/>
    <col min="7704" max="7704" width="2.28515625" style="252" customWidth="1"/>
    <col min="7705" max="7705" width="9.5703125" style="252" customWidth="1"/>
    <col min="7706" max="7706" width="2.28515625" style="252" customWidth="1"/>
    <col min="7707" max="7707" width="13.5703125" style="252" customWidth="1"/>
    <col min="7708" max="7708" width="2.28515625" style="252" customWidth="1"/>
    <col min="7709" max="7709" width="13.5703125" style="252" customWidth="1"/>
    <col min="7710" max="7710" width="2.28515625" style="252" customWidth="1"/>
    <col min="7711" max="7711" width="13.5703125" style="252" customWidth="1"/>
    <col min="7712" max="7712" width="2.28515625" style="252" customWidth="1"/>
    <col min="7713" max="7713" width="13.5703125" style="252" customWidth="1"/>
    <col min="7714" max="7714" width="2.28515625" style="252" customWidth="1"/>
    <col min="7715" max="7715" width="13.5703125" style="252" customWidth="1"/>
    <col min="7716" max="7716" width="2.28515625" style="252" customWidth="1"/>
    <col min="7717" max="7718" width="13.5703125" style="252" customWidth="1"/>
    <col min="7719" max="7936" width="9.140625" style="252"/>
    <col min="7937" max="7937" width="3.5703125" style="252" customWidth="1"/>
    <col min="7938" max="7938" width="6.7109375" style="252" bestFit="1" customWidth="1"/>
    <col min="7939" max="7939" width="10.7109375" style="252" bestFit="1" customWidth="1"/>
    <col min="7940" max="7940" width="40.28515625" style="252" bestFit="1" customWidth="1"/>
    <col min="7941" max="7941" width="2.28515625" style="252" customWidth="1"/>
    <col min="7942" max="7942" width="9.5703125" style="252" customWidth="1"/>
    <col min="7943" max="7943" width="2.28515625" style="252" customWidth="1"/>
    <col min="7944" max="7944" width="13.5703125" style="252" customWidth="1"/>
    <col min="7945" max="7945" width="2.28515625" style="252" customWidth="1"/>
    <col min="7946" max="7946" width="13.5703125" style="252" customWidth="1"/>
    <col min="7947" max="7947" width="2.28515625" style="252" customWidth="1"/>
    <col min="7948" max="7948" width="13.5703125" style="252" customWidth="1"/>
    <col min="7949" max="7949" width="2.28515625" style="252" customWidth="1"/>
    <col min="7950" max="7950" width="13.5703125" style="252" customWidth="1"/>
    <col min="7951" max="7951" width="2.28515625" style="252" customWidth="1"/>
    <col min="7952" max="7952" width="13.5703125" style="252" customWidth="1"/>
    <col min="7953" max="7953" width="2.28515625" style="252" customWidth="1"/>
    <col min="7954" max="7954" width="13.5703125" style="252" customWidth="1"/>
    <col min="7955" max="7955" width="3.28515625" style="252" customWidth="1"/>
    <col min="7956" max="7956" width="3.5703125" style="252" customWidth="1"/>
    <col min="7957" max="7957" width="11.28515625" style="252" customWidth="1"/>
    <col min="7958" max="7958" width="11.7109375" style="252" bestFit="1" customWidth="1"/>
    <col min="7959" max="7959" width="40.28515625" style="252" bestFit="1" customWidth="1"/>
    <col min="7960" max="7960" width="2.28515625" style="252" customWidth="1"/>
    <col min="7961" max="7961" width="9.5703125" style="252" customWidth="1"/>
    <col min="7962" max="7962" width="2.28515625" style="252" customWidth="1"/>
    <col min="7963" max="7963" width="13.5703125" style="252" customWidth="1"/>
    <col min="7964" max="7964" width="2.28515625" style="252" customWidth="1"/>
    <col min="7965" max="7965" width="13.5703125" style="252" customWidth="1"/>
    <col min="7966" max="7966" width="2.28515625" style="252" customWidth="1"/>
    <col min="7967" max="7967" width="13.5703125" style="252" customWidth="1"/>
    <col min="7968" max="7968" width="2.28515625" style="252" customWidth="1"/>
    <col min="7969" max="7969" width="13.5703125" style="252" customWidth="1"/>
    <col min="7970" max="7970" width="2.28515625" style="252" customWidth="1"/>
    <col min="7971" max="7971" width="13.5703125" style="252" customWidth="1"/>
    <col min="7972" max="7972" width="2.28515625" style="252" customWidth="1"/>
    <col min="7973" max="7974" width="13.5703125" style="252" customWidth="1"/>
    <col min="7975" max="8192" width="9.140625" style="252"/>
    <col min="8193" max="8193" width="3.5703125" style="252" customWidth="1"/>
    <col min="8194" max="8194" width="6.7109375" style="252" bestFit="1" customWidth="1"/>
    <col min="8195" max="8195" width="10.7109375" style="252" bestFit="1" customWidth="1"/>
    <col min="8196" max="8196" width="40.28515625" style="252" bestFit="1" customWidth="1"/>
    <col min="8197" max="8197" width="2.28515625" style="252" customWidth="1"/>
    <col min="8198" max="8198" width="9.5703125" style="252" customWidth="1"/>
    <col min="8199" max="8199" width="2.28515625" style="252" customWidth="1"/>
    <col min="8200" max="8200" width="13.5703125" style="252" customWidth="1"/>
    <col min="8201" max="8201" width="2.28515625" style="252" customWidth="1"/>
    <col min="8202" max="8202" width="13.5703125" style="252" customWidth="1"/>
    <col min="8203" max="8203" width="2.28515625" style="252" customWidth="1"/>
    <col min="8204" max="8204" width="13.5703125" style="252" customWidth="1"/>
    <col min="8205" max="8205" width="2.28515625" style="252" customWidth="1"/>
    <col min="8206" max="8206" width="13.5703125" style="252" customWidth="1"/>
    <col min="8207" max="8207" width="2.28515625" style="252" customWidth="1"/>
    <col min="8208" max="8208" width="13.5703125" style="252" customWidth="1"/>
    <col min="8209" max="8209" width="2.28515625" style="252" customWidth="1"/>
    <col min="8210" max="8210" width="13.5703125" style="252" customWidth="1"/>
    <col min="8211" max="8211" width="3.28515625" style="252" customWidth="1"/>
    <col min="8212" max="8212" width="3.5703125" style="252" customWidth="1"/>
    <col min="8213" max="8213" width="11.28515625" style="252" customWidth="1"/>
    <col min="8214" max="8214" width="11.7109375" style="252" bestFit="1" customWidth="1"/>
    <col min="8215" max="8215" width="40.28515625" style="252" bestFit="1" customWidth="1"/>
    <col min="8216" max="8216" width="2.28515625" style="252" customWidth="1"/>
    <col min="8217" max="8217" width="9.5703125" style="252" customWidth="1"/>
    <col min="8218" max="8218" width="2.28515625" style="252" customWidth="1"/>
    <col min="8219" max="8219" width="13.5703125" style="252" customWidth="1"/>
    <col min="8220" max="8220" width="2.28515625" style="252" customWidth="1"/>
    <col min="8221" max="8221" width="13.5703125" style="252" customWidth="1"/>
    <col min="8222" max="8222" width="2.28515625" style="252" customWidth="1"/>
    <col min="8223" max="8223" width="13.5703125" style="252" customWidth="1"/>
    <col min="8224" max="8224" width="2.28515625" style="252" customWidth="1"/>
    <col min="8225" max="8225" width="13.5703125" style="252" customWidth="1"/>
    <col min="8226" max="8226" width="2.28515625" style="252" customWidth="1"/>
    <col min="8227" max="8227" width="13.5703125" style="252" customWidth="1"/>
    <col min="8228" max="8228" width="2.28515625" style="252" customWidth="1"/>
    <col min="8229" max="8230" width="13.5703125" style="252" customWidth="1"/>
    <col min="8231" max="8448" width="9.140625" style="252"/>
    <col min="8449" max="8449" width="3.5703125" style="252" customWidth="1"/>
    <col min="8450" max="8450" width="6.7109375" style="252" bestFit="1" customWidth="1"/>
    <col min="8451" max="8451" width="10.7109375" style="252" bestFit="1" customWidth="1"/>
    <col min="8452" max="8452" width="40.28515625" style="252" bestFit="1" customWidth="1"/>
    <col min="8453" max="8453" width="2.28515625" style="252" customWidth="1"/>
    <col min="8454" max="8454" width="9.5703125" style="252" customWidth="1"/>
    <col min="8455" max="8455" width="2.28515625" style="252" customWidth="1"/>
    <col min="8456" max="8456" width="13.5703125" style="252" customWidth="1"/>
    <col min="8457" max="8457" width="2.28515625" style="252" customWidth="1"/>
    <col min="8458" max="8458" width="13.5703125" style="252" customWidth="1"/>
    <col min="8459" max="8459" width="2.28515625" style="252" customWidth="1"/>
    <col min="8460" max="8460" width="13.5703125" style="252" customWidth="1"/>
    <col min="8461" max="8461" width="2.28515625" style="252" customWidth="1"/>
    <col min="8462" max="8462" width="13.5703125" style="252" customWidth="1"/>
    <col min="8463" max="8463" width="2.28515625" style="252" customWidth="1"/>
    <col min="8464" max="8464" width="13.5703125" style="252" customWidth="1"/>
    <col min="8465" max="8465" width="2.28515625" style="252" customWidth="1"/>
    <col min="8466" max="8466" width="13.5703125" style="252" customWidth="1"/>
    <col min="8467" max="8467" width="3.28515625" style="252" customWidth="1"/>
    <col min="8468" max="8468" width="3.5703125" style="252" customWidth="1"/>
    <col min="8469" max="8469" width="11.28515625" style="252" customWidth="1"/>
    <col min="8470" max="8470" width="11.7109375" style="252" bestFit="1" customWidth="1"/>
    <col min="8471" max="8471" width="40.28515625" style="252" bestFit="1" customWidth="1"/>
    <col min="8472" max="8472" width="2.28515625" style="252" customWidth="1"/>
    <col min="8473" max="8473" width="9.5703125" style="252" customWidth="1"/>
    <col min="8474" max="8474" width="2.28515625" style="252" customWidth="1"/>
    <col min="8475" max="8475" width="13.5703125" style="252" customWidth="1"/>
    <col min="8476" max="8476" width="2.28515625" style="252" customWidth="1"/>
    <col min="8477" max="8477" width="13.5703125" style="252" customWidth="1"/>
    <col min="8478" max="8478" width="2.28515625" style="252" customWidth="1"/>
    <col min="8479" max="8479" width="13.5703125" style="252" customWidth="1"/>
    <col min="8480" max="8480" width="2.28515625" style="252" customWidth="1"/>
    <col min="8481" max="8481" width="13.5703125" style="252" customWidth="1"/>
    <col min="8482" max="8482" width="2.28515625" style="252" customWidth="1"/>
    <col min="8483" max="8483" width="13.5703125" style="252" customWidth="1"/>
    <col min="8484" max="8484" width="2.28515625" style="252" customWidth="1"/>
    <col min="8485" max="8486" width="13.5703125" style="252" customWidth="1"/>
    <col min="8487" max="8704" width="9.140625" style="252"/>
    <col min="8705" max="8705" width="3.5703125" style="252" customWidth="1"/>
    <col min="8706" max="8706" width="6.7109375" style="252" bestFit="1" customWidth="1"/>
    <col min="8707" max="8707" width="10.7109375" style="252" bestFit="1" customWidth="1"/>
    <col min="8708" max="8708" width="40.28515625" style="252" bestFit="1" customWidth="1"/>
    <col min="8709" max="8709" width="2.28515625" style="252" customWidth="1"/>
    <col min="8710" max="8710" width="9.5703125" style="252" customWidth="1"/>
    <col min="8711" max="8711" width="2.28515625" style="252" customWidth="1"/>
    <col min="8712" max="8712" width="13.5703125" style="252" customWidth="1"/>
    <col min="8713" max="8713" width="2.28515625" style="252" customWidth="1"/>
    <col min="8714" max="8714" width="13.5703125" style="252" customWidth="1"/>
    <col min="8715" max="8715" width="2.28515625" style="252" customWidth="1"/>
    <col min="8716" max="8716" width="13.5703125" style="252" customWidth="1"/>
    <col min="8717" max="8717" width="2.28515625" style="252" customWidth="1"/>
    <col min="8718" max="8718" width="13.5703125" style="252" customWidth="1"/>
    <col min="8719" max="8719" width="2.28515625" style="252" customWidth="1"/>
    <col min="8720" max="8720" width="13.5703125" style="252" customWidth="1"/>
    <col min="8721" max="8721" width="2.28515625" style="252" customWidth="1"/>
    <col min="8722" max="8722" width="13.5703125" style="252" customWidth="1"/>
    <col min="8723" max="8723" width="3.28515625" style="252" customWidth="1"/>
    <col min="8724" max="8724" width="3.5703125" style="252" customWidth="1"/>
    <col min="8725" max="8725" width="11.28515625" style="252" customWidth="1"/>
    <col min="8726" max="8726" width="11.7109375" style="252" bestFit="1" customWidth="1"/>
    <col min="8727" max="8727" width="40.28515625" style="252" bestFit="1" customWidth="1"/>
    <col min="8728" max="8728" width="2.28515625" style="252" customWidth="1"/>
    <col min="8729" max="8729" width="9.5703125" style="252" customWidth="1"/>
    <col min="8730" max="8730" width="2.28515625" style="252" customWidth="1"/>
    <col min="8731" max="8731" width="13.5703125" style="252" customWidth="1"/>
    <col min="8732" max="8732" width="2.28515625" style="252" customWidth="1"/>
    <col min="8733" max="8733" width="13.5703125" style="252" customWidth="1"/>
    <col min="8734" max="8734" width="2.28515625" style="252" customWidth="1"/>
    <col min="8735" max="8735" width="13.5703125" style="252" customWidth="1"/>
    <col min="8736" max="8736" width="2.28515625" style="252" customWidth="1"/>
    <col min="8737" max="8737" width="13.5703125" style="252" customWidth="1"/>
    <col min="8738" max="8738" width="2.28515625" style="252" customWidth="1"/>
    <col min="8739" max="8739" width="13.5703125" style="252" customWidth="1"/>
    <col min="8740" max="8740" width="2.28515625" style="252" customWidth="1"/>
    <col min="8741" max="8742" width="13.5703125" style="252" customWidth="1"/>
    <col min="8743" max="8960" width="9.140625" style="252"/>
    <col min="8961" max="8961" width="3.5703125" style="252" customWidth="1"/>
    <col min="8962" max="8962" width="6.7109375" style="252" bestFit="1" customWidth="1"/>
    <col min="8963" max="8963" width="10.7109375" style="252" bestFit="1" customWidth="1"/>
    <col min="8964" max="8964" width="40.28515625" style="252" bestFit="1" customWidth="1"/>
    <col min="8965" max="8965" width="2.28515625" style="252" customWidth="1"/>
    <col min="8966" max="8966" width="9.5703125" style="252" customWidth="1"/>
    <col min="8967" max="8967" width="2.28515625" style="252" customWidth="1"/>
    <col min="8968" max="8968" width="13.5703125" style="252" customWidth="1"/>
    <col min="8969" max="8969" width="2.28515625" style="252" customWidth="1"/>
    <col min="8970" max="8970" width="13.5703125" style="252" customWidth="1"/>
    <col min="8971" max="8971" width="2.28515625" style="252" customWidth="1"/>
    <col min="8972" max="8972" width="13.5703125" style="252" customWidth="1"/>
    <col min="8973" max="8973" width="2.28515625" style="252" customWidth="1"/>
    <col min="8974" max="8974" width="13.5703125" style="252" customWidth="1"/>
    <col min="8975" max="8975" width="2.28515625" style="252" customWidth="1"/>
    <col min="8976" max="8976" width="13.5703125" style="252" customWidth="1"/>
    <col min="8977" max="8977" width="2.28515625" style="252" customWidth="1"/>
    <col min="8978" max="8978" width="13.5703125" style="252" customWidth="1"/>
    <col min="8979" max="8979" width="3.28515625" style="252" customWidth="1"/>
    <col min="8980" max="8980" width="3.5703125" style="252" customWidth="1"/>
    <col min="8981" max="8981" width="11.28515625" style="252" customWidth="1"/>
    <col min="8982" max="8982" width="11.7109375" style="252" bestFit="1" customWidth="1"/>
    <col min="8983" max="8983" width="40.28515625" style="252" bestFit="1" customWidth="1"/>
    <col min="8984" max="8984" width="2.28515625" style="252" customWidth="1"/>
    <col min="8985" max="8985" width="9.5703125" style="252" customWidth="1"/>
    <col min="8986" max="8986" width="2.28515625" style="252" customWidth="1"/>
    <col min="8987" max="8987" width="13.5703125" style="252" customWidth="1"/>
    <col min="8988" max="8988" width="2.28515625" style="252" customWidth="1"/>
    <col min="8989" max="8989" width="13.5703125" style="252" customWidth="1"/>
    <col min="8990" max="8990" width="2.28515625" style="252" customWidth="1"/>
    <col min="8991" max="8991" width="13.5703125" style="252" customWidth="1"/>
    <col min="8992" max="8992" width="2.28515625" style="252" customWidth="1"/>
    <col min="8993" max="8993" width="13.5703125" style="252" customWidth="1"/>
    <col min="8994" max="8994" width="2.28515625" style="252" customWidth="1"/>
    <col min="8995" max="8995" width="13.5703125" style="252" customWidth="1"/>
    <col min="8996" max="8996" width="2.28515625" style="252" customWidth="1"/>
    <col min="8997" max="8998" width="13.5703125" style="252" customWidth="1"/>
    <col min="8999" max="9216" width="9.140625" style="252"/>
    <col min="9217" max="9217" width="3.5703125" style="252" customWidth="1"/>
    <col min="9218" max="9218" width="6.7109375" style="252" bestFit="1" customWidth="1"/>
    <col min="9219" max="9219" width="10.7109375" style="252" bestFit="1" customWidth="1"/>
    <col min="9220" max="9220" width="40.28515625" style="252" bestFit="1" customWidth="1"/>
    <col min="9221" max="9221" width="2.28515625" style="252" customWidth="1"/>
    <col min="9222" max="9222" width="9.5703125" style="252" customWidth="1"/>
    <col min="9223" max="9223" width="2.28515625" style="252" customWidth="1"/>
    <col min="9224" max="9224" width="13.5703125" style="252" customWidth="1"/>
    <col min="9225" max="9225" width="2.28515625" style="252" customWidth="1"/>
    <col min="9226" max="9226" width="13.5703125" style="252" customWidth="1"/>
    <col min="9227" max="9227" width="2.28515625" style="252" customWidth="1"/>
    <col min="9228" max="9228" width="13.5703125" style="252" customWidth="1"/>
    <col min="9229" max="9229" width="2.28515625" style="252" customWidth="1"/>
    <col min="9230" max="9230" width="13.5703125" style="252" customWidth="1"/>
    <col min="9231" max="9231" width="2.28515625" style="252" customWidth="1"/>
    <col min="9232" max="9232" width="13.5703125" style="252" customWidth="1"/>
    <col min="9233" max="9233" width="2.28515625" style="252" customWidth="1"/>
    <col min="9234" max="9234" width="13.5703125" style="252" customWidth="1"/>
    <col min="9235" max="9235" width="3.28515625" style="252" customWidth="1"/>
    <col min="9236" max="9236" width="3.5703125" style="252" customWidth="1"/>
    <col min="9237" max="9237" width="11.28515625" style="252" customWidth="1"/>
    <col min="9238" max="9238" width="11.7109375" style="252" bestFit="1" customWidth="1"/>
    <col min="9239" max="9239" width="40.28515625" style="252" bestFit="1" customWidth="1"/>
    <col min="9240" max="9240" width="2.28515625" style="252" customWidth="1"/>
    <col min="9241" max="9241" width="9.5703125" style="252" customWidth="1"/>
    <col min="9242" max="9242" width="2.28515625" style="252" customWidth="1"/>
    <col min="9243" max="9243" width="13.5703125" style="252" customWidth="1"/>
    <col min="9244" max="9244" width="2.28515625" style="252" customWidth="1"/>
    <col min="9245" max="9245" width="13.5703125" style="252" customWidth="1"/>
    <col min="9246" max="9246" width="2.28515625" style="252" customWidth="1"/>
    <col min="9247" max="9247" width="13.5703125" style="252" customWidth="1"/>
    <col min="9248" max="9248" width="2.28515625" style="252" customWidth="1"/>
    <col min="9249" max="9249" width="13.5703125" style="252" customWidth="1"/>
    <col min="9250" max="9250" width="2.28515625" style="252" customWidth="1"/>
    <col min="9251" max="9251" width="13.5703125" style="252" customWidth="1"/>
    <col min="9252" max="9252" width="2.28515625" style="252" customWidth="1"/>
    <col min="9253" max="9254" width="13.5703125" style="252" customWidth="1"/>
    <col min="9255" max="9472" width="9.140625" style="252"/>
    <col min="9473" max="9473" width="3.5703125" style="252" customWidth="1"/>
    <col min="9474" max="9474" width="6.7109375" style="252" bestFit="1" customWidth="1"/>
    <col min="9475" max="9475" width="10.7109375" style="252" bestFit="1" customWidth="1"/>
    <col min="9476" max="9476" width="40.28515625" style="252" bestFit="1" customWidth="1"/>
    <col min="9477" max="9477" width="2.28515625" style="252" customWidth="1"/>
    <col min="9478" max="9478" width="9.5703125" style="252" customWidth="1"/>
    <col min="9479" max="9479" width="2.28515625" style="252" customWidth="1"/>
    <col min="9480" max="9480" width="13.5703125" style="252" customWidth="1"/>
    <col min="9481" max="9481" width="2.28515625" style="252" customWidth="1"/>
    <col min="9482" max="9482" width="13.5703125" style="252" customWidth="1"/>
    <col min="9483" max="9483" width="2.28515625" style="252" customWidth="1"/>
    <col min="9484" max="9484" width="13.5703125" style="252" customWidth="1"/>
    <col min="9485" max="9485" width="2.28515625" style="252" customWidth="1"/>
    <col min="9486" max="9486" width="13.5703125" style="252" customWidth="1"/>
    <col min="9487" max="9487" width="2.28515625" style="252" customWidth="1"/>
    <col min="9488" max="9488" width="13.5703125" style="252" customWidth="1"/>
    <col min="9489" max="9489" width="2.28515625" style="252" customWidth="1"/>
    <col min="9490" max="9490" width="13.5703125" style="252" customWidth="1"/>
    <col min="9491" max="9491" width="3.28515625" style="252" customWidth="1"/>
    <col min="9492" max="9492" width="3.5703125" style="252" customWidth="1"/>
    <col min="9493" max="9493" width="11.28515625" style="252" customWidth="1"/>
    <col min="9494" max="9494" width="11.7109375" style="252" bestFit="1" customWidth="1"/>
    <col min="9495" max="9495" width="40.28515625" style="252" bestFit="1" customWidth="1"/>
    <col min="9496" max="9496" width="2.28515625" style="252" customWidth="1"/>
    <col min="9497" max="9497" width="9.5703125" style="252" customWidth="1"/>
    <col min="9498" max="9498" width="2.28515625" style="252" customWidth="1"/>
    <col min="9499" max="9499" width="13.5703125" style="252" customWidth="1"/>
    <col min="9500" max="9500" width="2.28515625" style="252" customWidth="1"/>
    <col min="9501" max="9501" width="13.5703125" style="252" customWidth="1"/>
    <col min="9502" max="9502" width="2.28515625" style="252" customWidth="1"/>
    <col min="9503" max="9503" width="13.5703125" style="252" customWidth="1"/>
    <col min="9504" max="9504" width="2.28515625" style="252" customWidth="1"/>
    <col min="9505" max="9505" width="13.5703125" style="252" customWidth="1"/>
    <col min="9506" max="9506" width="2.28515625" style="252" customWidth="1"/>
    <col min="9507" max="9507" width="13.5703125" style="252" customWidth="1"/>
    <col min="9508" max="9508" width="2.28515625" style="252" customWidth="1"/>
    <col min="9509" max="9510" width="13.5703125" style="252" customWidth="1"/>
    <col min="9511" max="9728" width="9.140625" style="252"/>
    <col min="9729" max="9729" width="3.5703125" style="252" customWidth="1"/>
    <col min="9730" max="9730" width="6.7109375" style="252" bestFit="1" customWidth="1"/>
    <col min="9731" max="9731" width="10.7109375" style="252" bestFit="1" customWidth="1"/>
    <col min="9732" max="9732" width="40.28515625" style="252" bestFit="1" customWidth="1"/>
    <col min="9733" max="9733" width="2.28515625" style="252" customWidth="1"/>
    <col min="9734" max="9734" width="9.5703125" style="252" customWidth="1"/>
    <col min="9735" max="9735" width="2.28515625" style="252" customWidth="1"/>
    <col min="9736" max="9736" width="13.5703125" style="252" customWidth="1"/>
    <col min="9737" max="9737" width="2.28515625" style="252" customWidth="1"/>
    <col min="9738" max="9738" width="13.5703125" style="252" customWidth="1"/>
    <col min="9739" max="9739" width="2.28515625" style="252" customWidth="1"/>
    <col min="9740" max="9740" width="13.5703125" style="252" customWidth="1"/>
    <col min="9741" max="9741" width="2.28515625" style="252" customWidth="1"/>
    <col min="9742" max="9742" width="13.5703125" style="252" customWidth="1"/>
    <col min="9743" max="9743" width="2.28515625" style="252" customWidth="1"/>
    <col min="9744" max="9744" width="13.5703125" style="252" customWidth="1"/>
    <col min="9745" max="9745" width="2.28515625" style="252" customWidth="1"/>
    <col min="9746" max="9746" width="13.5703125" style="252" customWidth="1"/>
    <col min="9747" max="9747" width="3.28515625" style="252" customWidth="1"/>
    <col min="9748" max="9748" width="3.5703125" style="252" customWidth="1"/>
    <col min="9749" max="9749" width="11.28515625" style="252" customWidth="1"/>
    <col min="9750" max="9750" width="11.7109375" style="252" bestFit="1" customWidth="1"/>
    <col min="9751" max="9751" width="40.28515625" style="252" bestFit="1" customWidth="1"/>
    <col min="9752" max="9752" width="2.28515625" style="252" customWidth="1"/>
    <col min="9753" max="9753" width="9.5703125" style="252" customWidth="1"/>
    <col min="9754" max="9754" width="2.28515625" style="252" customWidth="1"/>
    <col min="9755" max="9755" width="13.5703125" style="252" customWidth="1"/>
    <col min="9756" max="9756" width="2.28515625" style="252" customWidth="1"/>
    <col min="9757" max="9757" width="13.5703125" style="252" customWidth="1"/>
    <col min="9758" max="9758" width="2.28515625" style="252" customWidth="1"/>
    <col min="9759" max="9759" width="13.5703125" style="252" customWidth="1"/>
    <col min="9760" max="9760" width="2.28515625" style="252" customWidth="1"/>
    <col min="9761" max="9761" width="13.5703125" style="252" customWidth="1"/>
    <col min="9762" max="9762" width="2.28515625" style="252" customWidth="1"/>
    <col min="9763" max="9763" width="13.5703125" style="252" customWidth="1"/>
    <col min="9764" max="9764" width="2.28515625" style="252" customWidth="1"/>
    <col min="9765" max="9766" width="13.5703125" style="252" customWidth="1"/>
    <col min="9767" max="9984" width="9.140625" style="252"/>
    <col min="9985" max="9985" width="3.5703125" style="252" customWidth="1"/>
    <col min="9986" max="9986" width="6.7109375" style="252" bestFit="1" customWidth="1"/>
    <col min="9987" max="9987" width="10.7109375" style="252" bestFit="1" customWidth="1"/>
    <col min="9988" max="9988" width="40.28515625" style="252" bestFit="1" customWidth="1"/>
    <col min="9989" max="9989" width="2.28515625" style="252" customWidth="1"/>
    <col min="9990" max="9990" width="9.5703125" style="252" customWidth="1"/>
    <col min="9991" max="9991" width="2.28515625" style="252" customWidth="1"/>
    <col min="9992" max="9992" width="13.5703125" style="252" customWidth="1"/>
    <col min="9993" max="9993" width="2.28515625" style="252" customWidth="1"/>
    <col min="9994" max="9994" width="13.5703125" style="252" customWidth="1"/>
    <col min="9995" max="9995" width="2.28515625" style="252" customWidth="1"/>
    <col min="9996" max="9996" width="13.5703125" style="252" customWidth="1"/>
    <col min="9997" max="9997" width="2.28515625" style="252" customWidth="1"/>
    <col min="9998" max="9998" width="13.5703125" style="252" customWidth="1"/>
    <col min="9999" max="9999" width="2.28515625" style="252" customWidth="1"/>
    <col min="10000" max="10000" width="13.5703125" style="252" customWidth="1"/>
    <col min="10001" max="10001" width="2.28515625" style="252" customWidth="1"/>
    <col min="10002" max="10002" width="13.5703125" style="252" customWidth="1"/>
    <col min="10003" max="10003" width="3.28515625" style="252" customWidth="1"/>
    <col min="10004" max="10004" width="3.5703125" style="252" customWidth="1"/>
    <col min="10005" max="10005" width="11.28515625" style="252" customWidth="1"/>
    <col min="10006" max="10006" width="11.7109375" style="252" bestFit="1" customWidth="1"/>
    <col min="10007" max="10007" width="40.28515625" style="252" bestFit="1" customWidth="1"/>
    <col min="10008" max="10008" width="2.28515625" style="252" customWidth="1"/>
    <col min="10009" max="10009" width="9.5703125" style="252" customWidth="1"/>
    <col min="10010" max="10010" width="2.28515625" style="252" customWidth="1"/>
    <col min="10011" max="10011" width="13.5703125" style="252" customWidth="1"/>
    <col min="10012" max="10012" width="2.28515625" style="252" customWidth="1"/>
    <col min="10013" max="10013" width="13.5703125" style="252" customWidth="1"/>
    <col min="10014" max="10014" width="2.28515625" style="252" customWidth="1"/>
    <col min="10015" max="10015" width="13.5703125" style="252" customWidth="1"/>
    <col min="10016" max="10016" width="2.28515625" style="252" customWidth="1"/>
    <col min="10017" max="10017" width="13.5703125" style="252" customWidth="1"/>
    <col min="10018" max="10018" width="2.28515625" style="252" customWidth="1"/>
    <col min="10019" max="10019" width="13.5703125" style="252" customWidth="1"/>
    <col min="10020" max="10020" width="2.28515625" style="252" customWidth="1"/>
    <col min="10021" max="10022" width="13.5703125" style="252" customWidth="1"/>
    <col min="10023" max="10240" width="9.140625" style="252"/>
    <col min="10241" max="10241" width="3.5703125" style="252" customWidth="1"/>
    <col min="10242" max="10242" width="6.7109375" style="252" bestFit="1" customWidth="1"/>
    <col min="10243" max="10243" width="10.7109375" style="252" bestFit="1" customWidth="1"/>
    <col min="10244" max="10244" width="40.28515625" style="252" bestFit="1" customWidth="1"/>
    <col min="10245" max="10245" width="2.28515625" style="252" customWidth="1"/>
    <col min="10246" max="10246" width="9.5703125" style="252" customWidth="1"/>
    <col min="10247" max="10247" width="2.28515625" style="252" customWidth="1"/>
    <col min="10248" max="10248" width="13.5703125" style="252" customWidth="1"/>
    <col min="10249" max="10249" width="2.28515625" style="252" customWidth="1"/>
    <col min="10250" max="10250" width="13.5703125" style="252" customWidth="1"/>
    <col min="10251" max="10251" width="2.28515625" style="252" customWidth="1"/>
    <col min="10252" max="10252" width="13.5703125" style="252" customWidth="1"/>
    <col min="10253" max="10253" width="2.28515625" style="252" customWidth="1"/>
    <col min="10254" max="10254" width="13.5703125" style="252" customWidth="1"/>
    <col min="10255" max="10255" width="2.28515625" style="252" customWidth="1"/>
    <col min="10256" max="10256" width="13.5703125" style="252" customWidth="1"/>
    <col min="10257" max="10257" width="2.28515625" style="252" customWidth="1"/>
    <col min="10258" max="10258" width="13.5703125" style="252" customWidth="1"/>
    <col min="10259" max="10259" width="3.28515625" style="252" customWidth="1"/>
    <col min="10260" max="10260" width="3.5703125" style="252" customWidth="1"/>
    <col min="10261" max="10261" width="11.28515625" style="252" customWidth="1"/>
    <col min="10262" max="10262" width="11.7109375" style="252" bestFit="1" customWidth="1"/>
    <col min="10263" max="10263" width="40.28515625" style="252" bestFit="1" customWidth="1"/>
    <col min="10264" max="10264" width="2.28515625" style="252" customWidth="1"/>
    <col min="10265" max="10265" width="9.5703125" style="252" customWidth="1"/>
    <col min="10266" max="10266" width="2.28515625" style="252" customWidth="1"/>
    <col min="10267" max="10267" width="13.5703125" style="252" customWidth="1"/>
    <col min="10268" max="10268" width="2.28515625" style="252" customWidth="1"/>
    <col min="10269" max="10269" width="13.5703125" style="252" customWidth="1"/>
    <col min="10270" max="10270" width="2.28515625" style="252" customWidth="1"/>
    <col min="10271" max="10271" width="13.5703125" style="252" customWidth="1"/>
    <col min="10272" max="10272" width="2.28515625" style="252" customWidth="1"/>
    <col min="10273" max="10273" width="13.5703125" style="252" customWidth="1"/>
    <col min="10274" max="10274" width="2.28515625" style="252" customWidth="1"/>
    <col min="10275" max="10275" width="13.5703125" style="252" customWidth="1"/>
    <col min="10276" max="10276" width="2.28515625" style="252" customWidth="1"/>
    <col min="10277" max="10278" width="13.5703125" style="252" customWidth="1"/>
    <col min="10279" max="10496" width="9.140625" style="252"/>
    <col min="10497" max="10497" width="3.5703125" style="252" customWidth="1"/>
    <col min="10498" max="10498" width="6.7109375" style="252" bestFit="1" customWidth="1"/>
    <col min="10499" max="10499" width="10.7109375" style="252" bestFit="1" customWidth="1"/>
    <col min="10500" max="10500" width="40.28515625" style="252" bestFit="1" customWidth="1"/>
    <col min="10501" max="10501" width="2.28515625" style="252" customWidth="1"/>
    <col min="10502" max="10502" width="9.5703125" style="252" customWidth="1"/>
    <col min="10503" max="10503" width="2.28515625" style="252" customWidth="1"/>
    <col min="10504" max="10504" width="13.5703125" style="252" customWidth="1"/>
    <col min="10505" max="10505" width="2.28515625" style="252" customWidth="1"/>
    <col min="10506" max="10506" width="13.5703125" style="252" customWidth="1"/>
    <col min="10507" max="10507" width="2.28515625" style="252" customWidth="1"/>
    <col min="10508" max="10508" width="13.5703125" style="252" customWidth="1"/>
    <col min="10509" max="10509" width="2.28515625" style="252" customWidth="1"/>
    <col min="10510" max="10510" width="13.5703125" style="252" customWidth="1"/>
    <col min="10511" max="10511" width="2.28515625" style="252" customWidth="1"/>
    <col min="10512" max="10512" width="13.5703125" style="252" customWidth="1"/>
    <col min="10513" max="10513" width="2.28515625" style="252" customWidth="1"/>
    <col min="10514" max="10514" width="13.5703125" style="252" customWidth="1"/>
    <col min="10515" max="10515" width="3.28515625" style="252" customWidth="1"/>
    <col min="10516" max="10516" width="3.5703125" style="252" customWidth="1"/>
    <col min="10517" max="10517" width="11.28515625" style="252" customWidth="1"/>
    <col min="10518" max="10518" width="11.7109375" style="252" bestFit="1" customWidth="1"/>
    <col min="10519" max="10519" width="40.28515625" style="252" bestFit="1" customWidth="1"/>
    <col min="10520" max="10520" width="2.28515625" style="252" customWidth="1"/>
    <col min="10521" max="10521" width="9.5703125" style="252" customWidth="1"/>
    <col min="10522" max="10522" width="2.28515625" style="252" customWidth="1"/>
    <col min="10523" max="10523" width="13.5703125" style="252" customWidth="1"/>
    <col min="10524" max="10524" width="2.28515625" style="252" customWidth="1"/>
    <col min="10525" max="10525" width="13.5703125" style="252" customWidth="1"/>
    <col min="10526" max="10526" width="2.28515625" style="252" customWidth="1"/>
    <col min="10527" max="10527" width="13.5703125" style="252" customWidth="1"/>
    <col min="10528" max="10528" width="2.28515625" style="252" customWidth="1"/>
    <col min="10529" max="10529" width="13.5703125" style="252" customWidth="1"/>
    <col min="10530" max="10530" width="2.28515625" style="252" customWidth="1"/>
    <col min="10531" max="10531" width="13.5703125" style="252" customWidth="1"/>
    <col min="10532" max="10532" width="2.28515625" style="252" customWidth="1"/>
    <col min="10533" max="10534" width="13.5703125" style="252" customWidth="1"/>
    <col min="10535" max="10752" width="9.140625" style="252"/>
    <col min="10753" max="10753" width="3.5703125" style="252" customWidth="1"/>
    <col min="10754" max="10754" width="6.7109375" style="252" bestFit="1" customWidth="1"/>
    <col min="10755" max="10755" width="10.7109375" style="252" bestFit="1" customWidth="1"/>
    <col min="10756" max="10756" width="40.28515625" style="252" bestFit="1" customWidth="1"/>
    <col min="10757" max="10757" width="2.28515625" style="252" customWidth="1"/>
    <col min="10758" max="10758" width="9.5703125" style="252" customWidth="1"/>
    <col min="10759" max="10759" width="2.28515625" style="252" customWidth="1"/>
    <col min="10760" max="10760" width="13.5703125" style="252" customWidth="1"/>
    <col min="10761" max="10761" width="2.28515625" style="252" customWidth="1"/>
    <col min="10762" max="10762" width="13.5703125" style="252" customWidth="1"/>
    <col min="10763" max="10763" width="2.28515625" style="252" customWidth="1"/>
    <col min="10764" max="10764" width="13.5703125" style="252" customWidth="1"/>
    <col min="10765" max="10765" width="2.28515625" style="252" customWidth="1"/>
    <col min="10766" max="10766" width="13.5703125" style="252" customWidth="1"/>
    <col min="10767" max="10767" width="2.28515625" style="252" customWidth="1"/>
    <col min="10768" max="10768" width="13.5703125" style="252" customWidth="1"/>
    <col min="10769" max="10769" width="2.28515625" style="252" customWidth="1"/>
    <col min="10770" max="10770" width="13.5703125" style="252" customWidth="1"/>
    <col min="10771" max="10771" width="3.28515625" style="252" customWidth="1"/>
    <col min="10772" max="10772" width="3.5703125" style="252" customWidth="1"/>
    <col min="10773" max="10773" width="11.28515625" style="252" customWidth="1"/>
    <col min="10774" max="10774" width="11.7109375" style="252" bestFit="1" customWidth="1"/>
    <col min="10775" max="10775" width="40.28515625" style="252" bestFit="1" customWidth="1"/>
    <col min="10776" max="10776" width="2.28515625" style="252" customWidth="1"/>
    <col min="10777" max="10777" width="9.5703125" style="252" customWidth="1"/>
    <col min="10778" max="10778" width="2.28515625" style="252" customWidth="1"/>
    <col min="10779" max="10779" width="13.5703125" style="252" customWidth="1"/>
    <col min="10780" max="10780" width="2.28515625" style="252" customWidth="1"/>
    <col min="10781" max="10781" width="13.5703125" style="252" customWidth="1"/>
    <col min="10782" max="10782" width="2.28515625" style="252" customWidth="1"/>
    <col min="10783" max="10783" width="13.5703125" style="252" customWidth="1"/>
    <col min="10784" max="10784" width="2.28515625" style="252" customWidth="1"/>
    <col min="10785" max="10785" width="13.5703125" style="252" customWidth="1"/>
    <col min="10786" max="10786" width="2.28515625" style="252" customWidth="1"/>
    <col min="10787" max="10787" width="13.5703125" style="252" customWidth="1"/>
    <col min="10788" max="10788" width="2.28515625" style="252" customWidth="1"/>
    <col min="10789" max="10790" width="13.5703125" style="252" customWidth="1"/>
    <col min="10791" max="11008" width="9.140625" style="252"/>
    <col min="11009" max="11009" width="3.5703125" style="252" customWidth="1"/>
    <col min="11010" max="11010" width="6.7109375" style="252" bestFit="1" customWidth="1"/>
    <col min="11011" max="11011" width="10.7109375" style="252" bestFit="1" customWidth="1"/>
    <col min="11012" max="11012" width="40.28515625" style="252" bestFit="1" customWidth="1"/>
    <col min="11013" max="11013" width="2.28515625" style="252" customWidth="1"/>
    <col min="11014" max="11014" width="9.5703125" style="252" customWidth="1"/>
    <col min="11015" max="11015" width="2.28515625" style="252" customWidth="1"/>
    <col min="11016" max="11016" width="13.5703125" style="252" customWidth="1"/>
    <col min="11017" max="11017" width="2.28515625" style="252" customWidth="1"/>
    <col min="11018" max="11018" width="13.5703125" style="252" customWidth="1"/>
    <col min="11019" max="11019" width="2.28515625" style="252" customWidth="1"/>
    <col min="11020" max="11020" width="13.5703125" style="252" customWidth="1"/>
    <col min="11021" max="11021" width="2.28515625" style="252" customWidth="1"/>
    <col min="11022" max="11022" width="13.5703125" style="252" customWidth="1"/>
    <col min="11023" max="11023" width="2.28515625" style="252" customWidth="1"/>
    <col min="11024" max="11024" width="13.5703125" style="252" customWidth="1"/>
    <col min="11025" max="11025" width="2.28515625" style="252" customWidth="1"/>
    <col min="11026" max="11026" width="13.5703125" style="252" customWidth="1"/>
    <col min="11027" max="11027" width="3.28515625" style="252" customWidth="1"/>
    <col min="11028" max="11028" width="3.5703125" style="252" customWidth="1"/>
    <col min="11029" max="11029" width="11.28515625" style="252" customWidth="1"/>
    <col min="11030" max="11030" width="11.7109375" style="252" bestFit="1" customWidth="1"/>
    <col min="11031" max="11031" width="40.28515625" style="252" bestFit="1" customWidth="1"/>
    <col min="11032" max="11032" width="2.28515625" style="252" customWidth="1"/>
    <col min="11033" max="11033" width="9.5703125" style="252" customWidth="1"/>
    <col min="11034" max="11034" width="2.28515625" style="252" customWidth="1"/>
    <col min="11035" max="11035" width="13.5703125" style="252" customWidth="1"/>
    <col min="11036" max="11036" width="2.28515625" style="252" customWidth="1"/>
    <col min="11037" max="11037" width="13.5703125" style="252" customWidth="1"/>
    <col min="11038" max="11038" width="2.28515625" style="252" customWidth="1"/>
    <col min="11039" max="11039" width="13.5703125" style="252" customWidth="1"/>
    <col min="11040" max="11040" width="2.28515625" style="252" customWidth="1"/>
    <col min="11041" max="11041" width="13.5703125" style="252" customWidth="1"/>
    <col min="11042" max="11042" width="2.28515625" style="252" customWidth="1"/>
    <col min="11043" max="11043" width="13.5703125" style="252" customWidth="1"/>
    <col min="11044" max="11044" width="2.28515625" style="252" customWidth="1"/>
    <col min="11045" max="11046" width="13.5703125" style="252" customWidth="1"/>
    <col min="11047" max="11264" width="9.140625" style="252"/>
    <col min="11265" max="11265" width="3.5703125" style="252" customWidth="1"/>
    <col min="11266" max="11266" width="6.7109375" style="252" bestFit="1" customWidth="1"/>
    <col min="11267" max="11267" width="10.7109375" style="252" bestFit="1" customWidth="1"/>
    <col min="11268" max="11268" width="40.28515625" style="252" bestFit="1" customWidth="1"/>
    <col min="11269" max="11269" width="2.28515625" style="252" customWidth="1"/>
    <col min="11270" max="11270" width="9.5703125" style="252" customWidth="1"/>
    <col min="11271" max="11271" width="2.28515625" style="252" customWidth="1"/>
    <col min="11272" max="11272" width="13.5703125" style="252" customWidth="1"/>
    <col min="11273" max="11273" width="2.28515625" style="252" customWidth="1"/>
    <col min="11274" max="11274" width="13.5703125" style="252" customWidth="1"/>
    <col min="11275" max="11275" width="2.28515625" style="252" customWidth="1"/>
    <col min="11276" max="11276" width="13.5703125" style="252" customWidth="1"/>
    <col min="11277" max="11277" width="2.28515625" style="252" customWidth="1"/>
    <col min="11278" max="11278" width="13.5703125" style="252" customWidth="1"/>
    <col min="11279" max="11279" width="2.28515625" style="252" customWidth="1"/>
    <col min="11280" max="11280" width="13.5703125" style="252" customWidth="1"/>
    <col min="11281" max="11281" width="2.28515625" style="252" customWidth="1"/>
    <col min="11282" max="11282" width="13.5703125" style="252" customWidth="1"/>
    <col min="11283" max="11283" width="3.28515625" style="252" customWidth="1"/>
    <col min="11284" max="11284" width="3.5703125" style="252" customWidth="1"/>
    <col min="11285" max="11285" width="11.28515625" style="252" customWidth="1"/>
    <col min="11286" max="11286" width="11.7109375" style="252" bestFit="1" customWidth="1"/>
    <col min="11287" max="11287" width="40.28515625" style="252" bestFit="1" customWidth="1"/>
    <col min="11288" max="11288" width="2.28515625" style="252" customWidth="1"/>
    <col min="11289" max="11289" width="9.5703125" style="252" customWidth="1"/>
    <col min="11290" max="11290" width="2.28515625" style="252" customWidth="1"/>
    <col min="11291" max="11291" width="13.5703125" style="252" customWidth="1"/>
    <col min="11292" max="11292" width="2.28515625" style="252" customWidth="1"/>
    <col min="11293" max="11293" width="13.5703125" style="252" customWidth="1"/>
    <col min="11294" max="11294" width="2.28515625" style="252" customWidth="1"/>
    <col min="11295" max="11295" width="13.5703125" style="252" customWidth="1"/>
    <col min="11296" max="11296" width="2.28515625" style="252" customWidth="1"/>
    <col min="11297" max="11297" width="13.5703125" style="252" customWidth="1"/>
    <col min="11298" max="11298" width="2.28515625" style="252" customWidth="1"/>
    <col min="11299" max="11299" width="13.5703125" style="252" customWidth="1"/>
    <col min="11300" max="11300" width="2.28515625" style="252" customWidth="1"/>
    <col min="11301" max="11302" width="13.5703125" style="252" customWidth="1"/>
    <col min="11303" max="11520" width="9.140625" style="252"/>
    <col min="11521" max="11521" width="3.5703125" style="252" customWidth="1"/>
    <col min="11522" max="11522" width="6.7109375" style="252" bestFit="1" customWidth="1"/>
    <col min="11523" max="11523" width="10.7109375" style="252" bestFit="1" customWidth="1"/>
    <col min="11524" max="11524" width="40.28515625" style="252" bestFit="1" customWidth="1"/>
    <col min="11525" max="11525" width="2.28515625" style="252" customWidth="1"/>
    <col min="11526" max="11526" width="9.5703125" style="252" customWidth="1"/>
    <col min="11527" max="11527" width="2.28515625" style="252" customWidth="1"/>
    <col min="11528" max="11528" width="13.5703125" style="252" customWidth="1"/>
    <col min="11529" max="11529" width="2.28515625" style="252" customWidth="1"/>
    <col min="11530" max="11530" width="13.5703125" style="252" customWidth="1"/>
    <col min="11531" max="11531" width="2.28515625" style="252" customWidth="1"/>
    <col min="11532" max="11532" width="13.5703125" style="252" customWidth="1"/>
    <col min="11533" max="11533" width="2.28515625" style="252" customWidth="1"/>
    <col min="11534" max="11534" width="13.5703125" style="252" customWidth="1"/>
    <col min="11535" max="11535" width="2.28515625" style="252" customWidth="1"/>
    <col min="11536" max="11536" width="13.5703125" style="252" customWidth="1"/>
    <col min="11537" max="11537" width="2.28515625" style="252" customWidth="1"/>
    <col min="11538" max="11538" width="13.5703125" style="252" customWidth="1"/>
    <col min="11539" max="11539" width="3.28515625" style="252" customWidth="1"/>
    <col min="11540" max="11540" width="3.5703125" style="252" customWidth="1"/>
    <col min="11541" max="11541" width="11.28515625" style="252" customWidth="1"/>
    <col min="11542" max="11542" width="11.7109375" style="252" bestFit="1" customWidth="1"/>
    <col min="11543" max="11543" width="40.28515625" style="252" bestFit="1" customWidth="1"/>
    <col min="11544" max="11544" width="2.28515625" style="252" customWidth="1"/>
    <col min="11545" max="11545" width="9.5703125" style="252" customWidth="1"/>
    <col min="11546" max="11546" width="2.28515625" style="252" customWidth="1"/>
    <col min="11547" max="11547" width="13.5703125" style="252" customWidth="1"/>
    <col min="11548" max="11548" width="2.28515625" style="252" customWidth="1"/>
    <col min="11549" max="11549" width="13.5703125" style="252" customWidth="1"/>
    <col min="11550" max="11550" width="2.28515625" style="252" customWidth="1"/>
    <col min="11551" max="11551" width="13.5703125" style="252" customWidth="1"/>
    <col min="11552" max="11552" width="2.28515625" style="252" customWidth="1"/>
    <col min="11553" max="11553" width="13.5703125" style="252" customWidth="1"/>
    <col min="11554" max="11554" width="2.28515625" style="252" customWidth="1"/>
    <col min="11555" max="11555" width="13.5703125" style="252" customWidth="1"/>
    <col min="11556" max="11556" width="2.28515625" style="252" customWidth="1"/>
    <col min="11557" max="11558" width="13.5703125" style="252" customWidth="1"/>
    <col min="11559" max="11776" width="9.140625" style="252"/>
    <col min="11777" max="11777" width="3.5703125" style="252" customWidth="1"/>
    <col min="11778" max="11778" width="6.7109375" style="252" bestFit="1" customWidth="1"/>
    <col min="11779" max="11779" width="10.7109375" style="252" bestFit="1" customWidth="1"/>
    <col min="11780" max="11780" width="40.28515625" style="252" bestFit="1" customWidth="1"/>
    <col min="11781" max="11781" width="2.28515625" style="252" customWidth="1"/>
    <col min="11782" max="11782" width="9.5703125" style="252" customWidth="1"/>
    <col min="11783" max="11783" width="2.28515625" style="252" customWidth="1"/>
    <col min="11784" max="11784" width="13.5703125" style="252" customWidth="1"/>
    <col min="11785" max="11785" width="2.28515625" style="252" customWidth="1"/>
    <col min="11786" max="11786" width="13.5703125" style="252" customWidth="1"/>
    <col min="11787" max="11787" width="2.28515625" style="252" customWidth="1"/>
    <col min="11788" max="11788" width="13.5703125" style="252" customWidth="1"/>
    <col min="11789" max="11789" width="2.28515625" style="252" customWidth="1"/>
    <col min="11790" max="11790" width="13.5703125" style="252" customWidth="1"/>
    <col min="11791" max="11791" width="2.28515625" style="252" customWidth="1"/>
    <col min="11792" max="11792" width="13.5703125" style="252" customWidth="1"/>
    <col min="11793" max="11793" width="2.28515625" style="252" customWidth="1"/>
    <col min="11794" max="11794" width="13.5703125" style="252" customWidth="1"/>
    <col min="11795" max="11795" width="3.28515625" style="252" customWidth="1"/>
    <col min="11796" max="11796" width="3.5703125" style="252" customWidth="1"/>
    <col min="11797" max="11797" width="11.28515625" style="252" customWidth="1"/>
    <col min="11798" max="11798" width="11.7109375" style="252" bestFit="1" customWidth="1"/>
    <col min="11799" max="11799" width="40.28515625" style="252" bestFit="1" customWidth="1"/>
    <col min="11800" max="11800" width="2.28515625" style="252" customWidth="1"/>
    <col min="11801" max="11801" width="9.5703125" style="252" customWidth="1"/>
    <col min="11802" max="11802" width="2.28515625" style="252" customWidth="1"/>
    <col min="11803" max="11803" width="13.5703125" style="252" customWidth="1"/>
    <col min="11804" max="11804" width="2.28515625" style="252" customWidth="1"/>
    <col min="11805" max="11805" width="13.5703125" style="252" customWidth="1"/>
    <col min="11806" max="11806" width="2.28515625" style="252" customWidth="1"/>
    <col min="11807" max="11807" width="13.5703125" style="252" customWidth="1"/>
    <col min="11808" max="11808" width="2.28515625" style="252" customWidth="1"/>
    <col min="11809" max="11809" width="13.5703125" style="252" customWidth="1"/>
    <col min="11810" max="11810" width="2.28515625" style="252" customWidth="1"/>
    <col min="11811" max="11811" width="13.5703125" style="252" customWidth="1"/>
    <col min="11812" max="11812" width="2.28515625" style="252" customWidth="1"/>
    <col min="11813" max="11814" width="13.5703125" style="252" customWidth="1"/>
    <col min="11815" max="12032" width="9.140625" style="252"/>
    <col min="12033" max="12033" width="3.5703125" style="252" customWidth="1"/>
    <col min="12034" max="12034" width="6.7109375" style="252" bestFit="1" customWidth="1"/>
    <col min="12035" max="12035" width="10.7109375" style="252" bestFit="1" customWidth="1"/>
    <col min="12036" max="12036" width="40.28515625" style="252" bestFit="1" customWidth="1"/>
    <col min="12037" max="12037" width="2.28515625" style="252" customWidth="1"/>
    <col min="12038" max="12038" width="9.5703125" style="252" customWidth="1"/>
    <col min="12039" max="12039" width="2.28515625" style="252" customWidth="1"/>
    <col min="12040" max="12040" width="13.5703125" style="252" customWidth="1"/>
    <col min="12041" max="12041" width="2.28515625" style="252" customWidth="1"/>
    <col min="12042" max="12042" width="13.5703125" style="252" customWidth="1"/>
    <col min="12043" max="12043" width="2.28515625" style="252" customWidth="1"/>
    <col min="12044" max="12044" width="13.5703125" style="252" customWidth="1"/>
    <col min="12045" max="12045" width="2.28515625" style="252" customWidth="1"/>
    <col min="12046" max="12046" width="13.5703125" style="252" customWidth="1"/>
    <col min="12047" max="12047" width="2.28515625" style="252" customWidth="1"/>
    <col min="12048" max="12048" width="13.5703125" style="252" customWidth="1"/>
    <col min="12049" max="12049" width="2.28515625" style="252" customWidth="1"/>
    <col min="12050" max="12050" width="13.5703125" style="252" customWidth="1"/>
    <col min="12051" max="12051" width="3.28515625" style="252" customWidth="1"/>
    <col min="12052" max="12052" width="3.5703125" style="252" customWidth="1"/>
    <col min="12053" max="12053" width="11.28515625" style="252" customWidth="1"/>
    <col min="12054" max="12054" width="11.7109375" style="252" bestFit="1" customWidth="1"/>
    <col min="12055" max="12055" width="40.28515625" style="252" bestFit="1" customWidth="1"/>
    <col min="12056" max="12056" width="2.28515625" style="252" customWidth="1"/>
    <col min="12057" max="12057" width="9.5703125" style="252" customWidth="1"/>
    <col min="12058" max="12058" width="2.28515625" style="252" customWidth="1"/>
    <col min="12059" max="12059" width="13.5703125" style="252" customWidth="1"/>
    <col min="12060" max="12060" width="2.28515625" style="252" customWidth="1"/>
    <col min="12061" max="12061" width="13.5703125" style="252" customWidth="1"/>
    <col min="12062" max="12062" width="2.28515625" style="252" customWidth="1"/>
    <col min="12063" max="12063" width="13.5703125" style="252" customWidth="1"/>
    <col min="12064" max="12064" width="2.28515625" style="252" customWidth="1"/>
    <col min="12065" max="12065" width="13.5703125" style="252" customWidth="1"/>
    <col min="12066" max="12066" width="2.28515625" style="252" customWidth="1"/>
    <col min="12067" max="12067" width="13.5703125" style="252" customWidth="1"/>
    <col min="12068" max="12068" width="2.28515625" style="252" customWidth="1"/>
    <col min="12069" max="12070" width="13.5703125" style="252" customWidth="1"/>
    <col min="12071" max="12288" width="9.140625" style="252"/>
    <col min="12289" max="12289" width="3.5703125" style="252" customWidth="1"/>
    <col min="12290" max="12290" width="6.7109375" style="252" bestFit="1" customWidth="1"/>
    <col min="12291" max="12291" width="10.7109375" style="252" bestFit="1" customWidth="1"/>
    <col min="12292" max="12292" width="40.28515625" style="252" bestFit="1" customWidth="1"/>
    <col min="12293" max="12293" width="2.28515625" style="252" customWidth="1"/>
    <col min="12294" max="12294" width="9.5703125" style="252" customWidth="1"/>
    <col min="12295" max="12295" width="2.28515625" style="252" customWidth="1"/>
    <col min="12296" max="12296" width="13.5703125" style="252" customWidth="1"/>
    <col min="12297" max="12297" width="2.28515625" style="252" customWidth="1"/>
    <col min="12298" max="12298" width="13.5703125" style="252" customWidth="1"/>
    <col min="12299" max="12299" width="2.28515625" style="252" customWidth="1"/>
    <col min="12300" max="12300" width="13.5703125" style="252" customWidth="1"/>
    <col min="12301" max="12301" width="2.28515625" style="252" customWidth="1"/>
    <col min="12302" max="12302" width="13.5703125" style="252" customWidth="1"/>
    <col min="12303" max="12303" width="2.28515625" style="252" customWidth="1"/>
    <col min="12304" max="12304" width="13.5703125" style="252" customWidth="1"/>
    <col min="12305" max="12305" width="2.28515625" style="252" customWidth="1"/>
    <col min="12306" max="12306" width="13.5703125" style="252" customWidth="1"/>
    <col min="12307" max="12307" width="3.28515625" style="252" customWidth="1"/>
    <col min="12308" max="12308" width="3.5703125" style="252" customWidth="1"/>
    <col min="12309" max="12309" width="11.28515625" style="252" customWidth="1"/>
    <col min="12310" max="12310" width="11.7109375" style="252" bestFit="1" customWidth="1"/>
    <col min="12311" max="12311" width="40.28515625" style="252" bestFit="1" customWidth="1"/>
    <col min="12312" max="12312" width="2.28515625" style="252" customWidth="1"/>
    <col min="12313" max="12313" width="9.5703125" style="252" customWidth="1"/>
    <col min="12314" max="12314" width="2.28515625" style="252" customWidth="1"/>
    <col min="12315" max="12315" width="13.5703125" style="252" customWidth="1"/>
    <col min="12316" max="12316" width="2.28515625" style="252" customWidth="1"/>
    <col min="12317" max="12317" width="13.5703125" style="252" customWidth="1"/>
    <col min="12318" max="12318" width="2.28515625" style="252" customWidth="1"/>
    <col min="12319" max="12319" width="13.5703125" style="252" customWidth="1"/>
    <col min="12320" max="12320" width="2.28515625" style="252" customWidth="1"/>
    <col min="12321" max="12321" width="13.5703125" style="252" customWidth="1"/>
    <col min="12322" max="12322" width="2.28515625" style="252" customWidth="1"/>
    <col min="12323" max="12323" width="13.5703125" style="252" customWidth="1"/>
    <col min="12324" max="12324" width="2.28515625" style="252" customWidth="1"/>
    <col min="12325" max="12326" width="13.5703125" style="252" customWidth="1"/>
    <col min="12327" max="12544" width="9.140625" style="252"/>
    <col min="12545" max="12545" width="3.5703125" style="252" customWidth="1"/>
    <col min="12546" max="12546" width="6.7109375" style="252" bestFit="1" customWidth="1"/>
    <col min="12547" max="12547" width="10.7109375" style="252" bestFit="1" customWidth="1"/>
    <col min="12548" max="12548" width="40.28515625" style="252" bestFit="1" customWidth="1"/>
    <col min="12549" max="12549" width="2.28515625" style="252" customWidth="1"/>
    <col min="12550" max="12550" width="9.5703125" style="252" customWidth="1"/>
    <col min="12551" max="12551" width="2.28515625" style="252" customWidth="1"/>
    <col min="12552" max="12552" width="13.5703125" style="252" customWidth="1"/>
    <col min="12553" max="12553" width="2.28515625" style="252" customWidth="1"/>
    <col min="12554" max="12554" width="13.5703125" style="252" customWidth="1"/>
    <col min="12555" max="12555" width="2.28515625" style="252" customWidth="1"/>
    <col min="12556" max="12556" width="13.5703125" style="252" customWidth="1"/>
    <col min="12557" max="12557" width="2.28515625" style="252" customWidth="1"/>
    <col min="12558" max="12558" width="13.5703125" style="252" customWidth="1"/>
    <col min="12559" max="12559" width="2.28515625" style="252" customWidth="1"/>
    <col min="12560" max="12560" width="13.5703125" style="252" customWidth="1"/>
    <col min="12561" max="12561" width="2.28515625" style="252" customWidth="1"/>
    <col min="12562" max="12562" width="13.5703125" style="252" customWidth="1"/>
    <col min="12563" max="12563" width="3.28515625" style="252" customWidth="1"/>
    <col min="12564" max="12564" width="3.5703125" style="252" customWidth="1"/>
    <col min="12565" max="12565" width="11.28515625" style="252" customWidth="1"/>
    <col min="12566" max="12566" width="11.7109375" style="252" bestFit="1" customWidth="1"/>
    <col min="12567" max="12567" width="40.28515625" style="252" bestFit="1" customWidth="1"/>
    <col min="12568" max="12568" width="2.28515625" style="252" customWidth="1"/>
    <col min="12569" max="12569" width="9.5703125" style="252" customWidth="1"/>
    <col min="12570" max="12570" width="2.28515625" style="252" customWidth="1"/>
    <col min="12571" max="12571" width="13.5703125" style="252" customWidth="1"/>
    <col min="12572" max="12572" width="2.28515625" style="252" customWidth="1"/>
    <col min="12573" max="12573" width="13.5703125" style="252" customWidth="1"/>
    <col min="12574" max="12574" width="2.28515625" style="252" customWidth="1"/>
    <col min="12575" max="12575" width="13.5703125" style="252" customWidth="1"/>
    <col min="12576" max="12576" width="2.28515625" style="252" customWidth="1"/>
    <col min="12577" max="12577" width="13.5703125" style="252" customWidth="1"/>
    <col min="12578" max="12578" width="2.28515625" style="252" customWidth="1"/>
    <col min="12579" max="12579" width="13.5703125" style="252" customWidth="1"/>
    <col min="12580" max="12580" width="2.28515625" style="252" customWidth="1"/>
    <col min="12581" max="12582" width="13.5703125" style="252" customWidth="1"/>
    <col min="12583" max="12800" width="9.140625" style="252"/>
    <col min="12801" max="12801" width="3.5703125" style="252" customWidth="1"/>
    <col min="12802" max="12802" width="6.7109375" style="252" bestFit="1" customWidth="1"/>
    <col min="12803" max="12803" width="10.7109375" style="252" bestFit="1" customWidth="1"/>
    <col min="12804" max="12804" width="40.28515625" style="252" bestFit="1" customWidth="1"/>
    <col min="12805" max="12805" width="2.28515625" style="252" customWidth="1"/>
    <col min="12806" max="12806" width="9.5703125" style="252" customWidth="1"/>
    <col min="12807" max="12807" width="2.28515625" style="252" customWidth="1"/>
    <col min="12808" max="12808" width="13.5703125" style="252" customWidth="1"/>
    <col min="12809" max="12809" width="2.28515625" style="252" customWidth="1"/>
    <col min="12810" max="12810" width="13.5703125" style="252" customWidth="1"/>
    <col min="12811" max="12811" width="2.28515625" style="252" customWidth="1"/>
    <col min="12812" max="12812" width="13.5703125" style="252" customWidth="1"/>
    <col min="12813" max="12813" width="2.28515625" style="252" customWidth="1"/>
    <col min="12814" max="12814" width="13.5703125" style="252" customWidth="1"/>
    <col min="12815" max="12815" width="2.28515625" style="252" customWidth="1"/>
    <col min="12816" max="12816" width="13.5703125" style="252" customWidth="1"/>
    <col min="12817" max="12817" width="2.28515625" style="252" customWidth="1"/>
    <col min="12818" max="12818" width="13.5703125" style="252" customWidth="1"/>
    <col min="12819" max="12819" width="3.28515625" style="252" customWidth="1"/>
    <col min="12820" max="12820" width="3.5703125" style="252" customWidth="1"/>
    <col min="12821" max="12821" width="11.28515625" style="252" customWidth="1"/>
    <col min="12822" max="12822" width="11.7109375" style="252" bestFit="1" customWidth="1"/>
    <col min="12823" max="12823" width="40.28515625" style="252" bestFit="1" customWidth="1"/>
    <col min="12824" max="12824" width="2.28515625" style="252" customWidth="1"/>
    <col min="12825" max="12825" width="9.5703125" style="252" customWidth="1"/>
    <col min="12826" max="12826" width="2.28515625" style="252" customWidth="1"/>
    <col min="12827" max="12827" width="13.5703125" style="252" customWidth="1"/>
    <col min="12828" max="12828" width="2.28515625" style="252" customWidth="1"/>
    <col min="12829" max="12829" width="13.5703125" style="252" customWidth="1"/>
    <col min="12830" max="12830" width="2.28515625" style="252" customWidth="1"/>
    <col min="12831" max="12831" width="13.5703125" style="252" customWidth="1"/>
    <col min="12832" max="12832" width="2.28515625" style="252" customWidth="1"/>
    <col min="12833" max="12833" width="13.5703125" style="252" customWidth="1"/>
    <col min="12834" max="12834" width="2.28515625" style="252" customWidth="1"/>
    <col min="12835" max="12835" width="13.5703125" style="252" customWidth="1"/>
    <col min="12836" max="12836" width="2.28515625" style="252" customWidth="1"/>
    <col min="12837" max="12838" width="13.5703125" style="252" customWidth="1"/>
    <col min="12839" max="13056" width="9.140625" style="252"/>
    <col min="13057" max="13057" width="3.5703125" style="252" customWidth="1"/>
    <col min="13058" max="13058" width="6.7109375" style="252" bestFit="1" customWidth="1"/>
    <col min="13059" max="13059" width="10.7109375" style="252" bestFit="1" customWidth="1"/>
    <col min="13060" max="13060" width="40.28515625" style="252" bestFit="1" customWidth="1"/>
    <col min="13061" max="13061" width="2.28515625" style="252" customWidth="1"/>
    <col min="13062" max="13062" width="9.5703125" style="252" customWidth="1"/>
    <col min="13063" max="13063" width="2.28515625" style="252" customWidth="1"/>
    <col min="13064" max="13064" width="13.5703125" style="252" customWidth="1"/>
    <col min="13065" max="13065" width="2.28515625" style="252" customWidth="1"/>
    <col min="13066" max="13066" width="13.5703125" style="252" customWidth="1"/>
    <col min="13067" max="13067" width="2.28515625" style="252" customWidth="1"/>
    <col min="13068" max="13068" width="13.5703125" style="252" customWidth="1"/>
    <col min="13069" max="13069" width="2.28515625" style="252" customWidth="1"/>
    <col min="13070" max="13070" width="13.5703125" style="252" customWidth="1"/>
    <col min="13071" max="13071" width="2.28515625" style="252" customWidth="1"/>
    <col min="13072" max="13072" width="13.5703125" style="252" customWidth="1"/>
    <col min="13073" max="13073" width="2.28515625" style="252" customWidth="1"/>
    <col min="13074" max="13074" width="13.5703125" style="252" customWidth="1"/>
    <col min="13075" max="13075" width="3.28515625" style="252" customWidth="1"/>
    <col min="13076" max="13076" width="3.5703125" style="252" customWidth="1"/>
    <col min="13077" max="13077" width="11.28515625" style="252" customWidth="1"/>
    <col min="13078" max="13078" width="11.7109375" style="252" bestFit="1" customWidth="1"/>
    <col min="13079" max="13079" width="40.28515625" style="252" bestFit="1" customWidth="1"/>
    <col min="13080" max="13080" width="2.28515625" style="252" customWidth="1"/>
    <col min="13081" max="13081" width="9.5703125" style="252" customWidth="1"/>
    <col min="13082" max="13082" width="2.28515625" style="252" customWidth="1"/>
    <col min="13083" max="13083" width="13.5703125" style="252" customWidth="1"/>
    <col min="13084" max="13084" width="2.28515625" style="252" customWidth="1"/>
    <col min="13085" max="13085" width="13.5703125" style="252" customWidth="1"/>
    <col min="13086" max="13086" width="2.28515625" style="252" customWidth="1"/>
    <col min="13087" max="13087" width="13.5703125" style="252" customWidth="1"/>
    <col min="13088" max="13088" width="2.28515625" style="252" customWidth="1"/>
    <col min="13089" max="13089" width="13.5703125" style="252" customWidth="1"/>
    <col min="13090" max="13090" width="2.28515625" style="252" customWidth="1"/>
    <col min="13091" max="13091" width="13.5703125" style="252" customWidth="1"/>
    <col min="13092" max="13092" width="2.28515625" style="252" customWidth="1"/>
    <col min="13093" max="13094" width="13.5703125" style="252" customWidth="1"/>
    <col min="13095" max="13312" width="9.140625" style="252"/>
    <col min="13313" max="13313" width="3.5703125" style="252" customWidth="1"/>
    <col min="13314" max="13314" width="6.7109375" style="252" bestFit="1" customWidth="1"/>
    <col min="13315" max="13315" width="10.7109375" style="252" bestFit="1" customWidth="1"/>
    <col min="13316" max="13316" width="40.28515625" style="252" bestFit="1" customWidth="1"/>
    <col min="13317" max="13317" width="2.28515625" style="252" customWidth="1"/>
    <col min="13318" max="13318" width="9.5703125" style="252" customWidth="1"/>
    <col min="13319" max="13319" width="2.28515625" style="252" customWidth="1"/>
    <col min="13320" max="13320" width="13.5703125" style="252" customWidth="1"/>
    <col min="13321" max="13321" width="2.28515625" style="252" customWidth="1"/>
    <col min="13322" max="13322" width="13.5703125" style="252" customWidth="1"/>
    <col min="13323" max="13323" width="2.28515625" style="252" customWidth="1"/>
    <col min="13324" max="13324" width="13.5703125" style="252" customWidth="1"/>
    <col min="13325" max="13325" width="2.28515625" style="252" customWidth="1"/>
    <col min="13326" max="13326" width="13.5703125" style="252" customWidth="1"/>
    <col min="13327" max="13327" width="2.28515625" style="252" customWidth="1"/>
    <col min="13328" max="13328" width="13.5703125" style="252" customWidth="1"/>
    <col min="13329" max="13329" width="2.28515625" style="252" customWidth="1"/>
    <col min="13330" max="13330" width="13.5703125" style="252" customWidth="1"/>
    <col min="13331" max="13331" width="3.28515625" style="252" customWidth="1"/>
    <col min="13332" max="13332" width="3.5703125" style="252" customWidth="1"/>
    <col min="13333" max="13333" width="11.28515625" style="252" customWidth="1"/>
    <col min="13334" max="13334" width="11.7109375" style="252" bestFit="1" customWidth="1"/>
    <col min="13335" max="13335" width="40.28515625" style="252" bestFit="1" customWidth="1"/>
    <col min="13336" max="13336" width="2.28515625" style="252" customWidth="1"/>
    <col min="13337" max="13337" width="9.5703125" style="252" customWidth="1"/>
    <col min="13338" max="13338" width="2.28515625" style="252" customWidth="1"/>
    <col min="13339" max="13339" width="13.5703125" style="252" customWidth="1"/>
    <col min="13340" max="13340" width="2.28515625" style="252" customWidth="1"/>
    <col min="13341" max="13341" width="13.5703125" style="252" customWidth="1"/>
    <col min="13342" max="13342" width="2.28515625" style="252" customWidth="1"/>
    <col min="13343" max="13343" width="13.5703125" style="252" customWidth="1"/>
    <col min="13344" max="13344" width="2.28515625" style="252" customWidth="1"/>
    <col min="13345" max="13345" width="13.5703125" style="252" customWidth="1"/>
    <col min="13346" max="13346" width="2.28515625" style="252" customWidth="1"/>
    <col min="13347" max="13347" width="13.5703125" style="252" customWidth="1"/>
    <col min="13348" max="13348" width="2.28515625" style="252" customWidth="1"/>
    <col min="13349" max="13350" width="13.5703125" style="252" customWidth="1"/>
    <col min="13351" max="13568" width="9.140625" style="252"/>
    <col min="13569" max="13569" width="3.5703125" style="252" customWidth="1"/>
    <col min="13570" max="13570" width="6.7109375" style="252" bestFit="1" customWidth="1"/>
    <col min="13571" max="13571" width="10.7109375" style="252" bestFit="1" customWidth="1"/>
    <col min="13572" max="13572" width="40.28515625" style="252" bestFit="1" customWidth="1"/>
    <col min="13573" max="13573" width="2.28515625" style="252" customWidth="1"/>
    <col min="13574" max="13574" width="9.5703125" style="252" customWidth="1"/>
    <col min="13575" max="13575" width="2.28515625" style="252" customWidth="1"/>
    <col min="13576" max="13576" width="13.5703125" style="252" customWidth="1"/>
    <col min="13577" max="13577" width="2.28515625" style="252" customWidth="1"/>
    <col min="13578" max="13578" width="13.5703125" style="252" customWidth="1"/>
    <col min="13579" max="13579" width="2.28515625" style="252" customWidth="1"/>
    <col min="13580" max="13580" width="13.5703125" style="252" customWidth="1"/>
    <col min="13581" max="13581" width="2.28515625" style="252" customWidth="1"/>
    <col min="13582" max="13582" width="13.5703125" style="252" customWidth="1"/>
    <col min="13583" max="13583" width="2.28515625" style="252" customWidth="1"/>
    <col min="13584" max="13584" width="13.5703125" style="252" customWidth="1"/>
    <col min="13585" max="13585" width="2.28515625" style="252" customWidth="1"/>
    <col min="13586" max="13586" width="13.5703125" style="252" customWidth="1"/>
    <col min="13587" max="13587" width="3.28515625" style="252" customWidth="1"/>
    <col min="13588" max="13588" width="3.5703125" style="252" customWidth="1"/>
    <col min="13589" max="13589" width="11.28515625" style="252" customWidth="1"/>
    <col min="13590" max="13590" width="11.7109375" style="252" bestFit="1" customWidth="1"/>
    <col min="13591" max="13591" width="40.28515625" style="252" bestFit="1" customWidth="1"/>
    <col min="13592" max="13592" width="2.28515625" style="252" customWidth="1"/>
    <col min="13593" max="13593" width="9.5703125" style="252" customWidth="1"/>
    <col min="13594" max="13594" width="2.28515625" style="252" customWidth="1"/>
    <col min="13595" max="13595" width="13.5703125" style="252" customWidth="1"/>
    <col min="13596" max="13596" width="2.28515625" style="252" customWidth="1"/>
    <col min="13597" max="13597" width="13.5703125" style="252" customWidth="1"/>
    <col min="13598" max="13598" width="2.28515625" style="252" customWidth="1"/>
    <col min="13599" max="13599" width="13.5703125" style="252" customWidth="1"/>
    <col min="13600" max="13600" width="2.28515625" style="252" customWidth="1"/>
    <col min="13601" max="13601" width="13.5703125" style="252" customWidth="1"/>
    <col min="13602" max="13602" width="2.28515625" style="252" customWidth="1"/>
    <col min="13603" max="13603" width="13.5703125" style="252" customWidth="1"/>
    <col min="13604" max="13604" width="2.28515625" style="252" customWidth="1"/>
    <col min="13605" max="13606" width="13.5703125" style="252" customWidth="1"/>
    <col min="13607" max="13824" width="9.140625" style="252"/>
    <col min="13825" max="13825" width="3.5703125" style="252" customWidth="1"/>
    <col min="13826" max="13826" width="6.7109375" style="252" bestFit="1" customWidth="1"/>
    <col min="13827" max="13827" width="10.7109375" style="252" bestFit="1" customWidth="1"/>
    <col min="13828" max="13828" width="40.28515625" style="252" bestFit="1" customWidth="1"/>
    <col min="13829" max="13829" width="2.28515625" style="252" customWidth="1"/>
    <col min="13830" max="13830" width="9.5703125" style="252" customWidth="1"/>
    <col min="13831" max="13831" width="2.28515625" style="252" customWidth="1"/>
    <col min="13832" max="13832" width="13.5703125" style="252" customWidth="1"/>
    <col min="13833" max="13833" width="2.28515625" style="252" customWidth="1"/>
    <col min="13834" max="13834" width="13.5703125" style="252" customWidth="1"/>
    <col min="13835" max="13835" width="2.28515625" style="252" customWidth="1"/>
    <col min="13836" max="13836" width="13.5703125" style="252" customWidth="1"/>
    <col min="13837" max="13837" width="2.28515625" style="252" customWidth="1"/>
    <col min="13838" max="13838" width="13.5703125" style="252" customWidth="1"/>
    <col min="13839" max="13839" width="2.28515625" style="252" customWidth="1"/>
    <col min="13840" max="13840" width="13.5703125" style="252" customWidth="1"/>
    <col min="13841" max="13841" width="2.28515625" style="252" customWidth="1"/>
    <col min="13842" max="13842" width="13.5703125" style="252" customWidth="1"/>
    <col min="13843" max="13843" width="3.28515625" style="252" customWidth="1"/>
    <col min="13844" max="13844" width="3.5703125" style="252" customWidth="1"/>
    <col min="13845" max="13845" width="11.28515625" style="252" customWidth="1"/>
    <col min="13846" max="13846" width="11.7109375" style="252" bestFit="1" customWidth="1"/>
    <col min="13847" max="13847" width="40.28515625" style="252" bestFit="1" customWidth="1"/>
    <col min="13848" max="13848" width="2.28515625" style="252" customWidth="1"/>
    <col min="13849" max="13849" width="9.5703125" style="252" customWidth="1"/>
    <col min="13850" max="13850" width="2.28515625" style="252" customWidth="1"/>
    <col min="13851" max="13851" width="13.5703125" style="252" customWidth="1"/>
    <col min="13852" max="13852" width="2.28515625" style="252" customWidth="1"/>
    <col min="13853" max="13853" width="13.5703125" style="252" customWidth="1"/>
    <col min="13854" max="13854" width="2.28515625" style="252" customWidth="1"/>
    <col min="13855" max="13855" width="13.5703125" style="252" customWidth="1"/>
    <col min="13856" max="13856" width="2.28515625" style="252" customWidth="1"/>
    <col min="13857" max="13857" width="13.5703125" style="252" customWidth="1"/>
    <col min="13858" max="13858" width="2.28515625" style="252" customWidth="1"/>
    <col min="13859" max="13859" width="13.5703125" style="252" customWidth="1"/>
    <col min="13860" max="13860" width="2.28515625" style="252" customWidth="1"/>
    <col min="13861" max="13862" width="13.5703125" style="252" customWidth="1"/>
    <col min="13863" max="14080" width="9.140625" style="252"/>
    <col min="14081" max="14081" width="3.5703125" style="252" customWidth="1"/>
    <col min="14082" max="14082" width="6.7109375" style="252" bestFit="1" customWidth="1"/>
    <col min="14083" max="14083" width="10.7109375" style="252" bestFit="1" customWidth="1"/>
    <col min="14084" max="14084" width="40.28515625" style="252" bestFit="1" customWidth="1"/>
    <col min="14085" max="14085" width="2.28515625" style="252" customWidth="1"/>
    <col min="14086" max="14086" width="9.5703125" style="252" customWidth="1"/>
    <col min="14087" max="14087" width="2.28515625" style="252" customWidth="1"/>
    <col min="14088" max="14088" width="13.5703125" style="252" customWidth="1"/>
    <col min="14089" max="14089" width="2.28515625" style="252" customWidth="1"/>
    <col min="14090" max="14090" width="13.5703125" style="252" customWidth="1"/>
    <col min="14091" max="14091" width="2.28515625" style="252" customWidth="1"/>
    <col min="14092" max="14092" width="13.5703125" style="252" customWidth="1"/>
    <col min="14093" max="14093" width="2.28515625" style="252" customWidth="1"/>
    <col min="14094" max="14094" width="13.5703125" style="252" customWidth="1"/>
    <col min="14095" max="14095" width="2.28515625" style="252" customWidth="1"/>
    <col min="14096" max="14096" width="13.5703125" style="252" customWidth="1"/>
    <col min="14097" max="14097" width="2.28515625" style="252" customWidth="1"/>
    <col min="14098" max="14098" width="13.5703125" style="252" customWidth="1"/>
    <col min="14099" max="14099" width="3.28515625" style="252" customWidth="1"/>
    <col min="14100" max="14100" width="3.5703125" style="252" customWidth="1"/>
    <col min="14101" max="14101" width="11.28515625" style="252" customWidth="1"/>
    <col min="14102" max="14102" width="11.7109375" style="252" bestFit="1" customWidth="1"/>
    <col min="14103" max="14103" width="40.28515625" style="252" bestFit="1" customWidth="1"/>
    <col min="14104" max="14104" width="2.28515625" style="252" customWidth="1"/>
    <col min="14105" max="14105" width="9.5703125" style="252" customWidth="1"/>
    <col min="14106" max="14106" width="2.28515625" style="252" customWidth="1"/>
    <col min="14107" max="14107" width="13.5703125" style="252" customWidth="1"/>
    <col min="14108" max="14108" width="2.28515625" style="252" customWidth="1"/>
    <col min="14109" max="14109" width="13.5703125" style="252" customWidth="1"/>
    <col min="14110" max="14110" width="2.28515625" style="252" customWidth="1"/>
    <col min="14111" max="14111" width="13.5703125" style="252" customWidth="1"/>
    <col min="14112" max="14112" width="2.28515625" style="252" customWidth="1"/>
    <col min="14113" max="14113" width="13.5703125" style="252" customWidth="1"/>
    <col min="14114" max="14114" width="2.28515625" style="252" customWidth="1"/>
    <col min="14115" max="14115" width="13.5703125" style="252" customWidth="1"/>
    <col min="14116" max="14116" width="2.28515625" style="252" customWidth="1"/>
    <col min="14117" max="14118" width="13.5703125" style="252" customWidth="1"/>
    <col min="14119" max="14336" width="9.140625" style="252"/>
    <col min="14337" max="14337" width="3.5703125" style="252" customWidth="1"/>
    <col min="14338" max="14338" width="6.7109375" style="252" bestFit="1" customWidth="1"/>
    <col min="14339" max="14339" width="10.7109375" style="252" bestFit="1" customWidth="1"/>
    <col min="14340" max="14340" width="40.28515625" style="252" bestFit="1" customWidth="1"/>
    <col min="14341" max="14341" width="2.28515625" style="252" customWidth="1"/>
    <col min="14342" max="14342" width="9.5703125" style="252" customWidth="1"/>
    <col min="14343" max="14343" width="2.28515625" style="252" customWidth="1"/>
    <col min="14344" max="14344" width="13.5703125" style="252" customWidth="1"/>
    <col min="14345" max="14345" width="2.28515625" style="252" customWidth="1"/>
    <col min="14346" max="14346" width="13.5703125" style="252" customWidth="1"/>
    <col min="14347" max="14347" width="2.28515625" style="252" customWidth="1"/>
    <col min="14348" max="14348" width="13.5703125" style="252" customWidth="1"/>
    <col min="14349" max="14349" width="2.28515625" style="252" customWidth="1"/>
    <col min="14350" max="14350" width="13.5703125" style="252" customWidth="1"/>
    <col min="14351" max="14351" width="2.28515625" style="252" customWidth="1"/>
    <col min="14352" max="14352" width="13.5703125" style="252" customWidth="1"/>
    <col min="14353" max="14353" width="2.28515625" style="252" customWidth="1"/>
    <col min="14354" max="14354" width="13.5703125" style="252" customWidth="1"/>
    <col min="14355" max="14355" width="3.28515625" style="252" customWidth="1"/>
    <col min="14356" max="14356" width="3.5703125" style="252" customWidth="1"/>
    <col min="14357" max="14357" width="11.28515625" style="252" customWidth="1"/>
    <col min="14358" max="14358" width="11.7109375" style="252" bestFit="1" customWidth="1"/>
    <col min="14359" max="14359" width="40.28515625" style="252" bestFit="1" customWidth="1"/>
    <col min="14360" max="14360" width="2.28515625" style="252" customWidth="1"/>
    <col min="14361" max="14361" width="9.5703125" style="252" customWidth="1"/>
    <col min="14362" max="14362" width="2.28515625" style="252" customWidth="1"/>
    <col min="14363" max="14363" width="13.5703125" style="252" customWidth="1"/>
    <col min="14364" max="14364" width="2.28515625" style="252" customWidth="1"/>
    <col min="14365" max="14365" width="13.5703125" style="252" customWidth="1"/>
    <col min="14366" max="14366" width="2.28515625" style="252" customWidth="1"/>
    <col min="14367" max="14367" width="13.5703125" style="252" customWidth="1"/>
    <col min="14368" max="14368" width="2.28515625" style="252" customWidth="1"/>
    <col min="14369" max="14369" width="13.5703125" style="252" customWidth="1"/>
    <col min="14370" max="14370" width="2.28515625" style="252" customWidth="1"/>
    <col min="14371" max="14371" width="13.5703125" style="252" customWidth="1"/>
    <col min="14372" max="14372" width="2.28515625" style="252" customWidth="1"/>
    <col min="14373" max="14374" width="13.5703125" style="252" customWidth="1"/>
    <col min="14375" max="14592" width="9.140625" style="252"/>
    <col min="14593" max="14593" width="3.5703125" style="252" customWidth="1"/>
    <col min="14594" max="14594" width="6.7109375" style="252" bestFit="1" customWidth="1"/>
    <col min="14595" max="14595" width="10.7109375" style="252" bestFit="1" customWidth="1"/>
    <col min="14596" max="14596" width="40.28515625" style="252" bestFit="1" customWidth="1"/>
    <col min="14597" max="14597" width="2.28515625" style="252" customWidth="1"/>
    <col min="14598" max="14598" width="9.5703125" style="252" customWidth="1"/>
    <col min="14599" max="14599" width="2.28515625" style="252" customWidth="1"/>
    <col min="14600" max="14600" width="13.5703125" style="252" customWidth="1"/>
    <col min="14601" max="14601" width="2.28515625" style="252" customWidth="1"/>
    <col min="14602" max="14602" width="13.5703125" style="252" customWidth="1"/>
    <col min="14603" max="14603" width="2.28515625" style="252" customWidth="1"/>
    <col min="14604" max="14604" width="13.5703125" style="252" customWidth="1"/>
    <col min="14605" max="14605" width="2.28515625" style="252" customWidth="1"/>
    <col min="14606" max="14606" width="13.5703125" style="252" customWidth="1"/>
    <col min="14607" max="14607" width="2.28515625" style="252" customWidth="1"/>
    <col min="14608" max="14608" width="13.5703125" style="252" customWidth="1"/>
    <col min="14609" max="14609" width="2.28515625" style="252" customWidth="1"/>
    <col min="14610" max="14610" width="13.5703125" style="252" customWidth="1"/>
    <col min="14611" max="14611" width="3.28515625" style="252" customWidth="1"/>
    <col min="14612" max="14612" width="3.5703125" style="252" customWidth="1"/>
    <col min="14613" max="14613" width="11.28515625" style="252" customWidth="1"/>
    <col min="14614" max="14614" width="11.7109375" style="252" bestFit="1" customWidth="1"/>
    <col min="14615" max="14615" width="40.28515625" style="252" bestFit="1" customWidth="1"/>
    <col min="14616" max="14616" width="2.28515625" style="252" customWidth="1"/>
    <col min="14617" max="14617" width="9.5703125" style="252" customWidth="1"/>
    <col min="14618" max="14618" width="2.28515625" style="252" customWidth="1"/>
    <col min="14619" max="14619" width="13.5703125" style="252" customWidth="1"/>
    <col min="14620" max="14620" width="2.28515625" style="252" customWidth="1"/>
    <col min="14621" max="14621" width="13.5703125" style="252" customWidth="1"/>
    <col min="14622" max="14622" width="2.28515625" style="252" customWidth="1"/>
    <col min="14623" max="14623" width="13.5703125" style="252" customWidth="1"/>
    <col min="14624" max="14624" width="2.28515625" style="252" customWidth="1"/>
    <col min="14625" max="14625" width="13.5703125" style="252" customWidth="1"/>
    <col min="14626" max="14626" width="2.28515625" style="252" customWidth="1"/>
    <col min="14627" max="14627" width="13.5703125" style="252" customWidth="1"/>
    <col min="14628" max="14628" width="2.28515625" style="252" customWidth="1"/>
    <col min="14629" max="14630" width="13.5703125" style="252" customWidth="1"/>
    <col min="14631" max="14848" width="9.140625" style="252"/>
    <col min="14849" max="14849" width="3.5703125" style="252" customWidth="1"/>
    <col min="14850" max="14850" width="6.7109375" style="252" bestFit="1" customWidth="1"/>
    <col min="14851" max="14851" width="10.7109375" style="252" bestFit="1" customWidth="1"/>
    <col min="14852" max="14852" width="40.28515625" style="252" bestFit="1" customWidth="1"/>
    <col min="14853" max="14853" width="2.28515625" style="252" customWidth="1"/>
    <col min="14854" max="14854" width="9.5703125" style="252" customWidth="1"/>
    <col min="14855" max="14855" width="2.28515625" style="252" customWidth="1"/>
    <col min="14856" max="14856" width="13.5703125" style="252" customWidth="1"/>
    <col min="14857" max="14857" width="2.28515625" style="252" customWidth="1"/>
    <col min="14858" max="14858" width="13.5703125" style="252" customWidth="1"/>
    <col min="14859" max="14859" width="2.28515625" style="252" customWidth="1"/>
    <col min="14860" max="14860" width="13.5703125" style="252" customWidth="1"/>
    <col min="14861" max="14861" width="2.28515625" style="252" customWidth="1"/>
    <col min="14862" max="14862" width="13.5703125" style="252" customWidth="1"/>
    <col min="14863" max="14863" width="2.28515625" style="252" customWidth="1"/>
    <col min="14864" max="14864" width="13.5703125" style="252" customWidth="1"/>
    <col min="14865" max="14865" width="2.28515625" style="252" customWidth="1"/>
    <col min="14866" max="14866" width="13.5703125" style="252" customWidth="1"/>
    <col min="14867" max="14867" width="3.28515625" style="252" customWidth="1"/>
    <col min="14868" max="14868" width="3.5703125" style="252" customWidth="1"/>
    <col min="14869" max="14869" width="11.28515625" style="252" customWidth="1"/>
    <col min="14870" max="14870" width="11.7109375" style="252" bestFit="1" customWidth="1"/>
    <col min="14871" max="14871" width="40.28515625" style="252" bestFit="1" customWidth="1"/>
    <col min="14872" max="14872" width="2.28515625" style="252" customWidth="1"/>
    <col min="14873" max="14873" width="9.5703125" style="252" customWidth="1"/>
    <col min="14874" max="14874" width="2.28515625" style="252" customWidth="1"/>
    <col min="14875" max="14875" width="13.5703125" style="252" customWidth="1"/>
    <col min="14876" max="14876" width="2.28515625" style="252" customWidth="1"/>
    <col min="14877" max="14877" width="13.5703125" style="252" customWidth="1"/>
    <col min="14878" max="14878" width="2.28515625" style="252" customWidth="1"/>
    <col min="14879" max="14879" width="13.5703125" style="252" customWidth="1"/>
    <col min="14880" max="14880" width="2.28515625" style="252" customWidth="1"/>
    <col min="14881" max="14881" width="13.5703125" style="252" customWidth="1"/>
    <col min="14882" max="14882" width="2.28515625" style="252" customWidth="1"/>
    <col min="14883" max="14883" width="13.5703125" style="252" customWidth="1"/>
    <col min="14884" max="14884" width="2.28515625" style="252" customWidth="1"/>
    <col min="14885" max="14886" width="13.5703125" style="252" customWidth="1"/>
    <col min="14887" max="15104" width="9.140625" style="252"/>
    <col min="15105" max="15105" width="3.5703125" style="252" customWidth="1"/>
    <col min="15106" max="15106" width="6.7109375" style="252" bestFit="1" customWidth="1"/>
    <col min="15107" max="15107" width="10.7109375" style="252" bestFit="1" customWidth="1"/>
    <col min="15108" max="15108" width="40.28515625" style="252" bestFit="1" customWidth="1"/>
    <col min="15109" max="15109" width="2.28515625" style="252" customWidth="1"/>
    <col min="15110" max="15110" width="9.5703125" style="252" customWidth="1"/>
    <col min="15111" max="15111" width="2.28515625" style="252" customWidth="1"/>
    <col min="15112" max="15112" width="13.5703125" style="252" customWidth="1"/>
    <col min="15113" max="15113" width="2.28515625" style="252" customWidth="1"/>
    <col min="15114" max="15114" width="13.5703125" style="252" customWidth="1"/>
    <col min="15115" max="15115" width="2.28515625" style="252" customWidth="1"/>
    <col min="15116" max="15116" width="13.5703125" style="252" customWidth="1"/>
    <col min="15117" max="15117" width="2.28515625" style="252" customWidth="1"/>
    <col min="15118" max="15118" width="13.5703125" style="252" customWidth="1"/>
    <col min="15119" max="15119" width="2.28515625" style="252" customWidth="1"/>
    <col min="15120" max="15120" width="13.5703125" style="252" customWidth="1"/>
    <col min="15121" max="15121" width="2.28515625" style="252" customWidth="1"/>
    <col min="15122" max="15122" width="13.5703125" style="252" customWidth="1"/>
    <col min="15123" max="15123" width="3.28515625" style="252" customWidth="1"/>
    <col min="15124" max="15124" width="3.5703125" style="252" customWidth="1"/>
    <col min="15125" max="15125" width="11.28515625" style="252" customWidth="1"/>
    <col min="15126" max="15126" width="11.7109375" style="252" bestFit="1" customWidth="1"/>
    <col min="15127" max="15127" width="40.28515625" style="252" bestFit="1" customWidth="1"/>
    <col min="15128" max="15128" width="2.28515625" style="252" customWidth="1"/>
    <col min="15129" max="15129" width="9.5703125" style="252" customWidth="1"/>
    <col min="15130" max="15130" width="2.28515625" style="252" customWidth="1"/>
    <col min="15131" max="15131" width="13.5703125" style="252" customWidth="1"/>
    <col min="15132" max="15132" width="2.28515625" style="252" customWidth="1"/>
    <col min="15133" max="15133" width="13.5703125" style="252" customWidth="1"/>
    <col min="15134" max="15134" width="2.28515625" style="252" customWidth="1"/>
    <col min="15135" max="15135" width="13.5703125" style="252" customWidth="1"/>
    <col min="15136" max="15136" width="2.28515625" style="252" customWidth="1"/>
    <col min="15137" max="15137" width="13.5703125" style="252" customWidth="1"/>
    <col min="15138" max="15138" width="2.28515625" style="252" customWidth="1"/>
    <col min="15139" max="15139" width="13.5703125" style="252" customWidth="1"/>
    <col min="15140" max="15140" width="2.28515625" style="252" customWidth="1"/>
    <col min="15141" max="15142" width="13.5703125" style="252" customWidth="1"/>
    <col min="15143" max="15360" width="9.140625" style="252"/>
    <col min="15361" max="15361" width="3.5703125" style="252" customWidth="1"/>
    <col min="15362" max="15362" width="6.7109375" style="252" bestFit="1" customWidth="1"/>
    <col min="15363" max="15363" width="10.7109375" style="252" bestFit="1" customWidth="1"/>
    <col min="15364" max="15364" width="40.28515625" style="252" bestFit="1" customWidth="1"/>
    <col min="15365" max="15365" width="2.28515625" style="252" customWidth="1"/>
    <col min="15366" max="15366" width="9.5703125" style="252" customWidth="1"/>
    <col min="15367" max="15367" width="2.28515625" style="252" customWidth="1"/>
    <col min="15368" max="15368" width="13.5703125" style="252" customWidth="1"/>
    <col min="15369" max="15369" width="2.28515625" style="252" customWidth="1"/>
    <col min="15370" max="15370" width="13.5703125" style="252" customWidth="1"/>
    <col min="15371" max="15371" width="2.28515625" style="252" customWidth="1"/>
    <col min="15372" max="15372" width="13.5703125" style="252" customWidth="1"/>
    <col min="15373" max="15373" width="2.28515625" style="252" customWidth="1"/>
    <col min="15374" max="15374" width="13.5703125" style="252" customWidth="1"/>
    <col min="15375" max="15375" width="2.28515625" style="252" customWidth="1"/>
    <col min="15376" max="15376" width="13.5703125" style="252" customWidth="1"/>
    <col min="15377" max="15377" width="2.28515625" style="252" customWidth="1"/>
    <col min="15378" max="15378" width="13.5703125" style="252" customWidth="1"/>
    <col min="15379" max="15379" width="3.28515625" style="252" customWidth="1"/>
    <col min="15380" max="15380" width="3.5703125" style="252" customWidth="1"/>
    <col min="15381" max="15381" width="11.28515625" style="252" customWidth="1"/>
    <col min="15382" max="15382" width="11.7109375" style="252" bestFit="1" customWidth="1"/>
    <col min="15383" max="15383" width="40.28515625" style="252" bestFit="1" customWidth="1"/>
    <col min="15384" max="15384" width="2.28515625" style="252" customWidth="1"/>
    <col min="15385" max="15385" width="9.5703125" style="252" customWidth="1"/>
    <col min="15386" max="15386" width="2.28515625" style="252" customWidth="1"/>
    <col min="15387" max="15387" width="13.5703125" style="252" customWidth="1"/>
    <col min="15388" max="15388" width="2.28515625" style="252" customWidth="1"/>
    <col min="15389" max="15389" width="13.5703125" style="252" customWidth="1"/>
    <col min="15390" max="15390" width="2.28515625" style="252" customWidth="1"/>
    <col min="15391" max="15391" width="13.5703125" style="252" customWidth="1"/>
    <col min="15392" max="15392" width="2.28515625" style="252" customWidth="1"/>
    <col min="15393" max="15393" width="13.5703125" style="252" customWidth="1"/>
    <col min="15394" max="15394" width="2.28515625" style="252" customWidth="1"/>
    <col min="15395" max="15395" width="13.5703125" style="252" customWidth="1"/>
    <col min="15396" max="15396" width="2.28515625" style="252" customWidth="1"/>
    <col min="15397" max="15398" width="13.5703125" style="252" customWidth="1"/>
    <col min="15399" max="15616" width="9.140625" style="252"/>
    <col min="15617" max="15617" width="3.5703125" style="252" customWidth="1"/>
    <col min="15618" max="15618" width="6.7109375" style="252" bestFit="1" customWidth="1"/>
    <col min="15619" max="15619" width="10.7109375" style="252" bestFit="1" customWidth="1"/>
    <col min="15620" max="15620" width="40.28515625" style="252" bestFit="1" customWidth="1"/>
    <col min="15621" max="15621" width="2.28515625" style="252" customWidth="1"/>
    <col min="15622" max="15622" width="9.5703125" style="252" customWidth="1"/>
    <col min="15623" max="15623" width="2.28515625" style="252" customWidth="1"/>
    <col min="15624" max="15624" width="13.5703125" style="252" customWidth="1"/>
    <col min="15625" max="15625" width="2.28515625" style="252" customWidth="1"/>
    <col min="15626" max="15626" width="13.5703125" style="252" customWidth="1"/>
    <col min="15627" max="15627" width="2.28515625" style="252" customWidth="1"/>
    <col min="15628" max="15628" width="13.5703125" style="252" customWidth="1"/>
    <col min="15629" max="15629" width="2.28515625" style="252" customWidth="1"/>
    <col min="15630" max="15630" width="13.5703125" style="252" customWidth="1"/>
    <col min="15631" max="15631" width="2.28515625" style="252" customWidth="1"/>
    <col min="15632" max="15632" width="13.5703125" style="252" customWidth="1"/>
    <col min="15633" max="15633" width="2.28515625" style="252" customWidth="1"/>
    <col min="15634" max="15634" width="13.5703125" style="252" customWidth="1"/>
    <col min="15635" max="15635" width="3.28515625" style="252" customWidth="1"/>
    <col min="15636" max="15636" width="3.5703125" style="252" customWidth="1"/>
    <col min="15637" max="15637" width="11.28515625" style="252" customWidth="1"/>
    <col min="15638" max="15638" width="11.7109375" style="252" bestFit="1" customWidth="1"/>
    <col min="15639" max="15639" width="40.28515625" style="252" bestFit="1" customWidth="1"/>
    <col min="15640" max="15640" width="2.28515625" style="252" customWidth="1"/>
    <col min="15641" max="15641" width="9.5703125" style="252" customWidth="1"/>
    <col min="15642" max="15642" width="2.28515625" style="252" customWidth="1"/>
    <col min="15643" max="15643" width="13.5703125" style="252" customWidth="1"/>
    <col min="15644" max="15644" width="2.28515625" style="252" customWidth="1"/>
    <col min="15645" max="15645" width="13.5703125" style="252" customWidth="1"/>
    <col min="15646" max="15646" width="2.28515625" style="252" customWidth="1"/>
    <col min="15647" max="15647" width="13.5703125" style="252" customWidth="1"/>
    <col min="15648" max="15648" width="2.28515625" style="252" customWidth="1"/>
    <col min="15649" max="15649" width="13.5703125" style="252" customWidth="1"/>
    <col min="15650" max="15650" width="2.28515625" style="252" customWidth="1"/>
    <col min="15651" max="15651" width="13.5703125" style="252" customWidth="1"/>
    <col min="15652" max="15652" width="2.28515625" style="252" customWidth="1"/>
    <col min="15653" max="15654" width="13.5703125" style="252" customWidth="1"/>
    <col min="15655" max="15872" width="9.140625" style="252"/>
    <col min="15873" max="15873" width="3.5703125" style="252" customWidth="1"/>
    <col min="15874" max="15874" width="6.7109375" style="252" bestFit="1" customWidth="1"/>
    <col min="15875" max="15875" width="10.7109375" style="252" bestFit="1" customWidth="1"/>
    <col min="15876" max="15876" width="40.28515625" style="252" bestFit="1" customWidth="1"/>
    <col min="15877" max="15877" width="2.28515625" style="252" customWidth="1"/>
    <col min="15878" max="15878" width="9.5703125" style="252" customWidth="1"/>
    <col min="15879" max="15879" width="2.28515625" style="252" customWidth="1"/>
    <col min="15880" max="15880" width="13.5703125" style="252" customWidth="1"/>
    <col min="15881" max="15881" width="2.28515625" style="252" customWidth="1"/>
    <col min="15882" max="15882" width="13.5703125" style="252" customWidth="1"/>
    <col min="15883" max="15883" width="2.28515625" style="252" customWidth="1"/>
    <col min="15884" max="15884" width="13.5703125" style="252" customWidth="1"/>
    <col min="15885" max="15885" width="2.28515625" style="252" customWidth="1"/>
    <col min="15886" max="15886" width="13.5703125" style="252" customWidth="1"/>
    <col min="15887" max="15887" width="2.28515625" style="252" customWidth="1"/>
    <col min="15888" max="15888" width="13.5703125" style="252" customWidth="1"/>
    <col min="15889" max="15889" width="2.28515625" style="252" customWidth="1"/>
    <col min="15890" max="15890" width="13.5703125" style="252" customWidth="1"/>
    <col min="15891" max="15891" width="3.28515625" style="252" customWidth="1"/>
    <col min="15892" max="15892" width="3.5703125" style="252" customWidth="1"/>
    <col min="15893" max="15893" width="11.28515625" style="252" customWidth="1"/>
    <col min="15894" max="15894" width="11.7109375" style="252" bestFit="1" customWidth="1"/>
    <col min="15895" max="15895" width="40.28515625" style="252" bestFit="1" customWidth="1"/>
    <col min="15896" max="15896" width="2.28515625" style="252" customWidth="1"/>
    <col min="15897" max="15897" width="9.5703125" style="252" customWidth="1"/>
    <col min="15898" max="15898" width="2.28515625" style="252" customWidth="1"/>
    <col min="15899" max="15899" width="13.5703125" style="252" customWidth="1"/>
    <col min="15900" max="15900" width="2.28515625" style="252" customWidth="1"/>
    <col min="15901" max="15901" width="13.5703125" style="252" customWidth="1"/>
    <col min="15902" max="15902" width="2.28515625" style="252" customWidth="1"/>
    <col min="15903" max="15903" width="13.5703125" style="252" customWidth="1"/>
    <col min="15904" max="15904" width="2.28515625" style="252" customWidth="1"/>
    <col min="15905" max="15905" width="13.5703125" style="252" customWidth="1"/>
    <col min="15906" max="15906" width="2.28515625" style="252" customWidth="1"/>
    <col min="15907" max="15907" width="13.5703125" style="252" customWidth="1"/>
    <col min="15908" max="15908" width="2.28515625" style="252" customWidth="1"/>
    <col min="15909" max="15910" width="13.5703125" style="252" customWidth="1"/>
    <col min="15911" max="16128" width="9.140625" style="252"/>
    <col min="16129" max="16129" width="3.5703125" style="252" customWidth="1"/>
    <col min="16130" max="16130" width="6.7109375" style="252" bestFit="1" customWidth="1"/>
    <col min="16131" max="16131" width="10.7109375" style="252" bestFit="1" customWidth="1"/>
    <col min="16132" max="16132" width="40.28515625" style="252" bestFit="1" customWidth="1"/>
    <col min="16133" max="16133" width="2.28515625" style="252" customWidth="1"/>
    <col min="16134" max="16134" width="9.5703125" style="252" customWidth="1"/>
    <col min="16135" max="16135" width="2.28515625" style="252" customWidth="1"/>
    <col min="16136" max="16136" width="13.5703125" style="252" customWidth="1"/>
    <col min="16137" max="16137" width="2.28515625" style="252" customWidth="1"/>
    <col min="16138" max="16138" width="13.5703125" style="252" customWidth="1"/>
    <col min="16139" max="16139" width="2.28515625" style="252" customWidth="1"/>
    <col min="16140" max="16140" width="13.5703125" style="252" customWidth="1"/>
    <col min="16141" max="16141" width="2.28515625" style="252" customWidth="1"/>
    <col min="16142" max="16142" width="13.5703125" style="252" customWidth="1"/>
    <col min="16143" max="16143" width="2.28515625" style="252" customWidth="1"/>
    <col min="16144" max="16144" width="13.5703125" style="252" customWidth="1"/>
    <col min="16145" max="16145" width="2.28515625" style="252" customWidth="1"/>
    <col min="16146" max="16146" width="13.5703125" style="252" customWidth="1"/>
    <col min="16147" max="16147" width="3.28515625" style="252" customWidth="1"/>
    <col min="16148" max="16148" width="3.5703125" style="252" customWidth="1"/>
    <col min="16149" max="16149" width="11.28515625" style="252" customWidth="1"/>
    <col min="16150" max="16150" width="11.7109375" style="252" bestFit="1" customWidth="1"/>
    <col min="16151" max="16151" width="40.28515625" style="252" bestFit="1" customWidth="1"/>
    <col min="16152" max="16152" width="2.28515625" style="252" customWidth="1"/>
    <col min="16153" max="16153" width="9.5703125" style="252" customWidth="1"/>
    <col min="16154" max="16154" width="2.28515625" style="252" customWidth="1"/>
    <col min="16155" max="16155" width="13.5703125" style="252" customWidth="1"/>
    <col min="16156" max="16156" width="2.28515625" style="252" customWidth="1"/>
    <col min="16157" max="16157" width="13.5703125" style="252" customWidth="1"/>
    <col min="16158" max="16158" width="2.28515625" style="252" customWidth="1"/>
    <col min="16159" max="16159" width="13.5703125" style="252" customWidth="1"/>
    <col min="16160" max="16160" width="2.28515625" style="252" customWidth="1"/>
    <col min="16161" max="16161" width="13.5703125" style="252" customWidth="1"/>
    <col min="16162" max="16162" width="2.28515625" style="252" customWidth="1"/>
    <col min="16163" max="16163" width="13.5703125" style="252" customWidth="1"/>
    <col min="16164" max="16164" width="2.28515625" style="252" customWidth="1"/>
    <col min="16165" max="16166" width="13.5703125" style="252" customWidth="1"/>
    <col min="16167" max="16384" width="9.140625" style="252"/>
  </cols>
  <sheetData>
    <row r="1" spans="1:37" s="83" customFormat="1" ht="14.1" customHeight="1" thickBot="1" x14ac:dyDescent="0.25">
      <c r="A1" s="82" t="s">
        <v>127</v>
      </c>
      <c r="B1" s="79"/>
      <c r="C1" s="79"/>
      <c r="D1" s="79"/>
      <c r="E1" s="79"/>
      <c r="F1" s="79"/>
      <c r="G1" s="79" t="s">
        <v>128</v>
      </c>
      <c r="H1" s="79"/>
      <c r="I1" s="79"/>
      <c r="J1" s="79"/>
      <c r="K1" s="79"/>
      <c r="L1" s="79"/>
      <c r="M1" s="79"/>
      <c r="N1" s="79"/>
      <c r="O1" s="79"/>
      <c r="P1" s="256">
        <v>10</v>
      </c>
      <c r="Q1" s="79"/>
      <c r="R1" s="79" t="s">
        <v>323</v>
      </c>
      <c r="T1" s="82" t="s">
        <v>127</v>
      </c>
      <c r="U1" s="79"/>
      <c r="V1" s="79"/>
      <c r="W1" s="79"/>
      <c r="X1" s="79"/>
      <c r="Y1" s="79"/>
      <c r="Z1" s="79" t="s">
        <v>128</v>
      </c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 t="s">
        <v>324</v>
      </c>
    </row>
    <row r="2" spans="1:37" ht="14.1" customHeight="1" x14ac:dyDescent="0.2">
      <c r="A2" s="252" t="s">
        <v>129</v>
      </c>
      <c r="E2" s="260" t="s">
        <v>130</v>
      </c>
      <c r="F2" s="279" t="s">
        <v>131</v>
      </c>
      <c r="J2" s="286"/>
      <c r="K2" s="286"/>
      <c r="M2" s="286"/>
      <c r="N2" s="286"/>
      <c r="O2" s="286"/>
      <c r="P2" s="286" t="s">
        <v>132</v>
      </c>
      <c r="R2" s="261"/>
      <c r="S2" s="261"/>
      <c r="T2" s="252" t="s">
        <v>129</v>
      </c>
      <c r="X2" s="260" t="s">
        <v>130</v>
      </c>
      <c r="Y2" s="252" t="s">
        <v>131</v>
      </c>
      <c r="AC2" s="286"/>
      <c r="AD2" s="286"/>
      <c r="AF2" s="286"/>
      <c r="AG2" s="286"/>
      <c r="AH2" s="286"/>
      <c r="AI2" s="286" t="s">
        <v>132</v>
      </c>
      <c r="AK2" s="261"/>
    </row>
    <row r="3" spans="1:37" ht="14.1" customHeight="1" x14ac:dyDescent="0.2">
      <c r="F3" s="252" t="s">
        <v>133</v>
      </c>
      <c r="J3" s="260"/>
      <c r="K3" s="261"/>
      <c r="N3" s="260"/>
      <c r="O3" s="80"/>
      <c r="P3" s="259" t="s">
        <v>1361</v>
      </c>
      <c r="R3" s="260"/>
      <c r="S3" s="261"/>
      <c r="Y3" s="252" t="s">
        <v>133</v>
      </c>
      <c r="AC3" s="260"/>
      <c r="AD3" s="261"/>
      <c r="AG3" s="260"/>
      <c r="AH3" s="260"/>
      <c r="AI3" s="261" t="s">
        <v>1361</v>
      </c>
      <c r="AK3" s="260"/>
    </row>
    <row r="4" spans="1:37" ht="14.1" customHeight="1" x14ac:dyDescent="0.2">
      <c r="A4" s="252" t="s">
        <v>134</v>
      </c>
      <c r="J4" s="260"/>
      <c r="K4" s="261"/>
      <c r="L4" s="260"/>
      <c r="O4" s="80"/>
      <c r="P4" s="259"/>
      <c r="R4" s="260"/>
      <c r="S4" s="261"/>
      <c r="T4" s="252" t="s">
        <v>134</v>
      </c>
      <c r="AC4" s="260"/>
      <c r="AD4" s="261"/>
      <c r="AE4" s="260"/>
      <c r="AH4" s="260"/>
      <c r="AI4" s="261">
        <v>0</v>
      </c>
      <c r="AK4" s="260"/>
    </row>
    <row r="5" spans="1:37" ht="14.1" customHeight="1" x14ac:dyDescent="0.2">
      <c r="J5" s="260"/>
      <c r="K5" s="261"/>
      <c r="L5" s="260"/>
      <c r="O5" s="80"/>
      <c r="P5" s="259"/>
      <c r="R5" s="260"/>
      <c r="S5" s="261"/>
      <c r="AC5" s="260"/>
      <c r="AD5" s="261"/>
      <c r="AE5" s="260"/>
      <c r="AH5" s="260"/>
      <c r="AI5" s="261"/>
      <c r="AK5" s="260"/>
    </row>
    <row r="6" spans="1:37" ht="14.1" customHeight="1" thickBot="1" x14ac:dyDescent="0.25">
      <c r="A6" s="263" t="s">
        <v>135</v>
      </c>
      <c r="B6" s="264"/>
      <c r="C6" s="264"/>
      <c r="D6" s="264"/>
      <c r="E6" s="264"/>
      <c r="F6" s="264"/>
      <c r="G6" s="264"/>
      <c r="H6" s="266"/>
      <c r="I6" s="264"/>
      <c r="J6" s="264"/>
      <c r="K6" s="264"/>
      <c r="L6" s="264"/>
      <c r="M6" s="264"/>
      <c r="N6" s="264"/>
      <c r="O6" s="81"/>
      <c r="P6" s="263"/>
      <c r="Q6" s="264"/>
      <c r="R6" s="264"/>
      <c r="T6" s="288" t="s">
        <v>135</v>
      </c>
      <c r="U6" s="264"/>
      <c r="V6" s="264"/>
      <c r="W6" s="264"/>
      <c r="X6" s="264"/>
      <c r="Y6" s="264"/>
      <c r="Z6" s="264"/>
      <c r="AA6" s="266"/>
      <c r="AB6" s="264"/>
      <c r="AC6" s="264"/>
      <c r="AD6" s="264"/>
      <c r="AE6" s="264"/>
      <c r="AF6" s="264"/>
      <c r="AG6" s="264"/>
      <c r="AH6" s="264"/>
      <c r="AI6" s="265"/>
      <c r="AJ6" s="264"/>
      <c r="AK6" s="264"/>
    </row>
    <row r="7" spans="1:37" ht="14.1" customHeight="1" x14ac:dyDescent="0.2"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</row>
    <row r="8" spans="1:37" ht="14.1" customHeight="1" x14ac:dyDescent="0.2">
      <c r="C8" s="267" t="s">
        <v>136</v>
      </c>
      <c r="D8" s="267" t="s">
        <v>137</v>
      </c>
      <c r="E8" s="267"/>
      <c r="F8" s="267" t="s">
        <v>138</v>
      </c>
      <c r="G8" s="267"/>
      <c r="H8" s="267" t="s">
        <v>139</v>
      </c>
      <c r="I8" s="267"/>
      <c r="J8" s="269" t="s">
        <v>140</v>
      </c>
      <c r="K8" s="269"/>
      <c r="L8" s="267" t="s">
        <v>141</v>
      </c>
      <c r="M8" s="267"/>
      <c r="N8" s="267" t="s">
        <v>142</v>
      </c>
      <c r="O8" s="267"/>
      <c r="P8" s="267" t="s">
        <v>143</v>
      </c>
      <c r="Q8" s="267"/>
      <c r="R8" s="267" t="s">
        <v>144</v>
      </c>
      <c r="V8" s="267" t="s">
        <v>136</v>
      </c>
      <c r="W8" s="267" t="s">
        <v>137</v>
      </c>
      <c r="X8" s="267"/>
      <c r="Y8" s="267" t="s">
        <v>138</v>
      </c>
      <c r="Z8" s="267"/>
      <c r="AA8" s="267" t="s">
        <v>139</v>
      </c>
      <c r="AB8" s="267"/>
      <c r="AC8" s="269" t="s">
        <v>140</v>
      </c>
      <c r="AD8" s="269"/>
      <c r="AE8" s="267" t="s">
        <v>141</v>
      </c>
      <c r="AF8" s="267"/>
      <c r="AG8" s="267" t="s">
        <v>142</v>
      </c>
      <c r="AH8" s="267"/>
      <c r="AI8" s="267" t="s">
        <v>143</v>
      </c>
      <c r="AJ8" s="267"/>
      <c r="AK8" s="267" t="s">
        <v>144</v>
      </c>
    </row>
    <row r="9" spans="1:37" ht="14.1" customHeight="1" x14ac:dyDescent="0.2">
      <c r="C9" s="269" t="s">
        <v>145</v>
      </c>
      <c r="D9" s="269" t="s">
        <v>145</v>
      </c>
      <c r="F9" s="269" t="s">
        <v>6</v>
      </c>
      <c r="G9" s="269"/>
      <c r="H9" s="267" t="s">
        <v>48</v>
      </c>
      <c r="I9" s="269"/>
      <c r="J9" s="267" t="s">
        <v>40</v>
      </c>
      <c r="K9" s="269"/>
      <c r="L9" s="269" t="s">
        <v>40</v>
      </c>
      <c r="M9" s="269"/>
      <c r="P9" s="269" t="s">
        <v>48</v>
      </c>
      <c r="R9" s="269"/>
      <c r="V9" s="269" t="s">
        <v>145</v>
      </c>
      <c r="W9" s="269" t="s">
        <v>145</v>
      </c>
      <c r="Y9" s="269" t="s">
        <v>6</v>
      </c>
      <c r="Z9" s="269"/>
      <c r="AA9" s="267" t="s">
        <v>48</v>
      </c>
      <c r="AB9" s="269"/>
      <c r="AC9" s="267" t="s">
        <v>40</v>
      </c>
      <c r="AD9" s="269"/>
      <c r="AE9" s="269" t="s">
        <v>40</v>
      </c>
      <c r="AF9" s="269"/>
      <c r="AI9" s="269" t="s">
        <v>48</v>
      </c>
      <c r="AK9" s="269"/>
    </row>
    <row r="10" spans="1:37" ht="14.1" customHeight="1" x14ac:dyDescent="0.2">
      <c r="A10" s="252" t="s">
        <v>146</v>
      </c>
      <c r="B10" s="269"/>
      <c r="C10" s="269" t="s">
        <v>147</v>
      </c>
      <c r="D10" s="269" t="s">
        <v>147</v>
      </c>
      <c r="E10" s="267"/>
      <c r="F10" s="269" t="s">
        <v>148</v>
      </c>
      <c r="G10" s="269"/>
      <c r="H10" s="269" t="s">
        <v>149</v>
      </c>
      <c r="I10" s="269"/>
      <c r="J10" s="269" t="s">
        <v>48</v>
      </c>
      <c r="K10" s="267"/>
      <c r="L10" s="269" t="s">
        <v>48</v>
      </c>
      <c r="M10" s="261"/>
      <c r="N10" s="269" t="s">
        <v>150</v>
      </c>
      <c r="O10" s="267"/>
      <c r="P10" s="267" t="s">
        <v>149</v>
      </c>
      <c r="Q10" s="267"/>
      <c r="R10" s="269" t="s">
        <v>151</v>
      </c>
      <c r="T10" s="252" t="s">
        <v>146</v>
      </c>
      <c r="U10" s="269"/>
      <c r="V10" s="269" t="s">
        <v>147</v>
      </c>
      <c r="W10" s="269" t="s">
        <v>147</v>
      </c>
      <c r="X10" s="267"/>
      <c r="Y10" s="269" t="s">
        <v>148</v>
      </c>
      <c r="Z10" s="269"/>
      <c r="AA10" s="269" t="s">
        <v>149</v>
      </c>
      <c r="AB10" s="269"/>
      <c r="AC10" s="269" t="s">
        <v>48</v>
      </c>
      <c r="AD10" s="267"/>
      <c r="AE10" s="269" t="s">
        <v>48</v>
      </c>
      <c r="AF10" s="261"/>
      <c r="AG10" s="269" t="s">
        <v>150</v>
      </c>
      <c r="AH10" s="267"/>
      <c r="AI10" s="267" t="s">
        <v>149</v>
      </c>
      <c r="AJ10" s="267"/>
      <c r="AK10" s="269" t="s">
        <v>151</v>
      </c>
    </row>
    <row r="11" spans="1:37" ht="14.1" customHeight="1" thickBot="1" x14ac:dyDescent="0.25">
      <c r="A11" s="264" t="s">
        <v>152</v>
      </c>
      <c r="B11" s="266"/>
      <c r="C11" s="266" t="s">
        <v>52</v>
      </c>
      <c r="D11" s="266" t="s">
        <v>153</v>
      </c>
      <c r="E11" s="266"/>
      <c r="F11" s="270" t="s">
        <v>57</v>
      </c>
      <c r="G11" s="270"/>
      <c r="H11" s="270" t="s">
        <v>154</v>
      </c>
      <c r="I11" s="271"/>
      <c r="J11" s="270" t="s">
        <v>155</v>
      </c>
      <c r="K11" s="271"/>
      <c r="L11" s="271" t="s">
        <v>156</v>
      </c>
      <c r="M11" s="272"/>
      <c r="N11" s="272" t="s">
        <v>157</v>
      </c>
      <c r="O11" s="272"/>
      <c r="P11" s="272" t="s">
        <v>158</v>
      </c>
      <c r="Q11" s="272"/>
      <c r="R11" s="272" t="s">
        <v>3</v>
      </c>
      <c r="T11" s="264" t="s">
        <v>152</v>
      </c>
      <c r="U11" s="266"/>
      <c r="V11" s="266" t="s">
        <v>52</v>
      </c>
      <c r="W11" s="266" t="s">
        <v>153</v>
      </c>
      <c r="X11" s="266"/>
      <c r="Y11" s="270" t="s">
        <v>57</v>
      </c>
      <c r="Z11" s="270"/>
      <c r="AA11" s="270" t="s">
        <v>154</v>
      </c>
      <c r="AB11" s="271"/>
      <c r="AC11" s="270" t="s">
        <v>155</v>
      </c>
      <c r="AD11" s="271"/>
      <c r="AE11" s="271" t="s">
        <v>156</v>
      </c>
      <c r="AF11" s="272"/>
      <c r="AG11" s="272" t="s">
        <v>157</v>
      </c>
      <c r="AH11" s="272"/>
      <c r="AI11" s="272" t="s">
        <v>158</v>
      </c>
      <c r="AJ11" s="272"/>
      <c r="AK11" s="272" t="s">
        <v>3</v>
      </c>
    </row>
    <row r="12" spans="1:37" ht="14.1" customHeight="1" x14ac:dyDescent="0.2">
      <c r="A12" s="252">
        <v>1</v>
      </c>
      <c r="B12" s="312"/>
      <c r="T12" s="252">
        <v>1</v>
      </c>
      <c r="U12" s="312"/>
    </row>
    <row r="13" spans="1:37" ht="14.1" customHeight="1" x14ac:dyDescent="0.2">
      <c r="A13" s="252">
        <v>2</v>
      </c>
      <c r="B13" s="312"/>
      <c r="D13" s="83" t="s">
        <v>58</v>
      </c>
      <c r="F13" s="274">
        <v>17</v>
      </c>
      <c r="G13" s="275"/>
      <c r="H13" s="274">
        <v>3</v>
      </c>
      <c r="I13" s="275"/>
      <c r="J13" s="274">
        <v>4</v>
      </c>
      <c r="K13" s="275"/>
      <c r="L13" s="274">
        <v>5</v>
      </c>
      <c r="M13" s="275"/>
      <c r="N13" s="274">
        <v>6</v>
      </c>
      <c r="O13" s="275"/>
      <c r="P13" s="274">
        <v>7</v>
      </c>
      <c r="Q13" s="275"/>
      <c r="R13" s="274">
        <v>8</v>
      </c>
      <c r="T13" s="252">
        <v>2</v>
      </c>
      <c r="U13" s="312"/>
    </row>
    <row r="14" spans="1:37" ht="14.1" customHeight="1" x14ac:dyDescent="0.2">
      <c r="A14" s="252">
        <v>3</v>
      </c>
      <c r="B14" s="312"/>
      <c r="D14" s="252" t="s">
        <v>159</v>
      </c>
      <c r="T14" s="252">
        <v>3</v>
      </c>
      <c r="U14" s="312"/>
      <c r="W14" s="252" t="s">
        <v>68</v>
      </c>
      <c r="Y14" s="602"/>
      <c r="Z14" s="602"/>
      <c r="AA14" s="602">
        <v>2254668250.7899995</v>
      </c>
      <c r="AB14" s="602"/>
      <c r="AC14" s="602">
        <v>48660155.030000001</v>
      </c>
      <c r="AD14" s="602"/>
      <c r="AE14" s="602">
        <v>-970117110.76599991</v>
      </c>
      <c r="AF14" s="602"/>
      <c r="AG14" s="602">
        <v>0</v>
      </c>
      <c r="AH14" s="602"/>
      <c r="AI14" s="602">
        <v>1333211295.0539999</v>
      </c>
      <c r="AJ14" s="602"/>
      <c r="AK14" s="602">
        <v>2195312109.919538</v>
      </c>
    </row>
    <row r="15" spans="1:37" ht="14.1" customHeight="1" x14ac:dyDescent="0.2">
      <c r="A15" s="252">
        <v>4</v>
      </c>
      <c r="B15" s="312"/>
      <c r="D15" s="252" t="s">
        <v>160</v>
      </c>
      <c r="H15" s="653"/>
      <c r="I15" s="653"/>
      <c r="J15" s="602"/>
      <c r="K15" s="602"/>
      <c r="L15" s="602"/>
      <c r="M15" s="602"/>
      <c r="N15" s="602"/>
      <c r="O15" s="602"/>
      <c r="P15" s="654"/>
      <c r="Q15" s="654"/>
      <c r="R15" s="602"/>
      <c r="T15" s="252">
        <v>4</v>
      </c>
      <c r="U15" s="312"/>
      <c r="Y15" s="602"/>
      <c r="Z15" s="602"/>
      <c r="AA15" s="602"/>
      <c r="AB15" s="602"/>
      <c r="AC15" s="602"/>
      <c r="AD15" s="602"/>
      <c r="AE15" s="602"/>
      <c r="AF15" s="602"/>
      <c r="AG15" s="602"/>
      <c r="AH15" s="602"/>
      <c r="AI15" s="602"/>
      <c r="AJ15" s="602"/>
      <c r="AK15" s="602"/>
    </row>
    <row r="16" spans="1:37" ht="14.1" customHeight="1" x14ac:dyDescent="0.2">
      <c r="A16" s="252">
        <v>5</v>
      </c>
      <c r="B16" s="312"/>
      <c r="C16" s="269">
        <v>31140</v>
      </c>
      <c r="D16" s="252" t="s">
        <v>161</v>
      </c>
      <c r="F16" s="313">
        <v>2.9</v>
      </c>
      <c r="G16" s="260"/>
      <c r="H16" s="655">
        <v>235174549.85000008</v>
      </c>
      <c r="I16" s="656"/>
      <c r="J16" s="655">
        <v>0</v>
      </c>
      <c r="K16" s="603"/>
      <c r="L16" s="655">
        <v>-68339560</v>
      </c>
      <c r="M16" s="603"/>
      <c r="N16" s="655">
        <v>0</v>
      </c>
      <c r="O16" s="603"/>
      <c r="P16" s="655">
        <v>166834989.85000008</v>
      </c>
      <c r="Q16" s="603"/>
      <c r="R16" s="655">
        <v>229917660.61923081</v>
      </c>
      <c r="T16" s="252">
        <v>5</v>
      </c>
      <c r="U16" s="312"/>
      <c r="W16" s="252" t="s">
        <v>66</v>
      </c>
      <c r="Y16" s="602"/>
      <c r="Z16" s="602"/>
      <c r="AA16" s="657">
        <v>3290975022.5999999</v>
      </c>
      <c r="AB16" s="602"/>
      <c r="AC16" s="657">
        <v>794351607.79999995</v>
      </c>
      <c r="AD16" s="602"/>
      <c r="AE16" s="657">
        <v>-17131990.850000001</v>
      </c>
      <c r="AF16" s="602"/>
      <c r="AG16" s="657">
        <v>0</v>
      </c>
      <c r="AH16" s="602"/>
      <c r="AI16" s="657">
        <v>4068194639.5499997</v>
      </c>
      <c r="AJ16" s="602"/>
      <c r="AK16" s="657">
        <v>3456776845.1267695</v>
      </c>
    </row>
    <row r="17" spans="1:40" ht="14.1" customHeight="1" x14ac:dyDescent="0.2">
      <c r="A17" s="252">
        <v>6</v>
      </c>
      <c r="B17" s="312"/>
      <c r="C17" s="269">
        <v>31240</v>
      </c>
      <c r="D17" s="252" t="s">
        <v>162</v>
      </c>
      <c r="F17" s="313">
        <v>3.4000000000000004</v>
      </c>
      <c r="G17" s="260"/>
      <c r="H17" s="655">
        <v>183098029.64999998</v>
      </c>
      <c r="I17" s="656"/>
      <c r="J17" s="655">
        <v>8912002.4700000007</v>
      </c>
      <c r="K17" s="603"/>
      <c r="L17" s="655">
        <v>-2546468.5440000002</v>
      </c>
      <c r="M17" s="603"/>
      <c r="N17" s="655">
        <v>0</v>
      </c>
      <c r="O17" s="603"/>
      <c r="P17" s="655">
        <v>189463563.57599998</v>
      </c>
      <c r="Q17" s="603"/>
      <c r="R17" s="655">
        <v>184826616.41076919</v>
      </c>
      <c r="T17" s="252">
        <v>6</v>
      </c>
      <c r="U17" s="312"/>
      <c r="Y17" s="602"/>
      <c r="Z17" s="602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</row>
    <row r="18" spans="1:40" ht="14.1" customHeight="1" x14ac:dyDescent="0.2">
      <c r="A18" s="252">
        <v>7</v>
      </c>
      <c r="B18" s="312"/>
      <c r="C18" s="269">
        <v>31440</v>
      </c>
      <c r="D18" s="252" t="s">
        <v>163</v>
      </c>
      <c r="F18" s="313">
        <v>2.2999999999999998</v>
      </c>
      <c r="G18" s="260"/>
      <c r="H18" s="655">
        <v>8821954.7400000021</v>
      </c>
      <c r="I18" s="656"/>
      <c r="J18" s="655">
        <v>8912002.4700000007</v>
      </c>
      <c r="K18" s="603"/>
      <c r="L18" s="655">
        <v>-1782400.4940000004</v>
      </c>
      <c r="M18" s="603"/>
      <c r="N18" s="655">
        <v>0</v>
      </c>
      <c r="O18" s="603"/>
      <c r="P18" s="655">
        <v>15951556.716</v>
      </c>
      <c r="Q18" s="603"/>
      <c r="R18" s="655">
        <v>10609315.966153847</v>
      </c>
      <c r="T18" s="252">
        <v>7</v>
      </c>
      <c r="U18" s="312"/>
      <c r="W18" s="252" t="s">
        <v>67</v>
      </c>
      <c r="Y18" s="602"/>
      <c r="Z18" s="602"/>
      <c r="AA18" s="602">
        <v>5545643273.3899994</v>
      </c>
      <c r="AB18" s="602"/>
      <c r="AC18" s="602">
        <v>843011762.82999992</v>
      </c>
      <c r="AD18" s="602"/>
      <c r="AE18" s="602">
        <v>-987249101.61599994</v>
      </c>
      <c r="AF18" s="602"/>
      <c r="AG18" s="602">
        <v>0</v>
      </c>
      <c r="AH18" s="602"/>
      <c r="AI18" s="602">
        <v>5401405934.6040001</v>
      </c>
      <c r="AJ18" s="602">
        <v>0</v>
      </c>
      <c r="AK18" s="602">
        <v>5652088955.0463076</v>
      </c>
    </row>
    <row r="19" spans="1:40" ht="14.1" customHeight="1" x14ac:dyDescent="0.2">
      <c r="A19" s="252">
        <v>8</v>
      </c>
      <c r="B19" s="312"/>
      <c r="C19" s="269">
        <v>31540</v>
      </c>
      <c r="D19" s="252" t="s">
        <v>164</v>
      </c>
      <c r="F19" s="313">
        <v>3.7000000000000006</v>
      </c>
      <c r="G19" s="260"/>
      <c r="H19" s="655">
        <v>43821817.589999981</v>
      </c>
      <c r="I19" s="656"/>
      <c r="J19" s="655">
        <v>0</v>
      </c>
      <c r="K19" s="603"/>
      <c r="L19" s="655">
        <v>0</v>
      </c>
      <c r="M19" s="603"/>
      <c r="N19" s="655">
        <v>0</v>
      </c>
      <c r="O19" s="603"/>
      <c r="P19" s="655">
        <v>43821817.589999981</v>
      </c>
      <c r="Q19" s="603"/>
      <c r="R19" s="655">
        <v>43821817.589999981</v>
      </c>
      <c r="T19" s="252">
        <v>8</v>
      </c>
      <c r="U19" s="312"/>
      <c r="Y19" s="602"/>
      <c r="Z19" s="602"/>
      <c r="AA19" s="602"/>
      <c r="AB19" s="602"/>
      <c r="AC19" s="602"/>
      <c r="AD19" s="602"/>
      <c r="AE19" s="602"/>
      <c r="AF19" s="602"/>
      <c r="AG19" s="602"/>
      <c r="AH19" s="602"/>
      <c r="AI19" s="602"/>
      <c r="AJ19" s="602"/>
      <c r="AK19" s="602"/>
    </row>
    <row r="20" spans="1:40" ht="14.1" customHeight="1" x14ac:dyDescent="0.2">
      <c r="A20" s="252">
        <v>9</v>
      </c>
      <c r="B20" s="312"/>
      <c r="C20" s="269">
        <v>31640</v>
      </c>
      <c r="D20" s="252" t="s">
        <v>165</v>
      </c>
      <c r="F20" s="313">
        <v>4.2</v>
      </c>
      <c r="G20" s="260"/>
      <c r="H20" s="655">
        <v>25096602.700000007</v>
      </c>
      <c r="I20" s="656"/>
      <c r="J20" s="655">
        <v>0</v>
      </c>
      <c r="K20" s="603"/>
      <c r="L20" s="655">
        <v>0</v>
      </c>
      <c r="M20" s="603"/>
      <c r="N20" s="655">
        <v>0</v>
      </c>
      <c r="O20" s="603"/>
      <c r="P20" s="655">
        <v>25096602.700000007</v>
      </c>
      <c r="Q20" s="603"/>
      <c r="R20" s="655">
        <v>25096602.700000007</v>
      </c>
      <c r="T20" s="252">
        <v>9</v>
      </c>
      <c r="U20" s="312"/>
      <c r="W20" s="252" t="s">
        <v>166</v>
      </c>
      <c r="Y20" s="602"/>
      <c r="Z20" s="602"/>
      <c r="AA20" s="602">
        <v>990679115.76000011</v>
      </c>
      <c r="AB20" s="602"/>
      <c r="AC20" s="602">
        <v>104171661.07999998</v>
      </c>
      <c r="AD20" s="602"/>
      <c r="AE20" s="602">
        <v>-20818311.779380001</v>
      </c>
      <c r="AF20" s="602"/>
      <c r="AG20" s="602">
        <v>0</v>
      </c>
      <c r="AH20" s="602"/>
      <c r="AI20" s="602">
        <v>1074032465.0606201</v>
      </c>
      <c r="AJ20" s="602"/>
      <c r="AK20" s="602">
        <v>1043226339.2041038</v>
      </c>
    </row>
    <row r="21" spans="1:40" ht="14.1" customHeight="1" x14ac:dyDescent="0.2">
      <c r="A21" s="252">
        <v>10</v>
      </c>
      <c r="B21" s="312"/>
      <c r="C21" s="269"/>
      <c r="D21" s="252" t="s">
        <v>167</v>
      </c>
      <c r="H21" s="658">
        <v>496012954.53000003</v>
      </c>
      <c r="I21" s="659"/>
      <c r="J21" s="658">
        <v>17824004.940000001</v>
      </c>
      <c r="K21" s="659"/>
      <c r="L21" s="658">
        <v>-72668429.038000003</v>
      </c>
      <c r="M21" s="659"/>
      <c r="N21" s="658">
        <v>0</v>
      </c>
      <c r="O21" s="659"/>
      <c r="P21" s="658">
        <v>441168530.43200004</v>
      </c>
      <c r="Q21" s="659"/>
      <c r="R21" s="658">
        <v>494272013.28615379</v>
      </c>
      <c r="T21" s="252">
        <v>10</v>
      </c>
      <c r="U21" s="312"/>
      <c r="Y21" s="602"/>
      <c r="Z21" s="602"/>
      <c r="AA21" s="602"/>
      <c r="AB21" s="602"/>
      <c r="AC21" s="602"/>
      <c r="AD21" s="602"/>
      <c r="AE21" s="602"/>
      <c r="AF21" s="602"/>
      <c r="AG21" s="602"/>
      <c r="AH21" s="602"/>
      <c r="AI21" s="602"/>
      <c r="AJ21" s="602"/>
      <c r="AK21" s="602"/>
    </row>
    <row r="22" spans="1:40" ht="14.1" customHeight="1" x14ac:dyDescent="0.2">
      <c r="A22" s="252">
        <v>11</v>
      </c>
      <c r="B22" s="312"/>
      <c r="C22" s="269"/>
      <c r="H22" s="660"/>
      <c r="I22" s="660"/>
      <c r="J22" s="660"/>
      <c r="K22" s="661"/>
      <c r="L22" s="660"/>
      <c r="M22" s="661"/>
      <c r="N22" s="660"/>
      <c r="O22" s="661"/>
      <c r="P22" s="660"/>
      <c r="Q22" s="661"/>
      <c r="R22" s="660"/>
      <c r="T22" s="252">
        <v>11</v>
      </c>
      <c r="U22" s="312"/>
      <c r="W22" s="252" t="s">
        <v>169</v>
      </c>
      <c r="Y22" s="602"/>
      <c r="Z22" s="602"/>
      <c r="AA22" s="602">
        <v>2841089077.1200004</v>
      </c>
      <c r="AB22" s="602"/>
      <c r="AC22" s="602">
        <v>467169963.54000002</v>
      </c>
      <c r="AD22" s="602"/>
      <c r="AE22" s="602">
        <v>-180635932.62201452</v>
      </c>
      <c r="AF22" s="602"/>
      <c r="AG22" s="602">
        <v>0</v>
      </c>
      <c r="AH22" s="602"/>
      <c r="AI22" s="602">
        <v>3127623108.0379868</v>
      </c>
      <c r="AJ22" s="602"/>
      <c r="AK22" s="602">
        <v>2956570508.4538317</v>
      </c>
    </row>
    <row r="23" spans="1:40" ht="14.1" customHeight="1" x14ac:dyDescent="0.2">
      <c r="A23" s="252">
        <v>12</v>
      </c>
      <c r="B23" s="312"/>
      <c r="C23" s="269"/>
      <c r="D23" s="252" t="s">
        <v>170</v>
      </c>
      <c r="H23" s="662"/>
      <c r="I23" s="662"/>
      <c r="J23" s="662"/>
      <c r="K23" s="661"/>
      <c r="L23" s="662"/>
      <c r="M23" s="661"/>
      <c r="N23" s="662"/>
      <c r="O23" s="661"/>
      <c r="P23" s="662"/>
      <c r="Q23" s="661"/>
      <c r="R23" s="662"/>
      <c r="T23" s="252">
        <v>12</v>
      </c>
      <c r="U23" s="312"/>
      <c r="Y23" s="602"/>
      <c r="Z23" s="602"/>
      <c r="AA23" s="602"/>
      <c r="AB23" s="602"/>
      <c r="AC23" s="602"/>
      <c r="AD23" s="602"/>
      <c r="AE23" s="602"/>
      <c r="AF23" s="602"/>
      <c r="AG23" s="602"/>
      <c r="AH23" s="602"/>
      <c r="AI23" s="602"/>
      <c r="AJ23" s="602"/>
      <c r="AK23" s="602"/>
    </row>
    <row r="24" spans="1:40" ht="14.1" customHeight="1" x14ac:dyDescent="0.2">
      <c r="A24" s="252">
        <v>13</v>
      </c>
      <c r="B24" s="312"/>
      <c r="C24" s="269">
        <v>31141</v>
      </c>
      <c r="D24" s="252" t="s">
        <v>161</v>
      </c>
      <c r="F24" s="313">
        <v>2</v>
      </c>
      <c r="G24" s="260"/>
      <c r="H24" s="655">
        <v>7287126.2399999993</v>
      </c>
      <c r="I24" s="656"/>
      <c r="J24" s="655">
        <v>0</v>
      </c>
      <c r="K24" s="603"/>
      <c r="L24" s="655">
        <v>-4852753.2599999988</v>
      </c>
      <c r="M24" s="603"/>
      <c r="N24" s="655">
        <v>0</v>
      </c>
      <c r="O24" s="603"/>
      <c r="P24" s="655">
        <v>2434372.9800000004</v>
      </c>
      <c r="Q24" s="603"/>
      <c r="R24" s="655">
        <v>6913837.5276923077</v>
      </c>
      <c r="T24" s="252">
        <v>13</v>
      </c>
      <c r="U24" s="312"/>
      <c r="W24" s="252" t="s">
        <v>171</v>
      </c>
      <c r="Y24" s="602"/>
      <c r="Z24" s="602"/>
      <c r="AA24" s="657">
        <v>334410345.57000005</v>
      </c>
      <c r="AB24" s="602"/>
      <c r="AC24" s="657">
        <v>65161054.420000002</v>
      </c>
      <c r="AD24" s="602"/>
      <c r="AE24" s="657">
        <v>-9386840.8146804553</v>
      </c>
      <c r="AF24" s="602"/>
      <c r="AG24" s="657">
        <v>0</v>
      </c>
      <c r="AH24" s="602"/>
      <c r="AI24" s="657">
        <v>390184559.17531955</v>
      </c>
      <c r="AJ24" s="602"/>
      <c r="AK24" s="657">
        <v>359496936.09647894</v>
      </c>
    </row>
    <row r="25" spans="1:40" ht="14.1" customHeight="1" x14ac:dyDescent="0.2">
      <c r="A25" s="252">
        <v>14</v>
      </c>
      <c r="B25" s="312"/>
      <c r="C25" s="269">
        <v>31241</v>
      </c>
      <c r="D25" s="252" t="s">
        <v>162</v>
      </c>
      <c r="F25" s="313">
        <v>4</v>
      </c>
      <c r="G25" s="260"/>
      <c r="H25" s="655">
        <v>102965871.76000001</v>
      </c>
      <c r="I25" s="656"/>
      <c r="J25" s="655">
        <v>0</v>
      </c>
      <c r="K25" s="603"/>
      <c r="L25" s="655">
        <v>-101960153.7</v>
      </c>
      <c r="M25" s="603"/>
      <c r="N25" s="655">
        <v>0</v>
      </c>
      <c r="O25" s="603"/>
      <c r="P25" s="655">
        <v>1005718.0600000024</v>
      </c>
      <c r="Q25" s="603"/>
      <c r="R25" s="655">
        <v>95122783.013846159</v>
      </c>
      <c r="T25" s="252">
        <v>14</v>
      </c>
      <c r="U25" s="312"/>
      <c r="Y25" s="602"/>
      <c r="Z25" s="602"/>
      <c r="AA25" s="602"/>
      <c r="AB25" s="602"/>
      <c r="AC25" s="602"/>
      <c r="AD25" s="602"/>
      <c r="AE25" s="602"/>
      <c r="AF25" s="602"/>
      <c r="AG25" s="602"/>
      <c r="AH25" s="602"/>
      <c r="AI25" s="602"/>
      <c r="AJ25" s="602"/>
      <c r="AK25" s="602"/>
    </row>
    <row r="26" spans="1:40" ht="14.1" customHeight="1" x14ac:dyDescent="0.2">
      <c r="A26" s="252">
        <v>15</v>
      </c>
      <c r="B26" s="312"/>
      <c r="C26" s="269">
        <v>31441</v>
      </c>
      <c r="D26" s="252" t="s">
        <v>163</v>
      </c>
      <c r="F26" s="313">
        <v>3.5000000000000004</v>
      </c>
      <c r="G26" s="260"/>
      <c r="H26" s="655">
        <v>50488850.079999998</v>
      </c>
      <c r="I26" s="656"/>
      <c r="J26" s="655">
        <v>0</v>
      </c>
      <c r="K26" s="603"/>
      <c r="L26" s="655">
        <v>-28553151.819999997</v>
      </c>
      <c r="M26" s="603"/>
      <c r="N26" s="655">
        <v>0</v>
      </c>
      <c r="O26" s="603"/>
      <c r="P26" s="655">
        <v>21935698.260000002</v>
      </c>
      <c r="Q26" s="603"/>
      <c r="R26" s="655">
        <v>48292453.786153838</v>
      </c>
      <c r="T26" s="252">
        <v>15</v>
      </c>
      <c r="U26" s="312"/>
      <c r="W26" s="279" t="s">
        <v>172</v>
      </c>
      <c r="Y26" s="602"/>
      <c r="Z26" s="602"/>
      <c r="AA26" s="602">
        <v>9711821811.8400002</v>
      </c>
      <c r="AB26" s="602"/>
      <c r="AC26" s="602">
        <v>1479514441.8699999</v>
      </c>
      <c r="AD26" s="602"/>
      <c r="AE26" s="602">
        <v>-1198090186.8320749</v>
      </c>
      <c r="AF26" s="602"/>
      <c r="AG26" s="602">
        <v>0</v>
      </c>
      <c r="AH26" s="602"/>
      <c r="AI26" s="602">
        <v>9993246066.8779259</v>
      </c>
      <c r="AJ26" s="602"/>
      <c r="AK26" s="602">
        <v>10011382738.800722</v>
      </c>
    </row>
    <row r="27" spans="1:40" ht="14.1" customHeight="1" x14ac:dyDescent="0.2">
      <c r="A27" s="252">
        <v>16</v>
      </c>
      <c r="B27" s="312"/>
      <c r="C27" s="269">
        <v>31541</v>
      </c>
      <c r="D27" s="252" t="s">
        <v>164</v>
      </c>
      <c r="F27" s="313">
        <v>3.5000000000000004</v>
      </c>
      <c r="G27" s="260"/>
      <c r="H27" s="655">
        <v>17018634.02</v>
      </c>
      <c r="I27" s="656"/>
      <c r="J27" s="655">
        <v>0</v>
      </c>
      <c r="K27" s="603"/>
      <c r="L27" s="655">
        <v>-16777127.199999994</v>
      </c>
      <c r="M27" s="603"/>
      <c r="N27" s="655">
        <v>0</v>
      </c>
      <c r="O27" s="603"/>
      <c r="P27" s="655">
        <v>241506.82000000589</v>
      </c>
      <c r="Q27" s="603"/>
      <c r="R27" s="655">
        <v>15728085.773846157</v>
      </c>
      <c r="T27" s="252">
        <v>16</v>
      </c>
      <c r="U27" s="312"/>
      <c r="Y27" s="602"/>
      <c r="Z27" s="602"/>
      <c r="AA27" s="602"/>
      <c r="AB27" s="602"/>
      <c r="AC27" s="602"/>
      <c r="AD27" s="602"/>
      <c r="AE27" s="602"/>
      <c r="AF27" s="602"/>
      <c r="AG27" s="602"/>
      <c r="AH27" s="602"/>
      <c r="AI27" s="602"/>
      <c r="AJ27" s="602"/>
      <c r="AK27" s="602"/>
    </row>
    <row r="28" spans="1:40" ht="14.1" customHeight="1" x14ac:dyDescent="0.2">
      <c r="A28" s="252">
        <v>17</v>
      </c>
      <c r="B28" s="312"/>
      <c r="C28" s="269">
        <v>31641</v>
      </c>
      <c r="D28" s="252" t="s">
        <v>165</v>
      </c>
      <c r="F28" s="313">
        <v>2.9</v>
      </c>
      <c r="G28" s="260"/>
      <c r="H28" s="655">
        <v>948126.67999999993</v>
      </c>
      <c r="I28" s="656"/>
      <c r="J28" s="655">
        <v>0</v>
      </c>
      <c r="K28" s="603"/>
      <c r="L28" s="655">
        <v>-661257.77000000014</v>
      </c>
      <c r="M28" s="603"/>
      <c r="N28" s="655">
        <v>0</v>
      </c>
      <c r="O28" s="603"/>
      <c r="P28" s="655">
        <v>286868.9099999998</v>
      </c>
      <c r="Q28" s="603"/>
      <c r="R28" s="655">
        <v>897260.69769230753</v>
      </c>
      <c r="T28" s="252">
        <v>17</v>
      </c>
      <c r="U28" s="312"/>
      <c r="W28" s="279" t="s">
        <v>173</v>
      </c>
      <c r="Y28" s="602"/>
      <c r="Z28" s="602"/>
      <c r="AA28" s="602">
        <v>139027082.80999997</v>
      </c>
      <c r="AB28" s="602"/>
      <c r="AC28" s="602">
        <v>23816063.770000003</v>
      </c>
      <c r="AD28" s="602"/>
      <c r="AE28" s="602">
        <v>0</v>
      </c>
      <c r="AF28" s="602"/>
      <c r="AG28" s="602">
        <v>0</v>
      </c>
      <c r="AH28" s="602"/>
      <c r="AI28" s="602">
        <v>162843146.57999998</v>
      </c>
      <c r="AJ28" s="602"/>
      <c r="AK28" s="602">
        <v>147685653.05692303</v>
      </c>
    </row>
    <row r="29" spans="1:40" ht="14.1" customHeight="1" x14ac:dyDescent="0.2">
      <c r="A29" s="252">
        <v>18</v>
      </c>
      <c r="B29" s="312"/>
      <c r="C29" s="269"/>
      <c r="D29" s="252" t="s">
        <v>174</v>
      </c>
      <c r="F29" s="313"/>
      <c r="H29" s="658">
        <v>178708608.78</v>
      </c>
      <c r="I29" s="661"/>
      <c r="J29" s="658">
        <v>0</v>
      </c>
      <c r="K29" s="661"/>
      <c r="L29" s="658">
        <v>-152804443.75</v>
      </c>
      <c r="M29" s="661"/>
      <c r="N29" s="658">
        <v>0</v>
      </c>
      <c r="O29" s="661"/>
      <c r="P29" s="658">
        <v>25904165.030000012</v>
      </c>
      <c r="Q29" s="661"/>
      <c r="R29" s="658">
        <v>166954420.79923075</v>
      </c>
      <c r="T29" s="252">
        <v>18</v>
      </c>
      <c r="U29" s="312"/>
      <c r="Y29" s="602"/>
      <c r="Z29" s="602"/>
      <c r="AA29" s="602"/>
      <c r="AB29" s="602"/>
      <c r="AC29" s="602"/>
      <c r="AD29" s="602"/>
      <c r="AE29" s="602"/>
      <c r="AF29" s="602"/>
      <c r="AG29" s="602"/>
      <c r="AH29" s="602"/>
      <c r="AI29" s="602"/>
      <c r="AJ29" s="602"/>
      <c r="AK29" s="602"/>
    </row>
    <row r="30" spans="1:40" ht="14.1" customHeight="1" x14ac:dyDescent="0.2">
      <c r="A30" s="252">
        <v>19</v>
      </c>
      <c r="B30" s="312"/>
      <c r="T30" s="252">
        <v>19</v>
      </c>
      <c r="U30" s="312"/>
      <c r="W30" s="252" t="s">
        <v>175</v>
      </c>
      <c r="Y30" s="602"/>
      <c r="Z30" s="602"/>
      <c r="AA30" s="283">
        <v>251875304.38999996</v>
      </c>
      <c r="AB30" s="283"/>
      <c r="AC30" s="283">
        <v>181957518.14999998</v>
      </c>
      <c r="AD30" s="283"/>
      <c r="AE30" s="283">
        <v>0</v>
      </c>
      <c r="AF30" s="283"/>
      <c r="AG30" s="283">
        <v>0</v>
      </c>
      <c r="AH30" s="283"/>
      <c r="AI30" s="283">
        <v>433832822.53999996</v>
      </c>
      <c r="AJ30" s="283"/>
      <c r="AK30" s="283">
        <v>282923268.73846149</v>
      </c>
    </row>
    <row r="31" spans="1:40" ht="14.1" customHeight="1" x14ac:dyDescent="0.2">
      <c r="A31" s="252">
        <v>20</v>
      </c>
      <c r="B31" s="312"/>
      <c r="C31" s="269"/>
      <c r="D31" s="280" t="s">
        <v>176</v>
      </c>
      <c r="E31" s="280"/>
      <c r="F31" s="313"/>
      <c r="G31" s="280"/>
      <c r="H31" s="660"/>
      <c r="I31" s="660"/>
      <c r="J31" s="660"/>
      <c r="K31" s="661"/>
      <c r="L31" s="660"/>
      <c r="M31" s="661"/>
      <c r="N31" s="660"/>
      <c r="O31" s="661"/>
      <c r="P31" s="660"/>
      <c r="Q31" s="661"/>
      <c r="R31" s="660"/>
      <c r="T31" s="252">
        <v>20</v>
      </c>
      <c r="U31" s="312"/>
      <c r="Y31" s="602"/>
      <c r="Z31" s="602"/>
      <c r="AA31" s="602"/>
      <c r="AB31" s="602"/>
      <c r="AC31" s="602"/>
      <c r="AD31" s="602"/>
      <c r="AE31" s="602"/>
      <c r="AF31" s="602"/>
      <c r="AG31" s="602"/>
      <c r="AH31" s="602"/>
      <c r="AI31" s="602"/>
      <c r="AJ31" s="602"/>
      <c r="AK31" s="602"/>
    </row>
    <row r="32" spans="1:40" ht="14.1" customHeight="1" x14ac:dyDescent="0.2">
      <c r="A32" s="252">
        <v>21</v>
      </c>
      <c r="B32" s="312"/>
      <c r="C32" s="269">
        <v>31142</v>
      </c>
      <c r="D32" s="252" t="s">
        <v>161</v>
      </c>
      <c r="F32" s="313">
        <v>2</v>
      </c>
      <c r="G32" s="260"/>
      <c r="H32" s="655">
        <v>7041821.6700000009</v>
      </c>
      <c r="I32" s="656"/>
      <c r="J32" s="655">
        <v>0</v>
      </c>
      <c r="K32" s="603"/>
      <c r="L32" s="655">
        <v>-7041562.8900000015</v>
      </c>
      <c r="M32" s="603"/>
      <c r="N32" s="655">
        <v>0</v>
      </c>
      <c r="O32" s="603"/>
      <c r="P32" s="655">
        <v>258.77999999932945</v>
      </c>
      <c r="Q32" s="603"/>
      <c r="R32" s="655">
        <v>6500162.9861538466</v>
      </c>
      <c r="T32" s="252">
        <v>21</v>
      </c>
      <c r="U32" s="312"/>
      <c r="W32" s="252" t="s">
        <v>1362</v>
      </c>
      <c r="AA32" s="283">
        <v>47680400.68999999</v>
      </c>
      <c r="AB32" s="283">
        <v>0</v>
      </c>
      <c r="AC32" s="283">
        <v>0</v>
      </c>
      <c r="AD32" s="283">
        <v>0</v>
      </c>
      <c r="AE32" s="283">
        <v>0</v>
      </c>
      <c r="AF32" s="283">
        <v>0</v>
      </c>
      <c r="AG32" s="283">
        <v>0</v>
      </c>
      <c r="AH32" s="283">
        <v>0</v>
      </c>
      <c r="AI32" s="283">
        <v>47680400.68999999</v>
      </c>
      <c r="AJ32" s="283">
        <v>0</v>
      </c>
      <c r="AK32" s="283">
        <v>47680400.68999999</v>
      </c>
      <c r="AN32" s="283">
        <v>0</v>
      </c>
    </row>
    <row r="33" spans="1:37" ht="14.1" customHeight="1" x14ac:dyDescent="0.2">
      <c r="A33" s="252">
        <v>22</v>
      </c>
      <c r="B33" s="312"/>
      <c r="C33" s="269">
        <v>31242</v>
      </c>
      <c r="D33" s="252" t="s">
        <v>162</v>
      </c>
      <c r="F33" s="313">
        <v>3.7000000000000006</v>
      </c>
      <c r="G33" s="260"/>
      <c r="H33" s="655">
        <v>87640917.920000002</v>
      </c>
      <c r="I33" s="656"/>
      <c r="J33" s="655">
        <v>4099.6900000000005</v>
      </c>
      <c r="K33" s="603"/>
      <c r="L33" s="655">
        <v>-86164055.207999974</v>
      </c>
      <c r="M33" s="603"/>
      <c r="N33" s="655">
        <v>0</v>
      </c>
      <c r="O33" s="603"/>
      <c r="P33" s="655">
        <v>1480962.4020000249</v>
      </c>
      <c r="Q33" s="603"/>
      <c r="R33" s="655">
        <v>81014238.188461557</v>
      </c>
      <c r="T33" s="252">
        <v>22</v>
      </c>
      <c r="U33" s="312"/>
    </row>
    <row r="34" spans="1:37" ht="14.1" customHeight="1" x14ac:dyDescent="0.2">
      <c r="A34" s="252">
        <v>23</v>
      </c>
      <c r="B34" s="312"/>
      <c r="C34" s="269">
        <v>31442</v>
      </c>
      <c r="D34" s="252" t="s">
        <v>163</v>
      </c>
      <c r="F34" s="313">
        <v>3.8</v>
      </c>
      <c r="G34" s="260"/>
      <c r="H34" s="655">
        <v>50863062.61999999</v>
      </c>
      <c r="I34" s="656"/>
      <c r="J34" s="655">
        <v>4099.6900000000005</v>
      </c>
      <c r="K34" s="603"/>
      <c r="L34" s="655">
        <v>-50861566.317999974</v>
      </c>
      <c r="M34" s="603"/>
      <c r="N34" s="655">
        <v>0</v>
      </c>
      <c r="O34" s="603"/>
      <c r="P34" s="655">
        <v>5595.9920000135899</v>
      </c>
      <c r="Q34" s="603"/>
      <c r="R34" s="655">
        <v>46951958.956923075</v>
      </c>
      <c r="T34" s="252">
        <v>23</v>
      </c>
      <c r="U34" s="312"/>
      <c r="W34" s="252" t="s">
        <v>1363</v>
      </c>
      <c r="AA34" s="657">
        <v>25996942.23</v>
      </c>
      <c r="AB34" s="602"/>
      <c r="AC34" s="657">
        <v>-1757404.120000001</v>
      </c>
      <c r="AD34" s="602"/>
      <c r="AE34" s="657">
        <v>0</v>
      </c>
      <c r="AF34" s="602"/>
      <c r="AG34" s="657">
        <v>0</v>
      </c>
      <c r="AH34" s="602"/>
      <c r="AI34" s="657">
        <v>24239538.109999999</v>
      </c>
      <c r="AJ34" s="602"/>
      <c r="AK34" s="657">
        <v>25114129.236153848</v>
      </c>
    </row>
    <row r="35" spans="1:37" ht="14.1" customHeight="1" x14ac:dyDescent="0.2">
      <c r="A35" s="252">
        <v>24</v>
      </c>
      <c r="B35" s="312"/>
      <c r="C35" s="269">
        <v>31542</v>
      </c>
      <c r="D35" s="252" t="s">
        <v>164</v>
      </c>
      <c r="F35" s="313">
        <v>3.3000000000000003</v>
      </c>
      <c r="G35" s="260"/>
      <c r="H35" s="655">
        <v>18870058.369999994</v>
      </c>
      <c r="I35" s="656"/>
      <c r="J35" s="655">
        <v>0</v>
      </c>
      <c r="K35" s="603"/>
      <c r="L35" s="655">
        <v>-18870058.369999997</v>
      </c>
      <c r="M35" s="603"/>
      <c r="N35" s="655">
        <v>0</v>
      </c>
      <c r="O35" s="603"/>
      <c r="P35" s="655">
        <v>-3.7252902984619141E-9</v>
      </c>
      <c r="Q35" s="603"/>
      <c r="R35" s="655">
        <v>17418515.418461535</v>
      </c>
      <c r="T35" s="252">
        <v>24</v>
      </c>
      <c r="U35" s="312"/>
    </row>
    <row r="36" spans="1:37" ht="14.1" customHeight="1" x14ac:dyDescent="0.2">
      <c r="A36" s="252">
        <v>25</v>
      </c>
      <c r="B36" s="312"/>
      <c r="C36" s="269">
        <v>31642</v>
      </c>
      <c r="D36" s="252" t="s">
        <v>165</v>
      </c>
      <c r="F36" s="313">
        <v>3</v>
      </c>
      <c r="G36" s="260"/>
      <c r="H36" s="655">
        <v>546950.39</v>
      </c>
      <c r="I36" s="656"/>
      <c r="J36" s="655">
        <v>0</v>
      </c>
      <c r="K36" s="603"/>
      <c r="L36" s="655">
        <v>-546950.39</v>
      </c>
      <c r="M36" s="603"/>
      <c r="N36" s="655">
        <v>0</v>
      </c>
      <c r="O36" s="603"/>
      <c r="P36" s="655">
        <v>0</v>
      </c>
      <c r="Q36" s="603"/>
      <c r="R36" s="655">
        <v>504877.28307692299</v>
      </c>
      <c r="T36" s="252">
        <v>25</v>
      </c>
      <c r="U36" s="312"/>
      <c r="W36" s="252" t="s">
        <v>1364</v>
      </c>
      <c r="Y36" s="602"/>
      <c r="Z36" s="602"/>
      <c r="AA36" s="602">
        <v>10176401541.959999</v>
      </c>
      <c r="AB36" s="602"/>
      <c r="AC36" s="602">
        <v>1683530619.6700001</v>
      </c>
      <c r="AD36" s="602"/>
      <c r="AE36" s="602">
        <v>-1198090186.8320749</v>
      </c>
      <c r="AF36" s="602"/>
      <c r="AG36" s="602">
        <v>0</v>
      </c>
      <c r="AH36" s="602"/>
      <c r="AI36" s="602">
        <v>10661841974.797926</v>
      </c>
      <c r="AJ36" s="602"/>
      <c r="AK36" s="602">
        <v>10514786190.522263</v>
      </c>
    </row>
    <row r="37" spans="1:37" ht="14.1" customHeight="1" x14ac:dyDescent="0.2">
      <c r="A37" s="252">
        <v>26</v>
      </c>
      <c r="B37" s="312"/>
      <c r="C37" s="269"/>
      <c r="D37" s="282" t="s">
        <v>180</v>
      </c>
      <c r="E37" s="282"/>
      <c r="F37" s="313"/>
      <c r="H37" s="658">
        <v>164962810.96999997</v>
      </c>
      <c r="I37" s="661"/>
      <c r="J37" s="658">
        <v>8199.380000000001</v>
      </c>
      <c r="K37" s="661"/>
      <c r="L37" s="658">
        <v>-163484193.17599994</v>
      </c>
      <c r="M37" s="661"/>
      <c r="N37" s="658">
        <v>0</v>
      </c>
      <c r="O37" s="661"/>
      <c r="P37" s="658">
        <v>1486817.1740000341</v>
      </c>
      <c r="Q37" s="661"/>
      <c r="R37" s="658">
        <v>152389752.83307692</v>
      </c>
      <c r="T37" s="252">
        <v>26</v>
      </c>
      <c r="U37" s="312"/>
    </row>
    <row r="38" spans="1:37" ht="14.1" customHeight="1" x14ac:dyDescent="0.2">
      <c r="A38" s="252">
        <v>27</v>
      </c>
      <c r="B38" s="312"/>
      <c r="C38" s="269"/>
      <c r="D38" s="282"/>
      <c r="E38" s="282"/>
      <c r="F38" s="313"/>
      <c r="G38" s="282"/>
      <c r="H38" s="661"/>
      <c r="I38" s="661"/>
      <c r="J38" s="661"/>
      <c r="K38" s="661"/>
      <c r="L38" s="661"/>
      <c r="M38" s="661"/>
      <c r="N38" s="661"/>
      <c r="O38" s="660"/>
      <c r="P38" s="661"/>
      <c r="Q38" s="660"/>
      <c r="R38" s="661"/>
      <c r="T38" s="252">
        <v>27</v>
      </c>
      <c r="U38" s="312"/>
      <c r="W38" s="279" t="s">
        <v>179</v>
      </c>
      <c r="AA38" s="281">
        <v>7484822.7599999998</v>
      </c>
      <c r="AC38" s="281">
        <v>0</v>
      </c>
      <c r="AD38" s="602"/>
      <c r="AE38" s="281">
        <v>0</v>
      </c>
      <c r="AF38" s="602"/>
      <c r="AG38" s="281">
        <v>0</v>
      </c>
      <c r="AH38" s="602"/>
      <c r="AI38" s="281">
        <v>7484822.7599999998</v>
      </c>
      <c r="AJ38" s="602"/>
      <c r="AK38" s="281">
        <v>7484822.7599999998</v>
      </c>
    </row>
    <row r="39" spans="1:37" ht="14.1" customHeight="1" x14ac:dyDescent="0.2">
      <c r="A39" s="252">
        <v>28</v>
      </c>
      <c r="B39" s="312"/>
      <c r="C39" s="269"/>
      <c r="D39" s="282" t="s">
        <v>182</v>
      </c>
      <c r="E39" s="282"/>
      <c r="F39" s="313"/>
      <c r="G39" s="282"/>
      <c r="H39" s="661"/>
      <c r="I39" s="661"/>
      <c r="J39" s="661"/>
      <c r="K39" s="661"/>
      <c r="L39" s="661"/>
      <c r="M39" s="661"/>
      <c r="N39" s="661"/>
      <c r="O39" s="660"/>
      <c r="P39" s="661"/>
      <c r="Q39" s="660"/>
      <c r="R39" s="661"/>
      <c r="T39" s="252">
        <v>28</v>
      </c>
      <c r="U39" s="312"/>
    </row>
    <row r="40" spans="1:37" ht="14.1" customHeight="1" x14ac:dyDescent="0.2">
      <c r="A40" s="252">
        <v>29</v>
      </c>
      <c r="B40" s="312"/>
      <c r="C40" s="269">
        <v>31143</v>
      </c>
      <c r="D40" s="252" t="s">
        <v>161</v>
      </c>
      <c r="F40" s="313">
        <v>1.8000000000000003</v>
      </c>
      <c r="G40" s="260"/>
      <c r="H40" s="655">
        <v>15195121.609999998</v>
      </c>
      <c r="I40" s="656"/>
      <c r="J40" s="655">
        <v>0</v>
      </c>
      <c r="K40" s="603"/>
      <c r="L40" s="655">
        <v>-15195121.609999996</v>
      </c>
      <c r="M40" s="603"/>
      <c r="N40" s="655">
        <v>0</v>
      </c>
      <c r="O40" s="603"/>
      <c r="P40" s="655">
        <v>1.862645149230957E-9</v>
      </c>
      <c r="Q40" s="603"/>
      <c r="R40" s="655">
        <v>14026266.101538457</v>
      </c>
      <c r="T40" s="252">
        <v>29</v>
      </c>
      <c r="U40" s="312"/>
      <c r="W40" s="663" t="s">
        <v>181</v>
      </c>
      <c r="Y40" s="602"/>
      <c r="Z40" s="602"/>
      <c r="AA40" s="602">
        <v>0</v>
      </c>
      <c r="AB40" s="602"/>
      <c r="AC40" s="602">
        <v>0</v>
      </c>
      <c r="AD40" s="602"/>
      <c r="AE40" s="602">
        <v>0</v>
      </c>
      <c r="AF40" s="602"/>
      <c r="AG40" s="602">
        <v>0</v>
      </c>
      <c r="AH40" s="602"/>
      <c r="AI40" s="602">
        <v>0</v>
      </c>
      <c r="AJ40" s="602"/>
      <c r="AK40" s="602">
        <v>0</v>
      </c>
    </row>
    <row r="41" spans="1:37" ht="14.1" customHeight="1" x14ac:dyDescent="0.2">
      <c r="A41" s="252">
        <v>30</v>
      </c>
      <c r="B41" s="312"/>
      <c r="C41" s="269">
        <v>31243</v>
      </c>
      <c r="D41" s="252" t="s">
        <v>162</v>
      </c>
      <c r="F41" s="313">
        <v>3.5000000000000004</v>
      </c>
      <c r="G41" s="260"/>
      <c r="H41" s="655">
        <v>164880015.79999992</v>
      </c>
      <c r="I41" s="656"/>
      <c r="J41" s="655">
        <v>91849.24500000001</v>
      </c>
      <c r="K41" s="603"/>
      <c r="L41" s="655">
        <v>-164615095.13899994</v>
      </c>
      <c r="M41" s="603"/>
      <c r="N41" s="655">
        <v>0</v>
      </c>
      <c r="O41" s="603"/>
      <c r="P41" s="655">
        <v>356769.90599998832</v>
      </c>
      <c r="Q41" s="603"/>
      <c r="R41" s="655">
        <v>152267909.13953835</v>
      </c>
      <c r="T41" s="252">
        <v>30</v>
      </c>
      <c r="U41" s="312"/>
    </row>
    <row r="42" spans="1:37" ht="14.1" customHeight="1" x14ac:dyDescent="0.2">
      <c r="A42" s="252">
        <v>31</v>
      </c>
      <c r="B42" s="312"/>
      <c r="C42" s="269">
        <v>31443</v>
      </c>
      <c r="D42" s="252" t="s">
        <v>163</v>
      </c>
      <c r="F42" s="313">
        <v>3.2</v>
      </c>
      <c r="G42" s="260"/>
      <c r="H42" s="655">
        <v>54862763.579999991</v>
      </c>
      <c r="I42" s="656"/>
      <c r="J42" s="655">
        <v>91849.24500000001</v>
      </c>
      <c r="K42" s="603"/>
      <c r="L42" s="655">
        <v>-54838227.589000002</v>
      </c>
      <c r="M42" s="603"/>
      <c r="N42" s="655">
        <v>0</v>
      </c>
      <c r="O42" s="603"/>
      <c r="P42" s="655">
        <v>116385.23599998653</v>
      </c>
      <c r="Q42" s="603"/>
      <c r="R42" s="655">
        <v>50695031.346461505</v>
      </c>
      <c r="T42" s="252">
        <v>31</v>
      </c>
      <c r="U42" s="312"/>
      <c r="W42" s="252" t="s">
        <v>183</v>
      </c>
      <c r="AA42" s="602">
        <v>54537442.12000002</v>
      </c>
      <c r="AC42" s="602">
        <v>6733602.7200000007</v>
      </c>
      <c r="AE42" s="602">
        <v>0</v>
      </c>
      <c r="AG42" s="602">
        <v>0</v>
      </c>
      <c r="AI42" s="602">
        <v>61271044.840000018</v>
      </c>
      <c r="AK42" s="602">
        <v>55171031.121538483</v>
      </c>
    </row>
    <row r="43" spans="1:37" ht="14.1" customHeight="1" x14ac:dyDescent="0.2">
      <c r="A43" s="252">
        <v>32</v>
      </c>
      <c r="B43" s="312"/>
      <c r="C43" s="269">
        <v>31543</v>
      </c>
      <c r="D43" s="252" t="s">
        <v>164</v>
      </c>
      <c r="F43" s="313">
        <v>3.6000000000000005</v>
      </c>
      <c r="G43" s="260"/>
      <c r="H43" s="655">
        <v>26082371.519999996</v>
      </c>
      <c r="I43" s="656"/>
      <c r="J43" s="655">
        <v>0</v>
      </c>
      <c r="K43" s="603"/>
      <c r="L43" s="655">
        <v>-26437260.870000001</v>
      </c>
      <c r="M43" s="603"/>
      <c r="N43" s="655">
        <v>0</v>
      </c>
      <c r="O43" s="603"/>
      <c r="P43" s="655">
        <v>-354889.35000000522</v>
      </c>
      <c r="Q43" s="603"/>
      <c r="R43" s="655">
        <v>24048736.06846153</v>
      </c>
      <c r="T43" s="252">
        <v>32</v>
      </c>
      <c r="U43" s="312"/>
      <c r="Y43" s="602"/>
      <c r="Z43" s="602"/>
      <c r="AA43" s="664"/>
      <c r="AB43" s="602"/>
      <c r="AC43" s="664"/>
      <c r="AD43" s="602"/>
      <c r="AE43" s="664"/>
      <c r="AF43" s="602"/>
      <c r="AG43" s="664"/>
      <c r="AH43" s="602"/>
      <c r="AI43" s="664"/>
      <c r="AJ43" s="602"/>
      <c r="AK43" s="664"/>
    </row>
    <row r="44" spans="1:37" ht="14.1" customHeight="1" thickBot="1" x14ac:dyDescent="0.25">
      <c r="A44" s="252">
        <v>33</v>
      </c>
      <c r="B44" s="312"/>
      <c r="C44" s="269">
        <v>31643</v>
      </c>
      <c r="D44" s="252" t="s">
        <v>165</v>
      </c>
      <c r="F44" s="313">
        <v>3</v>
      </c>
      <c r="G44" s="260"/>
      <c r="H44" s="655">
        <v>1988252.8</v>
      </c>
      <c r="I44" s="656"/>
      <c r="J44" s="655">
        <v>0</v>
      </c>
      <c r="K44" s="603"/>
      <c r="L44" s="655">
        <v>-1988252.7999999998</v>
      </c>
      <c r="M44" s="603"/>
      <c r="N44" s="655">
        <v>0</v>
      </c>
      <c r="O44" s="603"/>
      <c r="P44" s="655">
        <v>2.3283064365386963E-10</v>
      </c>
      <c r="Q44" s="603"/>
      <c r="R44" s="655">
        <v>1835310.2769230774</v>
      </c>
      <c r="T44" s="252">
        <v>33</v>
      </c>
      <c r="U44" s="312"/>
      <c r="W44" s="252" t="s">
        <v>184</v>
      </c>
      <c r="Y44" s="602"/>
      <c r="Z44" s="602"/>
      <c r="AA44" s="665">
        <v>10238423806.84</v>
      </c>
      <c r="AB44" s="666"/>
      <c r="AC44" s="665">
        <v>1690264222.3900001</v>
      </c>
      <c r="AD44" s="83"/>
      <c r="AE44" s="665">
        <v>-1198090186.8320749</v>
      </c>
      <c r="AF44" s="83"/>
      <c r="AG44" s="665">
        <v>0</v>
      </c>
      <c r="AH44" s="83"/>
      <c r="AI44" s="665">
        <v>10730597842.397926</v>
      </c>
      <c r="AJ44" s="83"/>
      <c r="AK44" s="665">
        <v>10577442044.403801</v>
      </c>
    </row>
    <row r="45" spans="1:37" ht="14.1" customHeight="1" thickTop="1" x14ac:dyDescent="0.2">
      <c r="A45" s="252">
        <v>34</v>
      </c>
      <c r="B45" s="312"/>
      <c r="C45" s="269"/>
      <c r="D45" s="282" t="s">
        <v>185</v>
      </c>
      <c r="E45" s="282"/>
      <c r="F45" s="313"/>
      <c r="H45" s="658">
        <v>263008525.30999988</v>
      </c>
      <c r="I45" s="661"/>
      <c r="J45" s="658">
        <v>183698.49000000002</v>
      </c>
      <c r="K45" s="661"/>
      <c r="L45" s="658">
        <v>-263073958.00799996</v>
      </c>
      <c r="M45" s="661"/>
      <c r="N45" s="658">
        <v>0</v>
      </c>
      <c r="O45" s="661"/>
      <c r="P45" s="658">
        <v>118265.79199997173</v>
      </c>
      <c r="Q45" s="661"/>
      <c r="R45" s="658">
        <v>242873252.93292293</v>
      </c>
      <c r="T45" s="252">
        <v>34</v>
      </c>
      <c r="U45" s="312"/>
      <c r="AA45" s="666">
        <v>0</v>
      </c>
      <c r="AB45" s="666"/>
      <c r="AC45" s="666">
        <v>0</v>
      </c>
      <c r="AD45" s="666"/>
      <c r="AE45" s="666">
        <v>0</v>
      </c>
      <c r="AF45" s="666"/>
      <c r="AG45" s="666">
        <v>0</v>
      </c>
      <c r="AH45" s="666"/>
      <c r="AI45" s="666">
        <v>0</v>
      </c>
      <c r="AJ45" s="666"/>
      <c r="AK45" s="666">
        <v>0</v>
      </c>
    </row>
    <row r="46" spans="1:37" ht="14.1" customHeight="1" x14ac:dyDescent="0.2">
      <c r="A46" s="252">
        <v>35</v>
      </c>
      <c r="B46" s="312"/>
      <c r="T46" s="252">
        <v>35</v>
      </c>
      <c r="U46" s="312"/>
    </row>
    <row r="47" spans="1:37" ht="14.1" customHeight="1" x14ac:dyDescent="0.2">
      <c r="A47" s="252">
        <v>36</v>
      </c>
      <c r="B47" s="312"/>
      <c r="C47" s="284"/>
      <c r="D47" s="282" t="s">
        <v>188</v>
      </c>
      <c r="E47" s="282"/>
      <c r="F47" s="313"/>
      <c r="G47" s="282"/>
      <c r="H47" s="661"/>
      <c r="I47" s="661"/>
      <c r="J47" s="661"/>
      <c r="K47" s="661"/>
      <c r="L47" s="661"/>
      <c r="M47" s="661"/>
      <c r="N47" s="661"/>
      <c r="O47" s="660"/>
      <c r="P47" s="661"/>
      <c r="Q47" s="660"/>
      <c r="R47" s="661"/>
      <c r="T47" s="252">
        <v>36</v>
      </c>
      <c r="U47" s="312"/>
    </row>
    <row r="48" spans="1:37" ht="14.1" customHeight="1" x14ac:dyDescent="0.2">
      <c r="A48" s="252">
        <v>37</v>
      </c>
      <c r="B48" s="314"/>
      <c r="C48" s="269">
        <v>31144</v>
      </c>
      <c r="D48" s="252" t="s">
        <v>161</v>
      </c>
      <c r="F48" s="313">
        <v>1.8000000000000003</v>
      </c>
      <c r="G48" s="260"/>
      <c r="H48" s="655">
        <v>64771779.650000013</v>
      </c>
      <c r="I48" s="656"/>
      <c r="J48" s="655">
        <v>0</v>
      </c>
      <c r="K48" s="603"/>
      <c r="L48" s="655">
        <v>0</v>
      </c>
      <c r="M48" s="603"/>
      <c r="N48" s="655">
        <v>0</v>
      </c>
      <c r="O48" s="603"/>
      <c r="P48" s="655">
        <v>64771779.650000013</v>
      </c>
      <c r="Q48" s="603"/>
      <c r="R48" s="655">
        <v>64771779.650000006</v>
      </c>
      <c r="T48" s="252">
        <v>37</v>
      </c>
      <c r="U48" s="314"/>
    </row>
    <row r="49" spans="1:37" ht="14.1" customHeight="1" x14ac:dyDescent="0.2">
      <c r="A49" s="252">
        <v>38</v>
      </c>
      <c r="B49" s="314"/>
      <c r="C49" s="269">
        <v>31244</v>
      </c>
      <c r="D49" s="252" t="s">
        <v>162</v>
      </c>
      <c r="F49" s="313">
        <v>3</v>
      </c>
      <c r="G49" s="260"/>
      <c r="H49" s="655">
        <v>288210493.83999985</v>
      </c>
      <c r="I49" s="656"/>
      <c r="J49" s="655">
        <v>4155651.0750000002</v>
      </c>
      <c r="K49" s="603"/>
      <c r="L49" s="655">
        <v>-831130.21500000008</v>
      </c>
      <c r="M49" s="603"/>
      <c r="N49" s="655">
        <v>0</v>
      </c>
      <c r="O49" s="603"/>
      <c r="P49" s="655">
        <v>291535014.69999987</v>
      </c>
      <c r="Q49" s="603"/>
      <c r="R49" s="655">
        <v>289098455.42584604</v>
      </c>
      <c r="T49" s="252">
        <v>38</v>
      </c>
      <c r="U49" s="314"/>
    </row>
    <row r="50" spans="1:37" ht="14.1" customHeight="1" x14ac:dyDescent="0.2">
      <c r="A50" s="252">
        <v>39</v>
      </c>
      <c r="B50" s="314"/>
      <c r="C50" s="269">
        <v>31444</v>
      </c>
      <c r="D50" s="252" t="s">
        <v>163</v>
      </c>
      <c r="F50" s="313">
        <v>2.8</v>
      </c>
      <c r="G50" s="260"/>
      <c r="H50" s="655">
        <v>109750739.84</v>
      </c>
      <c r="I50" s="656"/>
      <c r="J50" s="655">
        <v>4155651.0750000002</v>
      </c>
      <c r="K50" s="603"/>
      <c r="L50" s="655">
        <v>-831130.21500000008</v>
      </c>
      <c r="M50" s="603"/>
      <c r="N50" s="655">
        <v>0</v>
      </c>
      <c r="O50" s="603"/>
      <c r="P50" s="655">
        <v>113075260.7</v>
      </c>
      <c r="Q50" s="603"/>
      <c r="R50" s="655">
        <v>110638701.42584616</v>
      </c>
      <c r="T50" s="252">
        <v>39</v>
      </c>
      <c r="U50" s="314"/>
    </row>
    <row r="51" spans="1:37" ht="14.1" customHeight="1" x14ac:dyDescent="0.2">
      <c r="A51" s="252">
        <v>40</v>
      </c>
      <c r="B51" s="314"/>
      <c r="C51" s="269">
        <v>31544</v>
      </c>
      <c r="D51" s="252" t="s">
        <v>164</v>
      </c>
      <c r="F51" s="313">
        <v>3.2</v>
      </c>
      <c r="G51" s="260"/>
      <c r="H51" s="655">
        <v>51508720.270000011</v>
      </c>
      <c r="I51" s="656"/>
      <c r="J51" s="655">
        <v>0</v>
      </c>
      <c r="K51" s="603"/>
      <c r="L51" s="655">
        <v>0</v>
      </c>
      <c r="M51" s="603"/>
      <c r="N51" s="655">
        <v>0</v>
      </c>
      <c r="O51" s="603"/>
      <c r="P51" s="655">
        <v>51508720.270000011</v>
      </c>
      <c r="Q51" s="603"/>
      <c r="R51" s="655">
        <v>51508720.269999996</v>
      </c>
      <c r="T51" s="252">
        <v>40</v>
      </c>
      <c r="U51" s="314"/>
    </row>
    <row r="52" spans="1:37" ht="14.1" customHeight="1" x14ac:dyDescent="0.2">
      <c r="A52" s="252">
        <v>41</v>
      </c>
      <c r="B52" s="314"/>
      <c r="C52" s="269">
        <v>31644</v>
      </c>
      <c r="D52" s="252" t="s">
        <v>165</v>
      </c>
      <c r="F52" s="313">
        <v>2.5</v>
      </c>
      <c r="G52" s="260"/>
      <c r="H52" s="655">
        <v>5865811.79</v>
      </c>
      <c r="I52" s="656"/>
      <c r="J52" s="655">
        <v>0</v>
      </c>
      <c r="K52" s="603"/>
      <c r="L52" s="655">
        <v>0</v>
      </c>
      <c r="M52" s="603"/>
      <c r="N52" s="655">
        <v>0</v>
      </c>
      <c r="O52" s="603"/>
      <c r="P52" s="655">
        <v>5865811.79</v>
      </c>
      <c r="Q52" s="603"/>
      <c r="R52" s="655">
        <v>5865811.790000001</v>
      </c>
      <c r="T52" s="252">
        <v>41</v>
      </c>
      <c r="U52" s="314"/>
    </row>
    <row r="53" spans="1:37" ht="14.1" customHeight="1" x14ac:dyDescent="0.2">
      <c r="A53" s="252">
        <v>42</v>
      </c>
      <c r="B53" s="314"/>
      <c r="D53" s="282" t="s">
        <v>189</v>
      </c>
      <c r="E53" s="282"/>
      <c r="F53" s="313"/>
      <c r="H53" s="658">
        <v>520107545.38999993</v>
      </c>
      <c r="I53" s="661"/>
      <c r="J53" s="658">
        <v>8311302.1500000004</v>
      </c>
      <c r="K53" s="661"/>
      <c r="L53" s="658">
        <v>-1662260.4300000002</v>
      </c>
      <c r="M53" s="661"/>
      <c r="N53" s="658">
        <v>0</v>
      </c>
      <c r="O53" s="661"/>
      <c r="P53" s="658">
        <v>526756587.10999995</v>
      </c>
      <c r="Q53" s="661"/>
      <c r="R53" s="658">
        <v>521883468.56169224</v>
      </c>
      <c r="T53" s="252">
        <v>42</v>
      </c>
      <c r="U53" s="314"/>
    </row>
    <row r="54" spans="1:37" ht="14.1" customHeight="1" x14ac:dyDescent="0.2">
      <c r="A54" s="252">
        <v>43</v>
      </c>
      <c r="B54" s="314"/>
      <c r="T54" s="252">
        <v>43</v>
      </c>
      <c r="U54" s="314"/>
    </row>
    <row r="55" spans="1:37" ht="14.1" customHeight="1" thickBot="1" x14ac:dyDescent="0.25">
      <c r="A55" s="252">
        <v>44</v>
      </c>
      <c r="B55" s="667" t="s">
        <v>186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T55" s="252">
        <v>44</v>
      </c>
      <c r="U55" s="667" t="s">
        <v>186</v>
      </c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</row>
    <row r="56" spans="1:37" ht="14.1" customHeight="1" x14ac:dyDescent="0.2">
      <c r="A56" s="261" t="s">
        <v>60</v>
      </c>
      <c r="P56" s="252" t="s">
        <v>60</v>
      </c>
    </row>
    <row r="57" spans="1:37" ht="14.1" customHeight="1" thickBot="1" x14ac:dyDescent="0.25">
      <c r="A57" s="264" t="s">
        <v>127</v>
      </c>
      <c r="B57" s="264"/>
      <c r="C57" s="264"/>
      <c r="D57" s="264"/>
      <c r="E57" s="264"/>
      <c r="F57" s="264"/>
      <c r="G57" s="264" t="s">
        <v>128</v>
      </c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 t="s">
        <v>840</v>
      </c>
    </row>
    <row r="58" spans="1:37" ht="14.1" customHeight="1" x14ac:dyDescent="0.2">
      <c r="A58" s="252" t="s">
        <v>129</v>
      </c>
      <c r="B58" s="285"/>
      <c r="E58" s="260" t="s">
        <v>130</v>
      </c>
      <c r="F58" s="252" t="s">
        <v>131</v>
      </c>
      <c r="J58" s="286"/>
      <c r="K58" s="286"/>
      <c r="M58" s="286"/>
      <c r="N58" s="286"/>
      <c r="O58" s="286" t="s">
        <v>187</v>
      </c>
      <c r="R58" s="261"/>
    </row>
    <row r="59" spans="1:37" ht="14.1" customHeight="1" x14ac:dyDescent="0.2">
      <c r="B59" s="285"/>
      <c r="F59" s="252" t="s">
        <v>133</v>
      </c>
      <c r="J59" s="260"/>
      <c r="K59" s="261"/>
      <c r="N59" s="260"/>
      <c r="O59" s="260" t="s">
        <v>123</v>
      </c>
      <c r="P59" s="261" t="s">
        <v>1361</v>
      </c>
      <c r="R59" s="260"/>
      <c r="AA59" s="602"/>
    </row>
    <row r="60" spans="1:37" ht="14.1" customHeight="1" x14ac:dyDescent="0.2">
      <c r="A60" s="252" t="s">
        <v>134</v>
      </c>
      <c r="B60" s="285"/>
      <c r="F60" s="252" t="s">
        <v>123</v>
      </c>
      <c r="J60" s="260"/>
      <c r="K60" s="261"/>
      <c r="L60" s="260"/>
      <c r="O60" s="260" t="s">
        <v>123</v>
      </c>
      <c r="P60" s="261">
        <v>0</v>
      </c>
      <c r="R60" s="260"/>
    </row>
    <row r="61" spans="1:37" ht="14.1" customHeight="1" x14ac:dyDescent="0.2">
      <c r="B61" s="285"/>
      <c r="F61" s="252" t="s">
        <v>123</v>
      </c>
      <c r="J61" s="260"/>
      <c r="K61" s="261"/>
      <c r="L61" s="260"/>
      <c r="O61" s="260" t="s">
        <v>123</v>
      </c>
      <c r="P61" s="261"/>
      <c r="R61" s="260"/>
    </row>
    <row r="62" spans="1:37" ht="14.1" customHeight="1" thickBot="1" x14ac:dyDescent="0.25">
      <c r="A62" s="264" t="s">
        <v>135</v>
      </c>
      <c r="B62" s="287"/>
      <c r="C62" s="264"/>
      <c r="D62" s="264"/>
      <c r="E62" s="264"/>
      <c r="F62" s="264" t="s">
        <v>123</v>
      </c>
      <c r="G62" s="264"/>
      <c r="H62" s="266"/>
      <c r="I62" s="264"/>
      <c r="J62" s="264"/>
      <c r="K62" s="264"/>
      <c r="L62" s="264"/>
      <c r="M62" s="264"/>
      <c r="N62" s="264"/>
      <c r="O62" s="264"/>
      <c r="P62" s="288"/>
      <c r="Q62" s="264"/>
      <c r="R62" s="264"/>
    </row>
    <row r="63" spans="1:37" ht="14.1" customHeight="1" x14ac:dyDescent="0.2"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</row>
    <row r="64" spans="1:37" ht="14.1" customHeight="1" x14ac:dyDescent="0.2">
      <c r="C64" s="267" t="s">
        <v>136</v>
      </c>
      <c r="D64" s="267" t="s">
        <v>137</v>
      </c>
      <c r="E64" s="267"/>
      <c r="F64" s="267" t="s">
        <v>138</v>
      </c>
      <c r="G64" s="267"/>
      <c r="H64" s="267" t="s">
        <v>139</v>
      </c>
      <c r="I64" s="267"/>
      <c r="J64" s="269" t="s">
        <v>140</v>
      </c>
      <c r="K64" s="269"/>
      <c r="L64" s="267" t="s">
        <v>141</v>
      </c>
      <c r="M64" s="267"/>
      <c r="N64" s="267" t="s">
        <v>142</v>
      </c>
      <c r="O64" s="267"/>
      <c r="P64" s="267" t="s">
        <v>143</v>
      </c>
      <c r="Q64" s="267"/>
      <c r="R64" s="267" t="s">
        <v>144</v>
      </c>
    </row>
    <row r="65" spans="1:21" ht="14.1" customHeight="1" x14ac:dyDescent="0.2">
      <c r="C65" s="269" t="s">
        <v>145</v>
      </c>
      <c r="D65" s="269" t="s">
        <v>145</v>
      </c>
      <c r="F65" s="269" t="s">
        <v>6</v>
      </c>
      <c r="G65" s="269"/>
      <c r="H65" s="267" t="s">
        <v>48</v>
      </c>
      <c r="I65" s="269"/>
      <c r="J65" s="267" t="s">
        <v>40</v>
      </c>
      <c r="K65" s="269"/>
      <c r="L65" s="269" t="s">
        <v>40</v>
      </c>
      <c r="M65" s="269"/>
      <c r="P65" s="269" t="s">
        <v>48</v>
      </c>
      <c r="R65" s="269"/>
    </row>
    <row r="66" spans="1:21" ht="14.1" customHeight="1" x14ac:dyDescent="0.2">
      <c r="A66" s="252" t="s">
        <v>146</v>
      </c>
      <c r="B66" s="269"/>
      <c r="C66" s="269" t="s">
        <v>147</v>
      </c>
      <c r="D66" s="269" t="s">
        <v>147</v>
      </c>
      <c r="E66" s="267"/>
      <c r="F66" s="269" t="s">
        <v>148</v>
      </c>
      <c r="G66" s="269"/>
      <c r="H66" s="269" t="s">
        <v>149</v>
      </c>
      <c r="I66" s="269"/>
      <c r="J66" s="269" t="s">
        <v>48</v>
      </c>
      <c r="K66" s="267"/>
      <c r="L66" s="269" t="s">
        <v>48</v>
      </c>
      <c r="M66" s="261"/>
      <c r="N66" s="269" t="s">
        <v>150</v>
      </c>
      <c r="O66" s="267"/>
      <c r="P66" s="267" t="s">
        <v>149</v>
      </c>
      <c r="Q66" s="267"/>
      <c r="R66" s="269" t="s">
        <v>151</v>
      </c>
    </row>
    <row r="67" spans="1:21" ht="14.1" customHeight="1" thickBot="1" x14ac:dyDescent="0.25">
      <c r="A67" s="264" t="s">
        <v>152</v>
      </c>
      <c r="B67" s="266"/>
      <c r="C67" s="266" t="s">
        <v>52</v>
      </c>
      <c r="D67" s="266" t="s">
        <v>153</v>
      </c>
      <c r="E67" s="266"/>
      <c r="F67" s="270" t="s">
        <v>57</v>
      </c>
      <c r="G67" s="270"/>
      <c r="H67" s="270" t="s">
        <v>154</v>
      </c>
      <c r="I67" s="271"/>
      <c r="J67" s="270" t="s">
        <v>155</v>
      </c>
      <c r="K67" s="271"/>
      <c r="L67" s="271" t="s">
        <v>156</v>
      </c>
      <c r="M67" s="272"/>
      <c r="N67" s="272" t="s">
        <v>157</v>
      </c>
      <c r="O67" s="272"/>
      <c r="P67" s="272" t="s">
        <v>158</v>
      </c>
      <c r="Q67" s="272"/>
      <c r="R67" s="272" t="s">
        <v>3</v>
      </c>
    </row>
    <row r="68" spans="1:21" ht="14.1" customHeight="1" x14ac:dyDescent="0.2">
      <c r="A68" s="252">
        <v>1</v>
      </c>
      <c r="B68" s="269"/>
    </row>
    <row r="69" spans="1:21" ht="14.1" customHeight="1" x14ac:dyDescent="0.2">
      <c r="A69" s="252">
        <v>2</v>
      </c>
      <c r="B69" s="312"/>
      <c r="D69" s="278" t="s">
        <v>190</v>
      </c>
      <c r="E69" s="282"/>
      <c r="F69" s="282"/>
      <c r="G69" s="282"/>
    </row>
    <row r="70" spans="1:21" ht="14.1" customHeight="1" x14ac:dyDescent="0.2">
      <c r="A70" s="252">
        <v>3</v>
      </c>
      <c r="B70" s="312"/>
      <c r="C70" s="269">
        <v>31145</v>
      </c>
      <c r="D70" s="252" t="s">
        <v>161</v>
      </c>
      <c r="F70" s="313">
        <v>2</v>
      </c>
      <c r="G70" s="260"/>
      <c r="H70" s="655">
        <v>24499660.690000013</v>
      </c>
      <c r="I70" s="656"/>
      <c r="J70" s="655">
        <v>0</v>
      </c>
      <c r="K70" s="603"/>
      <c r="L70" s="655">
        <v>0</v>
      </c>
      <c r="M70" s="603"/>
      <c r="N70" s="655">
        <v>0</v>
      </c>
      <c r="O70" s="603"/>
      <c r="P70" s="655">
        <v>24499660.690000013</v>
      </c>
      <c r="Q70" s="603"/>
      <c r="R70" s="655">
        <v>24499660.690000005</v>
      </c>
      <c r="U70" s="283"/>
    </row>
    <row r="71" spans="1:21" ht="14.1" customHeight="1" x14ac:dyDescent="0.2">
      <c r="A71" s="252">
        <v>4</v>
      </c>
      <c r="B71" s="312"/>
      <c r="C71" s="269">
        <v>31245</v>
      </c>
      <c r="D71" s="252" t="s">
        <v>162</v>
      </c>
      <c r="F71" s="313">
        <v>2.5</v>
      </c>
      <c r="G71" s="260"/>
      <c r="H71" s="655">
        <v>161429553.99999997</v>
      </c>
      <c r="I71" s="656"/>
      <c r="J71" s="655">
        <v>11166475.035</v>
      </c>
      <c r="K71" s="603"/>
      <c r="L71" s="655">
        <v>-2233295.0070000002</v>
      </c>
      <c r="M71" s="603"/>
      <c r="N71" s="655">
        <v>0</v>
      </c>
      <c r="O71" s="603"/>
      <c r="P71" s="655">
        <v>170362734.02799997</v>
      </c>
      <c r="Q71" s="603"/>
      <c r="R71" s="655">
        <v>165964018.55630764</v>
      </c>
      <c r="U71" s="283"/>
    </row>
    <row r="72" spans="1:21" ht="14.1" customHeight="1" x14ac:dyDescent="0.2">
      <c r="A72" s="252">
        <v>5</v>
      </c>
      <c r="B72" s="312"/>
      <c r="C72" s="269">
        <v>31545</v>
      </c>
      <c r="D72" s="252" t="s">
        <v>164</v>
      </c>
      <c r="F72" s="313">
        <v>3.1</v>
      </c>
      <c r="G72" s="260"/>
      <c r="H72" s="655">
        <v>25708504.089999996</v>
      </c>
      <c r="I72" s="656"/>
      <c r="J72" s="655">
        <v>11166475.035</v>
      </c>
      <c r="K72" s="603"/>
      <c r="L72" s="655">
        <v>-2233295.0070000002</v>
      </c>
      <c r="M72" s="603"/>
      <c r="N72" s="655">
        <v>0</v>
      </c>
      <c r="O72" s="603"/>
      <c r="P72" s="655">
        <v>34641684.118000001</v>
      </c>
      <c r="Q72" s="603"/>
      <c r="R72" s="655">
        <v>30242968.646307684</v>
      </c>
      <c r="U72" s="283"/>
    </row>
    <row r="73" spans="1:21" ht="14.1" customHeight="1" x14ac:dyDescent="0.2">
      <c r="A73" s="252">
        <v>6</v>
      </c>
      <c r="B73" s="312"/>
      <c r="C73" s="269">
        <v>31645</v>
      </c>
      <c r="D73" s="252" t="s">
        <v>165</v>
      </c>
      <c r="F73" s="313">
        <v>3.2</v>
      </c>
      <c r="G73" s="260"/>
      <c r="H73" s="655">
        <v>672913.55</v>
      </c>
      <c r="I73" s="656"/>
      <c r="J73" s="655">
        <v>0</v>
      </c>
      <c r="K73" s="603"/>
      <c r="L73" s="655">
        <v>0</v>
      </c>
      <c r="M73" s="603"/>
      <c r="N73" s="655">
        <v>0</v>
      </c>
      <c r="O73" s="603"/>
      <c r="P73" s="655">
        <v>672913.55</v>
      </c>
      <c r="Q73" s="603"/>
      <c r="R73" s="655">
        <v>672913.54999999993</v>
      </c>
      <c r="U73" s="283"/>
    </row>
    <row r="74" spans="1:21" ht="14.1" customHeight="1" x14ac:dyDescent="0.2">
      <c r="A74" s="252">
        <v>7</v>
      </c>
      <c r="B74" s="269"/>
      <c r="C74" s="269"/>
      <c r="D74" s="278" t="s">
        <v>191</v>
      </c>
      <c r="E74" s="282"/>
      <c r="F74" s="313"/>
      <c r="H74" s="658">
        <v>212310632.33000001</v>
      </c>
      <c r="I74" s="661"/>
      <c r="J74" s="658">
        <v>22332950.07</v>
      </c>
      <c r="K74" s="661"/>
      <c r="L74" s="658">
        <v>-4466590.0140000004</v>
      </c>
      <c r="M74" s="661"/>
      <c r="N74" s="658">
        <v>0</v>
      </c>
      <c r="O74" s="661"/>
      <c r="P74" s="658">
        <v>230176992.38600001</v>
      </c>
      <c r="Q74" s="661"/>
      <c r="R74" s="658">
        <v>221379561.44261533</v>
      </c>
      <c r="U74" s="283"/>
    </row>
    <row r="75" spans="1:21" ht="14.1" customHeight="1" x14ac:dyDescent="0.2">
      <c r="A75" s="252">
        <v>8</v>
      </c>
      <c r="B75" s="269"/>
      <c r="U75" s="283"/>
    </row>
    <row r="76" spans="1:21" ht="14.1" customHeight="1" x14ac:dyDescent="0.2">
      <c r="A76" s="252">
        <v>9</v>
      </c>
      <c r="B76" s="312"/>
      <c r="F76" s="31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U76" s="283"/>
    </row>
    <row r="77" spans="1:21" ht="14.1" customHeight="1" x14ac:dyDescent="0.2">
      <c r="A77" s="252">
        <v>10</v>
      </c>
      <c r="B77" s="312"/>
      <c r="C77" s="269"/>
      <c r="D77" s="282" t="s">
        <v>192</v>
      </c>
      <c r="E77" s="282"/>
      <c r="F77" s="313"/>
      <c r="G77" s="282"/>
      <c r="H77" s="661"/>
      <c r="I77" s="661"/>
      <c r="J77" s="661"/>
      <c r="K77" s="661"/>
      <c r="L77" s="661"/>
      <c r="M77" s="661"/>
      <c r="N77" s="661"/>
      <c r="O77" s="661"/>
      <c r="P77" s="661"/>
      <c r="Q77" s="661"/>
      <c r="R77" s="661"/>
      <c r="U77" s="283"/>
    </row>
    <row r="78" spans="1:21" ht="14.1" customHeight="1" x14ac:dyDescent="0.2">
      <c r="A78" s="252">
        <v>11</v>
      </c>
      <c r="B78" s="312"/>
      <c r="C78" s="269">
        <v>31146</v>
      </c>
      <c r="D78" s="252" t="s">
        <v>161</v>
      </c>
      <c r="F78" s="313">
        <v>2.9</v>
      </c>
      <c r="G78" s="260"/>
      <c r="H78" s="655">
        <v>12657052.740000002</v>
      </c>
      <c r="I78" s="656"/>
      <c r="J78" s="655">
        <v>0</v>
      </c>
      <c r="K78" s="603"/>
      <c r="L78" s="655">
        <v>-5373971.25</v>
      </c>
      <c r="M78" s="603"/>
      <c r="N78" s="655">
        <v>0</v>
      </c>
      <c r="O78" s="603"/>
      <c r="P78" s="655">
        <v>7283081.4900000021</v>
      </c>
      <c r="Q78" s="603"/>
      <c r="R78" s="655">
        <v>12243670.336153852</v>
      </c>
      <c r="U78" s="283"/>
    </row>
    <row r="79" spans="1:21" ht="14.1" customHeight="1" x14ac:dyDescent="0.2">
      <c r="A79" s="252">
        <v>12</v>
      </c>
      <c r="B79" s="312"/>
      <c r="C79" s="269">
        <v>31246</v>
      </c>
      <c r="D79" s="252" t="s">
        <v>162</v>
      </c>
      <c r="F79" s="313">
        <v>3.3000000000000003</v>
      </c>
      <c r="G79" s="260"/>
      <c r="H79" s="655">
        <v>55036213.859999992</v>
      </c>
      <c r="I79" s="656"/>
      <c r="J79" s="655">
        <v>0</v>
      </c>
      <c r="K79" s="603"/>
      <c r="L79" s="655">
        <v>-38578122.859999999</v>
      </c>
      <c r="M79" s="603"/>
      <c r="N79" s="655">
        <v>0</v>
      </c>
      <c r="O79" s="603"/>
      <c r="P79" s="655">
        <v>16458090.999999993</v>
      </c>
      <c r="Q79" s="603"/>
      <c r="R79" s="655">
        <v>52068665.947692312</v>
      </c>
      <c r="U79" s="283"/>
    </row>
    <row r="80" spans="1:21" ht="14.1" customHeight="1" x14ac:dyDescent="0.2">
      <c r="A80" s="252">
        <v>13</v>
      </c>
      <c r="B80" s="312"/>
      <c r="C80" s="269">
        <v>31546</v>
      </c>
      <c r="D80" s="252" t="s">
        <v>164</v>
      </c>
      <c r="F80" s="313">
        <v>3.5000000000000004</v>
      </c>
      <c r="G80" s="260"/>
      <c r="H80" s="655">
        <v>9765956.1899999995</v>
      </c>
      <c r="I80" s="656"/>
      <c r="J80" s="655">
        <v>0</v>
      </c>
      <c r="K80" s="603"/>
      <c r="L80" s="655">
        <v>-9453945.7800000012</v>
      </c>
      <c r="M80" s="603"/>
      <c r="N80" s="655">
        <v>0</v>
      </c>
      <c r="O80" s="603"/>
      <c r="P80" s="655">
        <v>312010.40999999829</v>
      </c>
      <c r="Q80" s="603"/>
      <c r="R80" s="655">
        <v>9038729.5915384609</v>
      </c>
      <c r="U80" s="283"/>
    </row>
    <row r="81" spans="1:21" ht="14.1" customHeight="1" x14ac:dyDescent="0.2">
      <c r="A81" s="252">
        <v>14</v>
      </c>
      <c r="B81" s="312"/>
      <c r="C81" s="269">
        <v>31646</v>
      </c>
      <c r="D81" s="252" t="s">
        <v>165</v>
      </c>
      <c r="F81" s="313">
        <v>2.9</v>
      </c>
      <c r="G81" s="260"/>
      <c r="H81" s="655">
        <v>1725496.47</v>
      </c>
      <c r="I81" s="656"/>
      <c r="J81" s="655">
        <v>0</v>
      </c>
      <c r="K81" s="603"/>
      <c r="L81" s="655">
        <v>-703562.07000000007</v>
      </c>
      <c r="M81" s="603"/>
      <c r="N81" s="655">
        <v>0</v>
      </c>
      <c r="O81" s="603"/>
      <c r="P81" s="655">
        <v>1021934.3999999999</v>
      </c>
      <c r="Q81" s="603"/>
      <c r="R81" s="655">
        <v>1671376.3107692306</v>
      </c>
      <c r="U81" s="283"/>
    </row>
    <row r="82" spans="1:21" ht="14.1" customHeight="1" x14ac:dyDescent="0.2">
      <c r="A82" s="252">
        <v>15</v>
      </c>
      <c r="B82" s="312"/>
      <c r="C82" s="269"/>
      <c r="D82" s="282" t="s">
        <v>193</v>
      </c>
      <c r="E82" s="282"/>
      <c r="F82" s="313"/>
      <c r="H82" s="658">
        <v>79184719.25999999</v>
      </c>
      <c r="I82" s="661"/>
      <c r="J82" s="658">
        <v>0</v>
      </c>
      <c r="K82" s="661"/>
      <c r="L82" s="658">
        <v>-54109601.960000001</v>
      </c>
      <c r="M82" s="661"/>
      <c r="N82" s="658">
        <v>0</v>
      </c>
      <c r="O82" s="661"/>
      <c r="P82" s="658">
        <v>25075117.29999999</v>
      </c>
      <c r="Q82" s="661"/>
      <c r="R82" s="658">
        <v>75022442.186153859</v>
      </c>
      <c r="U82" s="283"/>
    </row>
    <row r="83" spans="1:21" ht="14.1" customHeight="1" x14ac:dyDescent="0.2">
      <c r="A83" s="252">
        <v>16</v>
      </c>
      <c r="B83" s="312"/>
      <c r="U83" s="283"/>
    </row>
    <row r="84" spans="1:21" ht="14.1" customHeight="1" x14ac:dyDescent="0.2">
      <c r="A84" s="252">
        <v>17</v>
      </c>
      <c r="B84" s="312"/>
      <c r="U84" s="283"/>
    </row>
    <row r="85" spans="1:21" ht="14.1" customHeight="1" x14ac:dyDescent="0.2">
      <c r="A85" s="252">
        <v>18</v>
      </c>
      <c r="B85" s="312"/>
      <c r="C85" s="289"/>
      <c r="D85" s="278" t="s">
        <v>194</v>
      </c>
      <c r="F85" s="313"/>
      <c r="H85" s="668"/>
      <c r="I85" s="661"/>
      <c r="J85" s="668"/>
      <c r="K85" s="661"/>
      <c r="L85" s="668"/>
      <c r="M85" s="661"/>
      <c r="N85" s="668"/>
      <c r="O85" s="661"/>
      <c r="P85" s="668"/>
      <c r="Q85" s="661"/>
      <c r="R85" s="668"/>
      <c r="U85" s="283"/>
    </row>
    <row r="86" spans="1:21" ht="14.1" customHeight="1" x14ac:dyDescent="0.2">
      <c r="A86" s="252">
        <v>19</v>
      </c>
      <c r="B86" s="312"/>
      <c r="C86" s="269">
        <v>31151</v>
      </c>
      <c r="D86" s="252" t="s">
        <v>161</v>
      </c>
      <c r="F86" s="313">
        <v>4.0999999999999996</v>
      </c>
      <c r="G86" s="260"/>
      <c r="H86" s="655">
        <v>23136622.989999998</v>
      </c>
      <c r="I86" s="656"/>
      <c r="J86" s="655">
        <v>0</v>
      </c>
      <c r="K86" s="603"/>
      <c r="L86" s="655">
        <v>-22964540.84</v>
      </c>
      <c r="M86" s="603"/>
      <c r="N86" s="655">
        <v>0</v>
      </c>
      <c r="O86" s="603"/>
      <c r="P86" s="655">
        <v>172082.14999999851</v>
      </c>
      <c r="Q86" s="603"/>
      <c r="R86" s="655">
        <v>21370119.848461542</v>
      </c>
      <c r="U86" s="283"/>
    </row>
    <row r="87" spans="1:21" ht="14.1" customHeight="1" x14ac:dyDescent="0.2">
      <c r="A87" s="252">
        <v>20</v>
      </c>
      <c r="B87" s="312"/>
      <c r="C87" s="269">
        <v>31251</v>
      </c>
      <c r="D87" s="252" t="s">
        <v>162</v>
      </c>
      <c r="F87" s="313">
        <v>4.3</v>
      </c>
      <c r="G87" s="260"/>
      <c r="H87" s="655">
        <v>46985092.910000004</v>
      </c>
      <c r="I87" s="656"/>
      <c r="J87" s="655">
        <v>0</v>
      </c>
      <c r="K87" s="603"/>
      <c r="L87" s="655">
        <v>-39270758.749999985</v>
      </c>
      <c r="M87" s="603"/>
      <c r="N87" s="655">
        <v>0</v>
      </c>
      <c r="O87" s="603"/>
      <c r="P87" s="655">
        <v>7714334.1600000188</v>
      </c>
      <c r="Q87" s="603"/>
      <c r="R87" s="655">
        <v>43964265.313846163</v>
      </c>
      <c r="U87" s="283"/>
    </row>
    <row r="88" spans="1:21" ht="14.1" customHeight="1" x14ac:dyDescent="0.2">
      <c r="A88" s="252">
        <v>21</v>
      </c>
      <c r="B88" s="312"/>
      <c r="C88" s="269">
        <v>31551</v>
      </c>
      <c r="D88" s="252" t="s">
        <v>164</v>
      </c>
      <c r="F88" s="313">
        <v>4.8</v>
      </c>
      <c r="G88" s="260"/>
      <c r="H88" s="655">
        <v>14576030.57</v>
      </c>
      <c r="I88" s="656"/>
      <c r="J88" s="655">
        <v>0</v>
      </c>
      <c r="K88" s="603"/>
      <c r="L88" s="655">
        <v>-9743999.5199999958</v>
      </c>
      <c r="M88" s="603"/>
      <c r="N88" s="655">
        <v>0</v>
      </c>
      <c r="O88" s="603"/>
      <c r="P88" s="655">
        <v>4832031.0500000045</v>
      </c>
      <c r="Q88" s="603"/>
      <c r="R88" s="655">
        <v>13826492.145384612</v>
      </c>
      <c r="U88" s="283"/>
    </row>
    <row r="89" spans="1:21" ht="14.1" customHeight="1" x14ac:dyDescent="0.2">
      <c r="A89" s="252">
        <v>22</v>
      </c>
      <c r="B89" s="312"/>
      <c r="C89" s="269">
        <v>31651</v>
      </c>
      <c r="D89" s="252" t="s">
        <v>195</v>
      </c>
      <c r="F89" s="313">
        <v>4.0999999999999996</v>
      </c>
      <c r="G89" s="260"/>
      <c r="H89" s="655">
        <v>879814.74</v>
      </c>
      <c r="I89" s="656"/>
      <c r="J89" s="655">
        <v>0</v>
      </c>
      <c r="K89" s="603"/>
      <c r="L89" s="655">
        <v>-879814.74000000011</v>
      </c>
      <c r="M89" s="603"/>
      <c r="N89" s="655">
        <v>0</v>
      </c>
      <c r="O89" s="603"/>
      <c r="P89" s="655">
        <v>-1.1641532182693481E-10</v>
      </c>
      <c r="Q89" s="603"/>
      <c r="R89" s="655">
        <v>812136.68307692313</v>
      </c>
      <c r="U89" s="283"/>
    </row>
    <row r="90" spans="1:21" ht="14.1" customHeight="1" x14ac:dyDescent="0.2">
      <c r="A90" s="252">
        <v>23</v>
      </c>
      <c r="B90" s="312"/>
      <c r="C90" s="269"/>
      <c r="D90" s="279" t="s">
        <v>196</v>
      </c>
      <c r="H90" s="658">
        <v>85577561.209999993</v>
      </c>
      <c r="I90" s="661"/>
      <c r="J90" s="658">
        <v>0</v>
      </c>
      <c r="K90" s="661"/>
      <c r="L90" s="658">
        <v>-72859113.849999979</v>
      </c>
      <c r="M90" s="661"/>
      <c r="N90" s="658">
        <v>0</v>
      </c>
      <c r="O90" s="661"/>
      <c r="P90" s="658">
        <v>12718447.360000022</v>
      </c>
      <c r="Q90" s="661"/>
      <c r="R90" s="658">
        <v>79973013.990769237</v>
      </c>
      <c r="U90" s="283"/>
    </row>
    <row r="91" spans="1:21" ht="14.1" customHeight="1" x14ac:dyDescent="0.2">
      <c r="A91" s="252">
        <v>24</v>
      </c>
      <c r="B91" s="312"/>
      <c r="U91" s="283"/>
    </row>
    <row r="92" spans="1:21" ht="14.1" customHeight="1" x14ac:dyDescent="0.2">
      <c r="A92" s="252">
        <v>25</v>
      </c>
      <c r="B92" s="312"/>
      <c r="U92" s="283"/>
    </row>
    <row r="93" spans="1:21" ht="14.1" customHeight="1" x14ac:dyDescent="0.2">
      <c r="A93" s="252">
        <v>26</v>
      </c>
      <c r="B93" s="312"/>
      <c r="C93" s="289"/>
      <c r="D93" s="278" t="s">
        <v>197</v>
      </c>
      <c r="E93" s="282"/>
      <c r="F93" s="313"/>
      <c r="G93" s="282"/>
      <c r="H93" s="661"/>
      <c r="I93" s="661"/>
      <c r="J93" s="661"/>
      <c r="K93" s="661"/>
      <c r="L93" s="661"/>
      <c r="M93" s="661"/>
      <c r="N93" s="660"/>
      <c r="O93" s="660"/>
      <c r="P93" s="660"/>
      <c r="Q93" s="660"/>
      <c r="R93" s="661"/>
      <c r="U93" s="283"/>
    </row>
    <row r="94" spans="1:21" ht="14.1" customHeight="1" x14ac:dyDescent="0.2">
      <c r="A94" s="252">
        <v>27</v>
      </c>
      <c r="B94" s="312"/>
      <c r="C94" s="269">
        <v>31152</v>
      </c>
      <c r="D94" s="252" t="s">
        <v>161</v>
      </c>
      <c r="F94" s="313">
        <v>3.5000000000000004</v>
      </c>
      <c r="G94" s="260"/>
      <c r="H94" s="655">
        <v>25208869.300000001</v>
      </c>
      <c r="I94" s="656"/>
      <c r="J94" s="655">
        <v>0</v>
      </c>
      <c r="K94" s="603"/>
      <c r="L94" s="655">
        <v>-25208869.299999997</v>
      </c>
      <c r="M94" s="603"/>
      <c r="N94" s="655">
        <v>0</v>
      </c>
      <c r="O94" s="603"/>
      <c r="P94" s="655">
        <v>3.7252902984619141E-9</v>
      </c>
      <c r="Q94" s="603"/>
      <c r="R94" s="655">
        <v>23269725.507692315</v>
      </c>
      <c r="U94" s="283"/>
    </row>
    <row r="95" spans="1:21" ht="14.1" customHeight="1" x14ac:dyDescent="0.2">
      <c r="A95" s="252">
        <v>28</v>
      </c>
      <c r="B95" s="312"/>
      <c r="C95" s="269">
        <v>31252</v>
      </c>
      <c r="D95" s="252" t="s">
        <v>162</v>
      </c>
      <c r="F95" s="313">
        <v>4</v>
      </c>
      <c r="G95" s="260"/>
      <c r="H95" s="655">
        <v>51260286.850000009</v>
      </c>
      <c r="I95" s="656"/>
      <c r="J95" s="655">
        <v>0</v>
      </c>
      <c r="K95" s="603"/>
      <c r="L95" s="655">
        <v>-51260286.849999949</v>
      </c>
      <c r="M95" s="603"/>
      <c r="N95" s="655">
        <v>0</v>
      </c>
      <c r="O95" s="603"/>
      <c r="P95" s="655">
        <v>5.9604644775390625E-8</v>
      </c>
      <c r="Q95" s="603"/>
      <c r="R95" s="655">
        <v>47317187.861538485</v>
      </c>
      <c r="U95" s="283"/>
    </row>
    <row r="96" spans="1:21" ht="14.1" customHeight="1" x14ac:dyDescent="0.2">
      <c r="A96" s="252">
        <v>29</v>
      </c>
      <c r="B96" s="312"/>
      <c r="C96" s="269">
        <v>31552</v>
      </c>
      <c r="D96" s="252" t="s">
        <v>164</v>
      </c>
      <c r="F96" s="313">
        <v>4.0999999999999996</v>
      </c>
      <c r="G96" s="260"/>
      <c r="H96" s="655">
        <v>15951072.529999997</v>
      </c>
      <c r="I96" s="656"/>
      <c r="J96" s="655">
        <v>0</v>
      </c>
      <c r="K96" s="603"/>
      <c r="L96" s="655">
        <v>-15951072.530000025</v>
      </c>
      <c r="M96" s="603"/>
      <c r="N96" s="655">
        <v>0</v>
      </c>
      <c r="O96" s="603"/>
      <c r="P96" s="655">
        <v>-2.7939677238464355E-8</v>
      </c>
      <c r="Q96" s="603"/>
      <c r="R96" s="655">
        <v>14724066.950769227</v>
      </c>
      <c r="U96" s="283"/>
    </row>
    <row r="97" spans="1:21" ht="14.1" customHeight="1" x14ac:dyDescent="0.2">
      <c r="A97" s="252">
        <v>30</v>
      </c>
      <c r="B97" s="312"/>
      <c r="C97" s="269">
        <v>31652</v>
      </c>
      <c r="D97" s="252" t="s">
        <v>165</v>
      </c>
      <c r="F97" s="313">
        <v>3.7000000000000006</v>
      </c>
      <c r="G97" s="260"/>
      <c r="H97" s="655">
        <v>958615.89</v>
      </c>
      <c r="I97" s="656"/>
      <c r="J97" s="655">
        <v>0</v>
      </c>
      <c r="K97" s="603"/>
      <c r="L97" s="655">
        <v>-958615.89000000013</v>
      </c>
      <c r="M97" s="603"/>
      <c r="N97" s="655">
        <v>0</v>
      </c>
      <c r="O97" s="603"/>
      <c r="P97" s="655">
        <v>-1.1641532182693481E-10</v>
      </c>
      <c r="Q97" s="603"/>
      <c r="R97" s="655">
        <v>884876.20615384623</v>
      </c>
      <c r="U97" s="283"/>
    </row>
    <row r="98" spans="1:21" ht="14.1" customHeight="1" x14ac:dyDescent="0.2">
      <c r="A98" s="252">
        <v>31</v>
      </c>
      <c r="B98" s="312"/>
      <c r="D98" s="278" t="s">
        <v>198</v>
      </c>
      <c r="E98" s="282"/>
      <c r="F98" s="313"/>
      <c r="H98" s="658">
        <v>93378844.570000008</v>
      </c>
      <c r="I98" s="661"/>
      <c r="J98" s="658">
        <v>0</v>
      </c>
      <c r="K98" s="661"/>
      <c r="L98" s="658">
        <v>-93378844.569999978</v>
      </c>
      <c r="M98" s="661"/>
      <c r="N98" s="658">
        <v>0</v>
      </c>
      <c r="O98" s="661"/>
      <c r="P98" s="658">
        <v>3.5273842513561249E-8</v>
      </c>
      <c r="Q98" s="661"/>
      <c r="R98" s="658">
        <v>86195856.526153877</v>
      </c>
      <c r="U98" s="283"/>
    </row>
    <row r="99" spans="1:21" ht="14.1" customHeight="1" x14ac:dyDescent="0.2">
      <c r="A99" s="252">
        <v>32</v>
      </c>
      <c r="B99" s="312"/>
      <c r="U99" s="283"/>
    </row>
    <row r="100" spans="1:21" ht="14.1" customHeight="1" x14ac:dyDescent="0.2">
      <c r="A100" s="252">
        <v>33</v>
      </c>
      <c r="B100" s="312"/>
      <c r="D100" s="282"/>
      <c r="E100" s="282"/>
      <c r="F100" s="317"/>
      <c r="G100" s="317"/>
      <c r="H100" s="661"/>
      <c r="I100" s="661"/>
      <c r="J100" s="661"/>
      <c r="K100" s="661"/>
      <c r="L100" s="661"/>
      <c r="M100" s="661"/>
      <c r="N100" s="661"/>
      <c r="O100" s="661"/>
      <c r="P100" s="661"/>
      <c r="Q100" s="661"/>
      <c r="R100" s="661"/>
      <c r="U100" s="283"/>
    </row>
    <row r="101" spans="1:21" ht="14.1" customHeight="1" x14ac:dyDescent="0.2">
      <c r="A101" s="252">
        <v>34</v>
      </c>
      <c r="B101" s="312"/>
      <c r="C101" s="289"/>
      <c r="D101" s="278" t="s">
        <v>199</v>
      </c>
      <c r="E101" s="282"/>
      <c r="F101" s="282"/>
      <c r="G101" s="282"/>
      <c r="U101" s="283"/>
    </row>
    <row r="102" spans="1:21" ht="14.1" customHeight="1" x14ac:dyDescent="0.2">
      <c r="A102" s="252">
        <v>35</v>
      </c>
      <c r="B102" s="312"/>
      <c r="C102" s="269">
        <v>31153</v>
      </c>
      <c r="D102" s="252" t="s">
        <v>161</v>
      </c>
      <c r="F102" s="313">
        <v>3.1</v>
      </c>
      <c r="G102" s="260"/>
      <c r="H102" s="655">
        <v>21689421.57</v>
      </c>
      <c r="I102" s="656"/>
      <c r="J102" s="655">
        <v>0</v>
      </c>
      <c r="K102" s="603"/>
      <c r="L102" s="655">
        <v>-21689421.570000004</v>
      </c>
      <c r="M102" s="603"/>
      <c r="N102" s="655">
        <v>0</v>
      </c>
      <c r="O102" s="603"/>
      <c r="P102" s="655">
        <v>-3.7252902984619141E-9</v>
      </c>
      <c r="Q102" s="603"/>
      <c r="R102" s="655">
        <v>20021004.52615384</v>
      </c>
      <c r="U102" s="283"/>
    </row>
    <row r="103" spans="1:21" ht="14.1" customHeight="1" x14ac:dyDescent="0.2">
      <c r="A103" s="252">
        <v>36</v>
      </c>
      <c r="B103" s="312"/>
      <c r="C103" s="269">
        <v>31253</v>
      </c>
      <c r="D103" s="252" t="s">
        <v>162</v>
      </c>
      <c r="F103" s="313">
        <v>3.9</v>
      </c>
      <c r="G103" s="260"/>
      <c r="H103" s="655">
        <v>44040159.469999999</v>
      </c>
      <c r="I103" s="656"/>
      <c r="J103" s="655">
        <v>0</v>
      </c>
      <c r="K103" s="603"/>
      <c r="L103" s="655">
        <v>-44040159.469999999</v>
      </c>
      <c r="M103" s="603"/>
      <c r="N103" s="655">
        <v>0</v>
      </c>
      <c r="O103" s="603"/>
      <c r="P103" s="655">
        <v>0</v>
      </c>
      <c r="Q103" s="603"/>
      <c r="R103" s="655">
        <v>40652454.895384625</v>
      </c>
      <c r="U103" s="283"/>
    </row>
    <row r="104" spans="1:21" ht="14.1" customHeight="1" x14ac:dyDescent="0.2">
      <c r="A104" s="252">
        <v>37</v>
      </c>
      <c r="B104" s="312"/>
      <c r="C104" s="269">
        <v>31553</v>
      </c>
      <c r="D104" s="252" t="s">
        <v>164</v>
      </c>
      <c r="F104" s="313">
        <v>4</v>
      </c>
      <c r="G104" s="260"/>
      <c r="H104" s="655">
        <v>13761422.039999999</v>
      </c>
      <c r="I104" s="656"/>
      <c r="J104" s="655">
        <v>0</v>
      </c>
      <c r="K104" s="603"/>
      <c r="L104" s="655">
        <v>-13761422.039999997</v>
      </c>
      <c r="M104" s="603"/>
      <c r="N104" s="655">
        <v>0</v>
      </c>
      <c r="O104" s="603"/>
      <c r="P104" s="655">
        <v>1.862645149230957E-9</v>
      </c>
      <c r="Q104" s="603"/>
      <c r="R104" s="655">
        <v>12702851.113846149</v>
      </c>
      <c r="U104" s="283"/>
    </row>
    <row r="105" spans="1:21" ht="14.1" customHeight="1" x14ac:dyDescent="0.2">
      <c r="A105" s="252">
        <v>38</v>
      </c>
      <c r="B105" s="312"/>
      <c r="C105" s="269">
        <v>31653</v>
      </c>
      <c r="D105" s="252" t="s">
        <v>165</v>
      </c>
      <c r="F105" s="313">
        <v>3.4000000000000004</v>
      </c>
      <c r="G105" s="260"/>
      <c r="H105" s="655">
        <v>824683.51</v>
      </c>
      <c r="I105" s="656"/>
      <c r="J105" s="655">
        <v>0</v>
      </c>
      <c r="K105" s="603"/>
      <c r="L105" s="655">
        <v>-824683.51</v>
      </c>
      <c r="M105" s="603"/>
      <c r="N105" s="655">
        <v>0</v>
      </c>
      <c r="O105" s="603"/>
      <c r="P105" s="655">
        <v>0</v>
      </c>
      <c r="Q105" s="603"/>
      <c r="R105" s="655">
        <v>761246.31692307687</v>
      </c>
      <c r="U105" s="283"/>
    </row>
    <row r="106" spans="1:21" ht="14.1" customHeight="1" x14ac:dyDescent="0.2">
      <c r="A106" s="252">
        <v>39</v>
      </c>
      <c r="B106" s="312"/>
      <c r="C106" s="269"/>
      <c r="D106" s="278" t="s">
        <v>200</v>
      </c>
      <c r="E106" s="282"/>
      <c r="F106" s="313"/>
      <c r="H106" s="658">
        <v>80315686.590000004</v>
      </c>
      <c r="I106" s="661"/>
      <c r="J106" s="658">
        <v>0</v>
      </c>
      <c r="K106" s="661"/>
      <c r="L106" s="658">
        <v>-80315686.590000004</v>
      </c>
      <c r="M106" s="661"/>
      <c r="N106" s="658">
        <v>0</v>
      </c>
      <c r="O106" s="661"/>
      <c r="P106" s="658">
        <v>-1.862645149230957E-9</v>
      </c>
      <c r="Q106" s="661"/>
      <c r="R106" s="658">
        <v>74137556.852307692</v>
      </c>
      <c r="U106" s="283"/>
    </row>
    <row r="107" spans="1:21" ht="14.1" customHeight="1" x14ac:dyDescent="0.2">
      <c r="A107" s="252">
        <v>40</v>
      </c>
      <c r="B107" s="312"/>
      <c r="C107" s="269"/>
      <c r="F107" s="260"/>
      <c r="G107" s="260"/>
      <c r="H107" s="602"/>
      <c r="I107" s="661"/>
      <c r="J107" s="602"/>
      <c r="K107" s="661"/>
      <c r="L107" s="602"/>
      <c r="M107" s="661"/>
      <c r="N107" s="602"/>
      <c r="O107" s="661"/>
      <c r="P107" s="602"/>
      <c r="Q107" s="661"/>
      <c r="R107" s="602"/>
      <c r="U107" s="283"/>
    </row>
    <row r="108" spans="1:21" ht="14.1" customHeight="1" x14ac:dyDescent="0.2">
      <c r="A108" s="252">
        <v>41</v>
      </c>
      <c r="B108" s="312"/>
      <c r="C108" s="269"/>
      <c r="F108" s="260"/>
      <c r="G108" s="260"/>
      <c r="H108" s="602"/>
      <c r="I108" s="661"/>
      <c r="J108" s="602"/>
      <c r="K108" s="661"/>
      <c r="L108" s="602"/>
      <c r="M108" s="661"/>
      <c r="N108" s="602"/>
      <c r="O108" s="661"/>
      <c r="P108" s="602"/>
      <c r="Q108" s="661"/>
      <c r="R108" s="602"/>
      <c r="U108" s="283"/>
    </row>
    <row r="109" spans="1:21" ht="14.1" customHeight="1" x14ac:dyDescent="0.2">
      <c r="A109" s="252">
        <v>42</v>
      </c>
      <c r="B109" s="312"/>
      <c r="C109" s="269"/>
      <c r="F109" s="260"/>
      <c r="G109" s="260"/>
      <c r="H109" s="602"/>
      <c r="I109" s="661"/>
      <c r="J109" s="602"/>
      <c r="K109" s="661"/>
      <c r="L109" s="602"/>
      <c r="M109" s="661"/>
      <c r="N109" s="602"/>
      <c r="O109" s="661"/>
      <c r="P109" s="602"/>
      <c r="Q109" s="661"/>
      <c r="R109" s="602"/>
      <c r="U109" s="283"/>
    </row>
    <row r="110" spans="1:21" ht="14.1" customHeight="1" x14ac:dyDescent="0.2">
      <c r="A110" s="252">
        <v>43</v>
      </c>
      <c r="B110" s="312"/>
      <c r="C110" s="269"/>
      <c r="F110" s="260"/>
      <c r="G110" s="260"/>
      <c r="H110" s="602"/>
      <c r="I110" s="661"/>
      <c r="J110" s="602"/>
      <c r="K110" s="661"/>
      <c r="L110" s="602"/>
      <c r="M110" s="661"/>
      <c r="N110" s="602"/>
      <c r="O110" s="661"/>
      <c r="P110" s="602"/>
      <c r="Q110" s="661"/>
      <c r="R110" s="602"/>
      <c r="U110" s="283"/>
    </row>
    <row r="111" spans="1:21" ht="14.1" customHeight="1" thickBot="1" x14ac:dyDescent="0.25">
      <c r="A111" s="252">
        <v>44</v>
      </c>
      <c r="B111" s="667" t="s">
        <v>186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U111" s="283"/>
    </row>
    <row r="112" spans="1:21" ht="14.1" customHeight="1" x14ac:dyDescent="0.2">
      <c r="A112" s="252" t="s">
        <v>60</v>
      </c>
      <c r="P112" s="252" t="s">
        <v>60</v>
      </c>
      <c r="U112" s="283"/>
    </row>
    <row r="113" spans="1:21" ht="14.1" customHeight="1" thickBot="1" x14ac:dyDescent="0.25">
      <c r="A113" s="264" t="s">
        <v>127</v>
      </c>
      <c r="B113" s="264"/>
      <c r="C113" s="264"/>
      <c r="D113" s="264"/>
      <c r="E113" s="264"/>
      <c r="F113" s="264"/>
      <c r="G113" s="264" t="s">
        <v>128</v>
      </c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 t="s">
        <v>325</v>
      </c>
      <c r="U113" s="283"/>
    </row>
    <row r="114" spans="1:21" ht="14.1" customHeight="1" x14ac:dyDescent="0.2">
      <c r="A114" s="252" t="s">
        <v>129</v>
      </c>
      <c r="B114" s="285"/>
      <c r="E114" s="260" t="s">
        <v>130</v>
      </c>
      <c r="F114" s="252" t="s">
        <v>131</v>
      </c>
      <c r="J114" s="286"/>
      <c r="K114" s="286"/>
      <c r="M114" s="286"/>
      <c r="N114" s="286"/>
      <c r="O114" s="286" t="s">
        <v>187</v>
      </c>
      <c r="R114" s="261"/>
      <c r="U114" s="283"/>
    </row>
    <row r="115" spans="1:21" ht="14.1" customHeight="1" x14ac:dyDescent="0.2">
      <c r="B115" s="285"/>
      <c r="F115" s="252" t="s">
        <v>133</v>
      </c>
      <c r="J115" s="260"/>
      <c r="K115" s="261"/>
      <c r="N115" s="260"/>
      <c r="O115" s="260" t="s">
        <v>123</v>
      </c>
      <c r="P115" s="261" t="s">
        <v>1361</v>
      </c>
      <c r="R115" s="260"/>
      <c r="U115" s="283"/>
    </row>
    <row r="116" spans="1:21" ht="14.1" customHeight="1" x14ac:dyDescent="0.2">
      <c r="A116" s="252" t="s">
        <v>134</v>
      </c>
      <c r="B116" s="285"/>
      <c r="F116" s="252" t="s">
        <v>123</v>
      </c>
      <c r="J116" s="260"/>
      <c r="K116" s="261"/>
      <c r="L116" s="260"/>
      <c r="O116" s="260" t="s">
        <v>123</v>
      </c>
      <c r="P116" s="261">
        <v>0</v>
      </c>
      <c r="R116" s="260"/>
      <c r="U116" s="283"/>
    </row>
    <row r="117" spans="1:21" ht="14.1" customHeight="1" x14ac:dyDescent="0.2">
      <c r="B117" s="285"/>
      <c r="F117" s="252" t="s">
        <v>123</v>
      </c>
      <c r="J117" s="260"/>
      <c r="K117" s="261"/>
      <c r="L117" s="260"/>
      <c r="O117" s="260" t="s">
        <v>123</v>
      </c>
      <c r="P117" s="261"/>
      <c r="R117" s="260"/>
      <c r="U117" s="283"/>
    </row>
    <row r="118" spans="1:21" ht="14.1" customHeight="1" thickBot="1" x14ac:dyDescent="0.25">
      <c r="A118" s="264" t="s">
        <v>135</v>
      </c>
      <c r="B118" s="287"/>
      <c r="C118" s="264"/>
      <c r="D118" s="264"/>
      <c r="E118" s="264"/>
      <c r="F118" s="264" t="s">
        <v>123</v>
      </c>
      <c r="G118" s="264"/>
      <c r="H118" s="266"/>
      <c r="I118" s="264"/>
      <c r="J118" s="264"/>
      <c r="K118" s="264"/>
      <c r="L118" s="264"/>
      <c r="M118" s="264"/>
      <c r="N118" s="264"/>
      <c r="O118" s="264"/>
      <c r="P118" s="288"/>
      <c r="Q118" s="264"/>
      <c r="R118" s="264"/>
      <c r="U118" s="283"/>
    </row>
    <row r="119" spans="1:21" ht="14.1" customHeight="1" x14ac:dyDescent="0.2"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U119" s="283"/>
    </row>
    <row r="120" spans="1:21" ht="14.1" customHeight="1" x14ac:dyDescent="0.2">
      <c r="C120" s="267" t="s">
        <v>136</v>
      </c>
      <c r="D120" s="267" t="s">
        <v>137</v>
      </c>
      <c r="E120" s="267"/>
      <c r="F120" s="267" t="s">
        <v>138</v>
      </c>
      <c r="G120" s="267"/>
      <c r="H120" s="267" t="s">
        <v>139</v>
      </c>
      <c r="I120" s="267"/>
      <c r="J120" s="269" t="s">
        <v>140</v>
      </c>
      <c r="K120" s="269"/>
      <c r="L120" s="267" t="s">
        <v>141</v>
      </c>
      <c r="M120" s="267"/>
      <c r="N120" s="267" t="s">
        <v>142</v>
      </c>
      <c r="O120" s="267"/>
      <c r="P120" s="267" t="s">
        <v>143</v>
      </c>
      <c r="Q120" s="267"/>
      <c r="R120" s="267" t="s">
        <v>144</v>
      </c>
      <c r="U120" s="283"/>
    </row>
    <row r="121" spans="1:21" ht="14.1" customHeight="1" x14ac:dyDescent="0.2">
      <c r="C121" s="269" t="s">
        <v>145</v>
      </c>
      <c r="D121" s="269" t="s">
        <v>145</v>
      </c>
      <c r="F121" s="269" t="s">
        <v>6</v>
      </c>
      <c r="G121" s="269"/>
      <c r="H121" s="267" t="s">
        <v>48</v>
      </c>
      <c r="I121" s="269"/>
      <c r="J121" s="267" t="s">
        <v>40</v>
      </c>
      <c r="K121" s="269"/>
      <c r="L121" s="269" t="s">
        <v>40</v>
      </c>
      <c r="M121" s="269"/>
      <c r="P121" s="269" t="s">
        <v>48</v>
      </c>
      <c r="R121" s="269"/>
      <c r="U121" s="283"/>
    </row>
    <row r="122" spans="1:21" ht="14.1" customHeight="1" x14ac:dyDescent="0.2">
      <c r="A122" s="252" t="s">
        <v>146</v>
      </c>
      <c r="B122" s="269"/>
      <c r="C122" s="269" t="s">
        <v>147</v>
      </c>
      <c r="D122" s="269" t="s">
        <v>147</v>
      </c>
      <c r="E122" s="267"/>
      <c r="F122" s="269" t="s">
        <v>148</v>
      </c>
      <c r="G122" s="269"/>
      <c r="H122" s="269" t="s">
        <v>149</v>
      </c>
      <c r="I122" s="269"/>
      <c r="J122" s="269" t="s">
        <v>48</v>
      </c>
      <c r="K122" s="267"/>
      <c r="L122" s="269" t="s">
        <v>48</v>
      </c>
      <c r="M122" s="261"/>
      <c r="N122" s="269" t="s">
        <v>150</v>
      </c>
      <c r="O122" s="267"/>
      <c r="P122" s="267" t="s">
        <v>149</v>
      </c>
      <c r="Q122" s="267"/>
      <c r="R122" s="269" t="s">
        <v>151</v>
      </c>
      <c r="U122" s="283"/>
    </row>
    <row r="123" spans="1:21" ht="14.1" customHeight="1" thickBot="1" x14ac:dyDescent="0.25">
      <c r="A123" s="264" t="s">
        <v>152</v>
      </c>
      <c r="B123" s="266"/>
      <c r="C123" s="266" t="s">
        <v>52</v>
      </c>
      <c r="D123" s="266" t="s">
        <v>153</v>
      </c>
      <c r="E123" s="266"/>
      <c r="F123" s="270" t="s">
        <v>57</v>
      </c>
      <c r="G123" s="270"/>
      <c r="H123" s="270" t="s">
        <v>154</v>
      </c>
      <c r="I123" s="271"/>
      <c r="J123" s="270" t="s">
        <v>155</v>
      </c>
      <c r="K123" s="271"/>
      <c r="L123" s="271" t="s">
        <v>156</v>
      </c>
      <c r="M123" s="272"/>
      <c r="N123" s="272" t="s">
        <v>157</v>
      </c>
      <c r="O123" s="272"/>
      <c r="P123" s="272" t="s">
        <v>158</v>
      </c>
      <c r="Q123" s="272"/>
      <c r="R123" s="272" t="s">
        <v>3</v>
      </c>
      <c r="U123" s="283"/>
    </row>
    <row r="124" spans="1:21" ht="14.1" customHeight="1" x14ac:dyDescent="0.2">
      <c r="A124" s="252">
        <v>1</v>
      </c>
      <c r="B124" s="269"/>
      <c r="U124" s="283"/>
    </row>
    <row r="125" spans="1:21" ht="14.1" customHeight="1" x14ac:dyDescent="0.2">
      <c r="A125" s="252">
        <v>2</v>
      </c>
      <c r="B125" s="312"/>
      <c r="C125" s="289"/>
      <c r="D125" s="278" t="s">
        <v>201</v>
      </c>
      <c r="E125" s="282"/>
      <c r="F125" s="313"/>
      <c r="G125" s="282"/>
      <c r="H125" s="661"/>
      <c r="I125" s="661"/>
      <c r="J125" s="661"/>
      <c r="K125" s="661"/>
      <c r="L125" s="661"/>
      <c r="M125" s="661"/>
      <c r="N125" s="661"/>
      <c r="O125" s="661"/>
      <c r="P125" s="661"/>
      <c r="Q125" s="661"/>
      <c r="R125" s="661"/>
      <c r="U125" s="283"/>
    </row>
    <row r="126" spans="1:21" ht="14.1" customHeight="1" x14ac:dyDescent="0.2">
      <c r="A126" s="252">
        <v>3</v>
      </c>
      <c r="B126" s="312"/>
      <c r="C126" s="269">
        <v>31154</v>
      </c>
      <c r="D126" s="252" t="s">
        <v>161</v>
      </c>
      <c r="F126" s="313">
        <v>2.4</v>
      </c>
      <c r="G126" s="260"/>
      <c r="H126" s="655">
        <v>16857249.890000001</v>
      </c>
      <c r="I126" s="656"/>
      <c r="J126" s="655">
        <v>0</v>
      </c>
      <c r="K126" s="603"/>
      <c r="L126" s="655">
        <v>0</v>
      </c>
      <c r="M126" s="603"/>
      <c r="N126" s="655">
        <v>0</v>
      </c>
      <c r="O126" s="603"/>
      <c r="P126" s="655">
        <v>16857249.890000001</v>
      </c>
      <c r="Q126" s="603"/>
      <c r="R126" s="655">
        <v>16857249.889999993</v>
      </c>
      <c r="U126" s="283"/>
    </row>
    <row r="127" spans="1:21" ht="14.1" customHeight="1" x14ac:dyDescent="0.2">
      <c r="A127" s="252">
        <v>4</v>
      </c>
      <c r="B127" s="312"/>
      <c r="C127" s="269">
        <v>31254</v>
      </c>
      <c r="D127" s="252" t="s">
        <v>162</v>
      </c>
      <c r="F127" s="313">
        <v>3.8</v>
      </c>
      <c r="G127" s="260"/>
      <c r="H127" s="655">
        <v>30373191.169999998</v>
      </c>
      <c r="I127" s="656"/>
      <c r="J127" s="655">
        <v>0</v>
      </c>
      <c r="K127" s="603"/>
      <c r="L127" s="655">
        <v>0</v>
      </c>
      <c r="M127" s="603"/>
      <c r="N127" s="655">
        <v>0</v>
      </c>
      <c r="O127" s="603"/>
      <c r="P127" s="655">
        <v>30373191.169999998</v>
      </c>
      <c r="Q127" s="603"/>
      <c r="R127" s="655">
        <v>30373191.170000002</v>
      </c>
      <c r="U127" s="283"/>
    </row>
    <row r="128" spans="1:21" ht="14.1" customHeight="1" x14ac:dyDescent="0.2">
      <c r="A128" s="252">
        <v>5</v>
      </c>
      <c r="B128" s="312"/>
      <c r="C128" s="269">
        <v>31554</v>
      </c>
      <c r="D128" s="252" t="s">
        <v>164</v>
      </c>
      <c r="F128" s="313">
        <v>3.9</v>
      </c>
      <c r="G128" s="260"/>
      <c r="H128" s="655">
        <v>10642026.83</v>
      </c>
      <c r="I128" s="656"/>
      <c r="J128" s="655">
        <v>0</v>
      </c>
      <c r="K128" s="603"/>
      <c r="L128" s="655">
        <v>0</v>
      </c>
      <c r="M128" s="603"/>
      <c r="N128" s="655">
        <v>0</v>
      </c>
      <c r="O128" s="603"/>
      <c r="P128" s="655">
        <v>10642026.83</v>
      </c>
      <c r="Q128" s="603"/>
      <c r="R128" s="655">
        <v>10642026.83</v>
      </c>
      <c r="U128" s="283"/>
    </row>
    <row r="129" spans="1:21" ht="14.1" customHeight="1" x14ac:dyDescent="0.2">
      <c r="A129" s="252">
        <v>6</v>
      </c>
      <c r="B129" s="312"/>
      <c r="C129" s="269">
        <v>31654</v>
      </c>
      <c r="D129" s="252" t="s">
        <v>165</v>
      </c>
      <c r="F129" s="313">
        <v>3.3000000000000003</v>
      </c>
      <c r="G129" s="260"/>
      <c r="H129" s="655">
        <v>687934.36</v>
      </c>
      <c r="I129" s="656"/>
      <c r="J129" s="655">
        <v>0</v>
      </c>
      <c r="K129" s="603"/>
      <c r="L129" s="655">
        <v>0</v>
      </c>
      <c r="M129" s="603"/>
      <c r="N129" s="655">
        <v>0</v>
      </c>
      <c r="O129" s="603"/>
      <c r="P129" s="655">
        <v>687934.36</v>
      </c>
      <c r="Q129" s="603"/>
      <c r="R129" s="655">
        <v>687934.3600000001</v>
      </c>
      <c r="U129" s="283"/>
    </row>
    <row r="130" spans="1:21" ht="14.1" customHeight="1" x14ac:dyDescent="0.2">
      <c r="A130" s="252">
        <v>7</v>
      </c>
      <c r="B130" s="269"/>
      <c r="C130" s="269"/>
      <c r="D130" s="278" t="s">
        <v>202</v>
      </c>
      <c r="E130" s="282"/>
      <c r="F130" s="313"/>
      <c r="H130" s="658">
        <v>58560402.25</v>
      </c>
      <c r="I130" s="661"/>
      <c r="J130" s="658">
        <v>0</v>
      </c>
      <c r="K130" s="661"/>
      <c r="L130" s="658">
        <v>0</v>
      </c>
      <c r="M130" s="661"/>
      <c r="N130" s="658">
        <v>0</v>
      </c>
      <c r="O130" s="661"/>
      <c r="P130" s="658">
        <v>58560402.25</v>
      </c>
      <c r="Q130" s="661"/>
      <c r="R130" s="658">
        <v>58560402.249999993</v>
      </c>
      <c r="U130" s="283"/>
    </row>
    <row r="131" spans="1:21" ht="14.1" customHeight="1" x14ac:dyDescent="0.2">
      <c r="A131" s="252">
        <v>8</v>
      </c>
      <c r="B131" s="269"/>
      <c r="U131" s="283"/>
    </row>
    <row r="132" spans="1:21" ht="14.1" customHeight="1" x14ac:dyDescent="0.2">
      <c r="A132" s="252">
        <v>9</v>
      </c>
      <c r="B132" s="312"/>
      <c r="C132" s="269">
        <v>31247</v>
      </c>
      <c r="D132" s="252" t="s">
        <v>168</v>
      </c>
      <c r="F132" s="313">
        <v>20</v>
      </c>
      <c r="H132" s="655">
        <v>21433231.899999999</v>
      </c>
      <c r="I132" s="656"/>
      <c r="J132" s="655">
        <v>0</v>
      </c>
      <c r="K132" s="603"/>
      <c r="L132" s="655">
        <v>-11287185.539999999</v>
      </c>
      <c r="M132" s="603"/>
      <c r="N132" s="655">
        <v>0</v>
      </c>
      <c r="O132" s="603"/>
      <c r="P132" s="655">
        <v>10146046.359999999</v>
      </c>
      <c r="Q132" s="603"/>
      <c r="R132" s="655">
        <v>20564986.85846154</v>
      </c>
      <c r="U132" s="283"/>
    </row>
    <row r="133" spans="1:21" ht="14.1" customHeight="1" x14ac:dyDescent="0.2">
      <c r="A133" s="252">
        <v>10</v>
      </c>
      <c r="B133" s="312"/>
      <c r="U133" s="283"/>
    </row>
    <row r="134" spans="1:21" ht="14.1" customHeight="1" x14ac:dyDescent="0.2">
      <c r="A134" s="252">
        <v>11</v>
      </c>
      <c r="B134" s="312"/>
      <c r="C134" s="267">
        <v>31647</v>
      </c>
      <c r="D134" s="252" t="s">
        <v>204</v>
      </c>
      <c r="F134" s="313">
        <v>14.3</v>
      </c>
      <c r="G134" s="260"/>
      <c r="H134" s="655">
        <v>1106727.7</v>
      </c>
      <c r="I134" s="656"/>
      <c r="J134" s="655">
        <v>0</v>
      </c>
      <c r="K134" s="603"/>
      <c r="L134" s="655">
        <v>-6803.84</v>
      </c>
      <c r="M134" s="603"/>
      <c r="N134" s="655">
        <v>0</v>
      </c>
      <c r="O134" s="603"/>
      <c r="P134" s="655">
        <v>1099923.8599999999</v>
      </c>
      <c r="Q134" s="603"/>
      <c r="R134" s="655">
        <v>1105381.3999999999</v>
      </c>
      <c r="U134" s="283"/>
    </row>
    <row r="135" spans="1:21" ht="14.1" customHeight="1" x14ac:dyDescent="0.2">
      <c r="A135" s="252">
        <v>12</v>
      </c>
      <c r="B135" s="312"/>
      <c r="C135" s="269"/>
      <c r="F135" s="313"/>
      <c r="H135" s="669"/>
      <c r="I135" s="661"/>
      <c r="J135" s="669"/>
      <c r="K135" s="661"/>
      <c r="L135" s="669"/>
      <c r="M135" s="661"/>
      <c r="N135" s="669"/>
      <c r="O135" s="661"/>
      <c r="P135" s="669"/>
      <c r="Q135" s="661"/>
      <c r="R135" s="669"/>
      <c r="U135" s="283"/>
    </row>
    <row r="136" spans="1:21" ht="14.1" customHeight="1" thickBot="1" x14ac:dyDescent="0.25">
      <c r="A136" s="252">
        <v>13</v>
      </c>
      <c r="B136" s="312"/>
      <c r="C136" s="269"/>
      <c r="D136" s="279" t="s">
        <v>205</v>
      </c>
      <c r="F136" s="313"/>
      <c r="G136" s="260"/>
      <c r="H136" s="670">
        <v>2254668250.7899995</v>
      </c>
      <c r="I136" s="661"/>
      <c r="J136" s="670">
        <v>48660155.030000001</v>
      </c>
      <c r="K136" s="661"/>
      <c r="L136" s="670">
        <v>-970117110.76599991</v>
      </c>
      <c r="M136" s="661"/>
      <c r="N136" s="670">
        <v>0</v>
      </c>
      <c r="O136" s="661"/>
      <c r="P136" s="670">
        <v>1333211295.0539999</v>
      </c>
      <c r="Q136" s="661"/>
      <c r="R136" s="670">
        <v>2195312109.919538</v>
      </c>
      <c r="U136" s="283"/>
    </row>
    <row r="137" spans="1:21" ht="14.1" customHeight="1" thickTop="1" x14ac:dyDescent="0.2">
      <c r="A137" s="252">
        <v>14</v>
      </c>
      <c r="B137" s="312"/>
      <c r="C137" s="269"/>
      <c r="F137" s="260"/>
      <c r="G137" s="260"/>
      <c r="H137" s="602"/>
      <c r="I137" s="661"/>
      <c r="J137" s="602"/>
      <c r="K137" s="661"/>
      <c r="L137" s="602"/>
      <c r="M137" s="661"/>
      <c r="N137" s="602"/>
      <c r="O137" s="661"/>
      <c r="P137" s="602"/>
      <c r="Q137" s="661"/>
      <c r="R137" s="602"/>
      <c r="U137" s="283"/>
    </row>
    <row r="138" spans="1:21" ht="14.1" customHeight="1" thickBot="1" x14ac:dyDescent="0.25">
      <c r="A138" s="252">
        <v>15</v>
      </c>
      <c r="B138" s="312"/>
      <c r="C138" s="269"/>
      <c r="D138" s="83" t="s">
        <v>68</v>
      </c>
      <c r="F138" s="260"/>
      <c r="G138" s="260"/>
      <c r="H138" s="670">
        <v>2254668250.7899995</v>
      </c>
      <c r="I138" s="661"/>
      <c r="J138" s="670">
        <v>48660155.030000001</v>
      </c>
      <c r="K138" s="661"/>
      <c r="L138" s="670">
        <v>-970117110.76599991</v>
      </c>
      <c r="M138" s="661"/>
      <c r="N138" s="670">
        <v>0</v>
      </c>
      <c r="O138" s="661"/>
      <c r="P138" s="670">
        <v>1333211295.0539999</v>
      </c>
      <c r="Q138" s="661"/>
      <c r="R138" s="670">
        <v>2195312109.919538</v>
      </c>
      <c r="U138" s="283"/>
    </row>
    <row r="139" spans="1:21" ht="14.1" customHeight="1" thickTop="1" x14ac:dyDescent="0.2">
      <c r="A139" s="252">
        <v>16</v>
      </c>
      <c r="B139" s="312"/>
      <c r="U139" s="283"/>
    </row>
    <row r="140" spans="1:21" ht="14.1" customHeight="1" x14ac:dyDescent="0.2">
      <c r="A140" s="252">
        <v>17</v>
      </c>
      <c r="B140" s="312"/>
      <c r="D140" s="83" t="s">
        <v>63</v>
      </c>
      <c r="U140" s="283"/>
    </row>
    <row r="141" spans="1:21" ht="14.1" customHeight="1" x14ac:dyDescent="0.2">
      <c r="A141" s="252">
        <v>18</v>
      </c>
      <c r="B141" s="312"/>
      <c r="D141" s="83" t="s">
        <v>159</v>
      </c>
      <c r="U141" s="283"/>
    </row>
    <row r="142" spans="1:21" ht="14.1" customHeight="1" x14ac:dyDescent="0.2">
      <c r="A142" s="252">
        <v>19</v>
      </c>
      <c r="B142" s="312"/>
      <c r="D142" s="252" t="s">
        <v>208</v>
      </c>
      <c r="E142" s="269"/>
      <c r="F142" s="318"/>
      <c r="G142" s="318"/>
      <c r="H142" s="655"/>
      <c r="I142" s="671"/>
      <c r="J142" s="655"/>
      <c r="K142" s="671"/>
      <c r="L142" s="671"/>
      <c r="M142" s="671"/>
      <c r="N142" s="671"/>
      <c r="O142" s="671"/>
      <c r="P142" s="671"/>
      <c r="Q142" s="671"/>
      <c r="R142" s="671"/>
      <c r="U142" s="283"/>
    </row>
    <row r="143" spans="1:21" ht="14.1" customHeight="1" x14ac:dyDescent="0.2">
      <c r="A143" s="252">
        <v>20</v>
      </c>
      <c r="B143" s="312"/>
      <c r="C143" s="267">
        <v>34144</v>
      </c>
      <c r="D143" s="252" t="s">
        <v>161</v>
      </c>
      <c r="E143" s="269"/>
      <c r="F143" s="313">
        <v>2.6</v>
      </c>
      <c r="G143" s="260"/>
      <c r="H143" s="655">
        <v>3311083.09</v>
      </c>
      <c r="I143" s="656"/>
      <c r="J143" s="655">
        <v>0</v>
      </c>
      <c r="K143" s="603"/>
      <c r="L143" s="655">
        <v>0</v>
      </c>
      <c r="M143" s="603"/>
      <c r="N143" s="655">
        <v>0</v>
      </c>
      <c r="O143" s="603"/>
      <c r="P143" s="655">
        <v>3311083.09</v>
      </c>
      <c r="Q143" s="603"/>
      <c r="R143" s="655">
        <v>3311083.0900000003</v>
      </c>
      <c r="U143" s="283"/>
    </row>
    <row r="144" spans="1:21" ht="14.1" customHeight="1" x14ac:dyDescent="0.2">
      <c r="A144" s="252">
        <v>21</v>
      </c>
      <c r="B144" s="312"/>
      <c r="C144" s="267">
        <v>34244</v>
      </c>
      <c r="D144" s="252" t="s">
        <v>162</v>
      </c>
      <c r="E144" s="269"/>
      <c r="F144" s="313">
        <v>3.6000000000000005</v>
      </c>
      <c r="G144" s="260"/>
      <c r="H144" s="655">
        <v>2353181.4699999997</v>
      </c>
      <c r="I144" s="656"/>
      <c r="J144" s="655">
        <v>0</v>
      </c>
      <c r="K144" s="603"/>
      <c r="L144" s="655">
        <v>0</v>
      </c>
      <c r="M144" s="603"/>
      <c r="N144" s="655">
        <v>0</v>
      </c>
      <c r="O144" s="603"/>
      <c r="P144" s="655">
        <v>2353181.4699999997</v>
      </c>
      <c r="Q144" s="603"/>
      <c r="R144" s="655">
        <v>2353181.4699999993</v>
      </c>
      <c r="U144" s="283"/>
    </row>
    <row r="145" spans="1:22" ht="14.1" customHeight="1" x14ac:dyDescent="0.2">
      <c r="A145" s="252">
        <v>22</v>
      </c>
      <c r="B145" s="312"/>
      <c r="C145" s="267">
        <v>34344</v>
      </c>
      <c r="D145" s="252" t="s">
        <v>163</v>
      </c>
      <c r="E145" s="269"/>
      <c r="F145" s="313">
        <v>4</v>
      </c>
      <c r="G145" s="260"/>
      <c r="H145" s="655">
        <v>19816850.59</v>
      </c>
      <c r="I145" s="656"/>
      <c r="J145" s="655">
        <v>0</v>
      </c>
      <c r="K145" s="603"/>
      <c r="L145" s="655">
        <v>0</v>
      </c>
      <c r="M145" s="603"/>
      <c r="N145" s="655">
        <v>0</v>
      </c>
      <c r="O145" s="603"/>
      <c r="P145" s="655">
        <v>19816850.59</v>
      </c>
      <c r="Q145" s="603"/>
      <c r="R145" s="655">
        <v>19816850.59</v>
      </c>
      <c r="U145" s="283"/>
    </row>
    <row r="146" spans="1:22" ht="14.1" customHeight="1" x14ac:dyDescent="0.2">
      <c r="A146" s="252">
        <v>23</v>
      </c>
      <c r="B146" s="312"/>
      <c r="C146" s="267">
        <v>34544</v>
      </c>
      <c r="D146" s="252" t="s">
        <v>164</v>
      </c>
      <c r="E146" s="269"/>
      <c r="F146" s="313">
        <v>4</v>
      </c>
      <c r="G146" s="260"/>
      <c r="H146" s="655">
        <v>15324704.390000001</v>
      </c>
      <c r="I146" s="656"/>
      <c r="J146" s="655">
        <v>0</v>
      </c>
      <c r="K146" s="603"/>
      <c r="L146" s="655">
        <v>0</v>
      </c>
      <c r="M146" s="603"/>
      <c r="N146" s="655">
        <v>0</v>
      </c>
      <c r="O146" s="603"/>
      <c r="P146" s="655">
        <v>15324704.390000001</v>
      </c>
      <c r="Q146" s="603"/>
      <c r="R146" s="655">
        <v>15324704.389999995</v>
      </c>
      <c r="U146" s="283"/>
    </row>
    <row r="147" spans="1:22" ht="14.1" customHeight="1" x14ac:dyDescent="0.2">
      <c r="A147" s="252">
        <v>24</v>
      </c>
      <c r="B147" s="312"/>
      <c r="C147" s="267">
        <v>34644</v>
      </c>
      <c r="D147" s="252" t="s">
        <v>165</v>
      </c>
      <c r="F147" s="313">
        <v>4</v>
      </c>
      <c r="G147" s="260"/>
      <c r="H147" s="655">
        <v>510664.71</v>
      </c>
      <c r="I147" s="656"/>
      <c r="J147" s="655">
        <v>0</v>
      </c>
      <c r="K147" s="603"/>
      <c r="L147" s="655">
        <v>0</v>
      </c>
      <c r="M147" s="603"/>
      <c r="N147" s="655">
        <v>0</v>
      </c>
      <c r="O147" s="603"/>
      <c r="P147" s="655">
        <v>510664.71</v>
      </c>
      <c r="Q147" s="603"/>
      <c r="R147" s="655">
        <v>510664.71</v>
      </c>
      <c r="U147" s="283"/>
    </row>
    <row r="148" spans="1:22" ht="14.1" customHeight="1" x14ac:dyDescent="0.2">
      <c r="A148" s="252">
        <v>25</v>
      </c>
      <c r="B148" s="312"/>
      <c r="C148" s="267"/>
      <c r="D148" s="279" t="s">
        <v>209</v>
      </c>
      <c r="E148" s="269"/>
      <c r="F148" s="313"/>
      <c r="H148" s="658">
        <v>41316484.25</v>
      </c>
      <c r="I148" s="659"/>
      <c r="J148" s="658">
        <v>0</v>
      </c>
      <c r="K148" s="659"/>
      <c r="L148" s="658">
        <v>0</v>
      </c>
      <c r="M148" s="659"/>
      <c r="N148" s="658">
        <v>0</v>
      </c>
      <c r="O148" s="659"/>
      <c r="P148" s="658">
        <v>41316484.25</v>
      </c>
      <c r="Q148" s="659"/>
      <c r="R148" s="658">
        <v>41316484.249999993</v>
      </c>
      <c r="U148" s="283"/>
    </row>
    <row r="149" spans="1:22" ht="14.1" customHeight="1" x14ac:dyDescent="0.2">
      <c r="A149" s="252">
        <v>26</v>
      </c>
      <c r="B149" s="312"/>
      <c r="C149" s="269"/>
      <c r="D149" s="269"/>
      <c r="E149" s="269"/>
      <c r="F149" s="318"/>
      <c r="G149" s="318"/>
      <c r="H149" s="655"/>
      <c r="I149" s="659"/>
      <c r="J149" s="655"/>
      <c r="K149" s="659"/>
      <c r="L149" s="655"/>
      <c r="M149" s="659"/>
      <c r="N149" s="655"/>
      <c r="O149" s="659"/>
      <c r="P149" s="655"/>
      <c r="Q149" s="659"/>
      <c r="R149" s="655"/>
      <c r="U149" s="283"/>
    </row>
    <row r="150" spans="1:22" ht="14.1" customHeight="1" x14ac:dyDescent="0.2">
      <c r="A150" s="252">
        <v>27</v>
      </c>
      <c r="B150" s="312"/>
      <c r="D150" s="252" t="s">
        <v>1365</v>
      </c>
      <c r="U150" s="283"/>
    </row>
    <row r="151" spans="1:22" ht="14.1" customHeight="1" x14ac:dyDescent="0.2">
      <c r="A151" s="252">
        <v>28</v>
      </c>
      <c r="B151" s="312"/>
      <c r="C151" s="269">
        <v>34345</v>
      </c>
      <c r="D151" s="283" t="s">
        <v>1366</v>
      </c>
      <c r="F151" s="313">
        <v>0</v>
      </c>
      <c r="G151" s="260"/>
      <c r="H151" s="655">
        <v>0</v>
      </c>
      <c r="I151" s="656"/>
      <c r="J151" s="655">
        <v>204876682.49999997</v>
      </c>
      <c r="K151" s="603"/>
      <c r="L151" s="655">
        <v>0</v>
      </c>
      <c r="M151" s="603"/>
      <c r="N151" s="655">
        <v>0</v>
      </c>
      <c r="O151" s="603"/>
      <c r="P151" s="655">
        <v>204876682.49999997</v>
      </c>
      <c r="Q151" s="603"/>
      <c r="R151" s="655">
        <v>15759744.807692306</v>
      </c>
      <c r="U151" s="283"/>
    </row>
    <row r="152" spans="1:22" ht="14.1" customHeight="1" x14ac:dyDescent="0.2">
      <c r="A152" s="252">
        <v>29</v>
      </c>
      <c r="B152" s="312"/>
      <c r="C152" s="269"/>
      <c r="D152" s="279" t="s">
        <v>1367</v>
      </c>
      <c r="H152" s="658">
        <v>0</v>
      </c>
      <c r="I152" s="659"/>
      <c r="J152" s="658">
        <v>204876682.49999997</v>
      </c>
      <c r="K152" s="659"/>
      <c r="L152" s="658">
        <v>0</v>
      </c>
      <c r="M152" s="659"/>
      <c r="N152" s="658">
        <v>0</v>
      </c>
      <c r="O152" s="659"/>
      <c r="P152" s="658">
        <v>204876682.49999997</v>
      </c>
      <c r="Q152" s="659"/>
      <c r="R152" s="658">
        <v>15759744.807692306</v>
      </c>
      <c r="U152" s="283"/>
    </row>
    <row r="153" spans="1:22" ht="14.1" customHeight="1" x14ac:dyDescent="0.2">
      <c r="A153" s="252">
        <v>30</v>
      </c>
      <c r="B153" s="312"/>
      <c r="C153" s="269"/>
      <c r="U153" s="283"/>
    </row>
    <row r="154" spans="1:22" ht="14.1" customHeight="1" x14ac:dyDescent="0.2">
      <c r="A154" s="252">
        <v>31</v>
      </c>
      <c r="B154" s="312"/>
      <c r="C154" s="269"/>
      <c r="D154" s="252" t="s">
        <v>1368</v>
      </c>
      <c r="U154" s="283"/>
    </row>
    <row r="155" spans="1:22" ht="14.1" customHeight="1" x14ac:dyDescent="0.2">
      <c r="A155" s="252">
        <v>32</v>
      </c>
      <c r="B155" s="312"/>
      <c r="C155" s="269">
        <v>34346</v>
      </c>
      <c r="D155" s="283" t="s">
        <v>1369</v>
      </c>
      <c r="F155" s="313">
        <v>0</v>
      </c>
      <c r="G155" s="260"/>
      <c r="H155" s="655">
        <v>0</v>
      </c>
      <c r="I155" s="656"/>
      <c r="J155" s="655">
        <v>136821119.33000001</v>
      </c>
      <c r="K155" s="603"/>
      <c r="L155" s="655">
        <v>0</v>
      </c>
      <c r="M155" s="603"/>
      <c r="N155" s="655">
        <v>0</v>
      </c>
      <c r="O155" s="603"/>
      <c r="P155" s="655">
        <v>136821119.33000001</v>
      </c>
      <c r="Q155" s="603"/>
      <c r="R155" s="655">
        <v>10524701.486923078</v>
      </c>
      <c r="U155" s="283"/>
    </row>
    <row r="156" spans="1:22" ht="14.1" customHeight="1" x14ac:dyDescent="0.2">
      <c r="A156" s="252">
        <v>33</v>
      </c>
      <c r="B156" s="312"/>
      <c r="C156" s="269"/>
      <c r="D156" s="279" t="s">
        <v>1370</v>
      </c>
      <c r="H156" s="658">
        <v>0</v>
      </c>
      <c r="I156" s="659"/>
      <c r="J156" s="658">
        <v>136821119.33000001</v>
      </c>
      <c r="K156" s="659"/>
      <c r="L156" s="658">
        <v>0</v>
      </c>
      <c r="M156" s="659"/>
      <c r="N156" s="658">
        <v>0</v>
      </c>
      <c r="O156" s="659"/>
      <c r="P156" s="658">
        <v>136821119.33000001</v>
      </c>
      <c r="Q156" s="659"/>
      <c r="R156" s="658">
        <v>10524701.486923078</v>
      </c>
      <c r="U156" s="283"/>
    </row>
    <row r="157" spans="1:22" ht="14.1" customHeight="1" x14ac:dyDescent="0.2">
      <c r="A157" s="252">
        <v>34</v>
      </c>
      <c r="B157" s="312"/>
      <c r="C157" s="269"/>
      <c r="U157" s="283"/>
      <c r="V157" s="283"/>
    </row>
    <row r="158" spans="1:22" ht="14.1" customHeight="1" x14ac:dyDescent="0.2">
      <c r="A158" s="252">
        <v>35</v>
      </c>
      <c r="B158" s="312"/>
      <c r="C158" s="269"/>
      <c r="D158" s="252" t="s">
        <v>1371</v>
      </c>
      <c r="U158" s="283"/>
    </row>
    <row r="159" spans="1:22" ht="14.1" customHeight="1" x14ac:dyDescent="0.2">
      <c r="A159" s="252">
        <v>36</v>
      </c>
      <c r="B159" s="312"/>
      <c r="C159" s="269">
        <v>34343</v>
      </c>
      <c r="D159" s="283" t="s">
        <v>1372</v>
      </c>
      <c r="F159" s="313">
        <v>0</v>
      </c>
      <c r="G159" s="260"/>
      <c r="H159" s="655">
        <v>0</v>
      </c>
      <c r="I159" s="656"/>
      <c r="J159" s="655">
        <v>13015758.279999999</v>
      </c>
      <c r="K159" s="603"/>
      <c r="L159" s="655">
        <v>-2603151.6560000004</v>
      </c>
      <c r="M159" s="603"/>
      <c r="N159" s="655">
        <v>0</v>
      </c>
      <c r="O159" s="603"/>
      <c r="P159" s="655">
        <v>10412606.623999998</v>
      </c>
      <c r="Q159" s="603"/>
      <c r="R159" s="655">
        <v>5468083.1975384606</v>
      </c>
      <c r="U159" s="283"/>
    </row>
    <row r="160" spans="1:22" ht="14.1" customHeight="1" x14ac:dyDescent="0.2">
      <c r="A160" s="252">
        <v>37</v>
      </c>
      <c r="B160" s="312"/>
      <c r="D160" s="279" t="s">
        <v>1373</v>
      </c>
      <c r="H160" s="658">
        <v>0</v>
      </c>
      <c r="I160" s="659"/>
      <c r="J160" s="658">
        <v>13015758.279999999</v>
      </c>
      <c r="K160" s="659"/>
      <c r="L160" s="658">
        <v>-2603151.6560000004</v>
      </c>
      <c r="M160" s="659"/>
      <c r="N160" s="658">
        <v>0</v>
      </c>
      <c r="O160" s="659"/>
      <c r="P160" s="658">
        <v>10412606.623999998</v>
      </c>
      <c r="Q160" s="659"/>
      <c r="R160" s="658">
        <v>5468083.1975384606</v>
      </c>
      <c r="U160" s="283"/>
    </row>
    <row r="161" spans="1:21" ht="14.1" customHeight="1" x14ac:dyDescent="0.2">
      <c r="A161" s="252">
        <v>38</v>
      </c>
      <c r="B161" s="312"/>
      <c r="U161" s="283"/>
    </row>
    <row r="162" spans="1:21" ht="14.1" customHeight="1" x14ac:dyDescent="0.2">
      <c r="A162" s="252">
        <v>39</v>
      </c>
      <c r="B162" s="312"/>
      <c r="U162" s="283"/>
    </row>
    <row r="163" spans="1:21" ht="14.1" customHeight="1" x14ac:dyDescent="0.2">
      <c r="A163" s="252">
        <v>40</v>
      </c>
      <c r="B163" s="312"/>
      <c r="U163" s="283"/>
    </row>
    <row r="164" spans="1:21" ht="14.1" customHeight="1" x14ac:dyDescent="0.2">
      <c r="A164" s="252">
        <v>41</v>
      </c>
      <c r="B164" s="312"/>
      <c r="U164" s="283"/>
    </row>
    <row r="165" spans="1:21" ht="14.1" customHeight="1" thickBot="1" x14ac:dyDescent="0.25">
      <c r="A165" s="252">
        <v>42</v>
      </c>
      <c r="B165" s="312"/>
      <c r="D165" s="258" t="s">
        <v>205</v>
      </c>
      <c r="F165" s="313"/>
      <c r="G165" s="319"/>
      <c r="H165" s="665">
        <v>41316484.25</v>
      </c>
      <c r="I165" s="672"/>
      <c r="J165" s="665">
        <v>354713560.10999995</v>
      </c>
      <c r="K165" s="672"/>
      <c r="L165" s="665">
        <v>-2603151.6560000004</v>
      </c>
      <c r="M165" s="672"/>
      <c r="N165" s="665">
        <v>0</v>
      </c>
      <c r="O165" s="672"/>
      <c r="P165" s="665">
        <v>393426892.704</v>
      </c>
      <c r="Q165" s="672"/>
      <c r="R165" s="665">
        <v>73069013.742153838</v>
      </c>
      <c r="U165" s="283"/>
    </row>
    <row r="166" spans="1:21" ht="14.1" customHeight="1" thickTop="1" x14ac:dyDescent="0.2">
      <c r="A166" s="252">
        <v>43</v>
      </c>
      <c r="B166" s="312"/>
      <c r="C166" s="269"/>
      <c r="F166" s="260"/>
      <c r="G166" s="260"/>
      <c r="H166" s="602"/>
      <c r="I166" s="661"/>
      <c r="J166" s="602"/>
      <c r="K166" s="661"/>
      <c r="L166" s="602"/>
      <c r="M166" s="661"/>
      <c r="N166" s="602"/>
      <c r="O166" s="661"/>
      <c r="P166" s="602"/>
      <c r="Q166" s="661"/>
      <c r="R166" s="602"/>
      <c r="U166" s="283"/>
    </row>
    <row r="167" spans="1:21" ht="14.1" customHeight="1" thickBot="1" x14ac:dyDescent="0.25">
      <c r="A167" s="252">
        <v>44</v>
      </c>
      <c r="B167" s="667" t="s">
        <v>186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U167" s="283"/>
    </row>
    <row r="168" spans="1:21" ht="14.1" customHeight="1" x14ac:dyDescent="0.2">
      <c r="A168" s="252" t="s">
        <v>60</v>
      </c>
      <c r="P168" s="252" t="s">
        <v>60</v>
      </c>
      <c r="U168" s="283"/>
    </row>
    <row r="169" spans="1:21" ht="14.1" customHeight="1" thickBot="1" x14ac:dyDescent="0.25">
      <c r="A169" s="264" t="s">
        <v>127</v>
      </c>
      <c r="B169" s="264"/>
      <c r="C169" s="264"/>
      <c r="D169" s="264"/>
      <c r="E169" s="264"/>
      <c r="F169" s="264"/>
      <c r="G169" s="264" t="s">
        <v>128</v>
      </c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 t="s">
        <v>326</v>
      </c>
      <c r="U169" s="283"/>
    </row>
    <row r="170" spans="1:21" ht="14.1" customHeight="1" x14ac:dyDescent="0.2">
      <c r="A170" s="252" t="s">
        <v>129</v>
      </c>
      <c r="B170" s="285"/>
      <c r="E170" s="260" t="s">
        <v>130</v>
      </c>
      <c r="F170" s="252" t="s">
        <v>131</v>
      </c>
      <c r="J170" s="286"/>
      <c r="K170" s="286"/>
      <c r="M170" s="286"/>
      <c r="N170" s="286"/>
      <c r="O170" s="286" t="s">
        <v>187</v>
      </c>
      <c r="R170" s="261"/>
      <c r="U170" s="283"/>
    </row>
    <row r="171" spans="1:21" ht="14.1" customHeight="1" x14ac:dyDescent="0.2">
      <c r="B171" s="285"/>
      <c r="F171" s="252" t="s">
        <v>133</v>
      </c>
      <c r="J171" s="260"/>
      <c r="K171" s="261"/>
      <c r="N171" s="260"/>
      <c r="O171" s="260" t="s">
        <v>123</v>
      </c>
      <c r="P171" s="261" t="s">
        <v>1361</v>
      </c>
      <c r="R171" s="260"/>
      <c r="U171" s="283"/>
    </row>
    <row r="172" spans="1:21" ht="14.1" customHeight="1" x14ac:dyDescent="0.2">
      <c r="A172" s="252" t="s">
        <v>134</v>
      </c>
      <c r="B172" s="285"/>
      <c r="F172" s="252" t="s">
        <v>123</v>
      </c>
      <c r="J172" s="260"/>
      <c r="K172" s="261"/>
      <c r="L172" s="260"/>
      <c r="O172" s="260" t="s">
        <v>123</v>
      </c>
      <c r="P172" s="261">
        <v>0</v>
      </c>
      <c r="R172" s="260"/>
      <c r="U172" s="283"/>
    </row>
    <row r="173" spans="1:21" ht="14.1" customHeight="1" x14ac:dyDescent="0.2">
      <c r="B173" s="285"/>
      <c r="F173" s="252" t="s">
        <v>123</v>
      </c>
      <c r="J173" s="260"/>
      <c r="K173" s="261"/>
      <c r="L173" s="260"/>
      <c r="O173" s="260" t="s">
        <v>123</v>
      </c>
      <c r="P173" s="261"/>
      <c r="R173" s="260"/>
      <c r="U173" s="283"/>
    </row>
    <row r="174" spans="1:21" ht="14.1" customHeight="1" thickBot="1" x14ac:dyDescent="0.25">
      <c r="A174" s="264" t="s">
        <v>135</v>
      </c>
      <c r="B174" s="287"/>
      <c r="C174" s="264"/>
      <c r="D174" s="264"/>
      <c r="E174" s="264"/>
      <c r="F174" s="264" t="s">
        <v>123</v>
      </c>
      <c r="G174" s="264"/>
      <c r="H174" s="266"/>
      <c r="I174" s="264"/>
      <c r="J174" s="264"/>
      <c r="K174" s="264"/>
      <c r="L174" s="264"/>
      <c r="M174" s="264"/>
      <c r="N174" s="264"/>
      <c r="O174" s="264"/>
      <c r="P174" s="288"/>
      <c r="Q174" s="264"/>
      <c r="R174" s="264"/>
      <c r="U174" s="283"/>
    </row>
    <row r="175" spans="1:21" ht="14.1" customHeight="1" x14ac:dyDescent="0.2"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U175" s="283"/>
    </row>
    <row r="176" spans="1:21" ht="14.1" customHeight="1" x14ac:dyDescent="0.2">
      <c r="C176" s="267" t="s">
        <v>136</v>
      </c>
      <c r="D176" s="267" t="s">
        <v>137</v>
      </c>
      <c r="E176" s="267"/>
      <c r="F176" s="267" t="s">
        <v>138</v>
      </c>
      <c r="G176" s="267"/>
      <c r="H176" s="267" t="s">
        <v>139</v>
      </c>
      <c r="I176" s="267"/>
      <c r="J176" s="269" t="s">
        <v>140</v>
      </c>
      <c r="K176" s="269"/>
      <c r="L176" s="267" t="s">
        <v>141</v>
      </c>
      <c r="M176" s="267"/>
      <c r="N176" s="267" t="s">
        <v>142</v>
      </c>
      <c r="O176" s="267"/>
      <c r="P176" s="267" t="s">
        <v>143</v>
      </c>
      <c r="Q176" s="267"/>
      <c r="R176" s="267" t="s">
        <v>144</v>
      </c>
      <c r="U176" s="283"/>
    </row>
    <row r="177" spans="1:21" ht="14.1" customHeight="1" x14ac:dyDescent="0.2">
      <c r="C177" s="269" t="s">
        <v>145</v>
      </c>
      <c r="D177" s="269" t="s">
        <v>145</v>
      </c>
      <c r="F177" s="269" t="s">
        <v>6</v>
      </c>
      <c r="G177" s="269"/>
      <c r="H177" s="267" t="s">
        <v>48</v>
      </c>
      <c r="I177" s="269"/>
      <c r="J177" s="267" t="s">
        <v>40</v>
      </c>
      <c r="K177" s="269"/>
      <c r="L177" s="269" t="s">
        <v>40</v>
      </c>
      <c r="M177" s="269"/>
      <c r="P177" s="269" t="s">
        <v>48</v>
      </c>
      <c r="R177" s="269"/>
      <c r="U177" s="283"/>
    </row>
    <row r="178" spans="1:21" ht="14.1" customHeight="1" x14ac:dyDescent="0.2">
      <c r="A178" s="252" t="s">
        <v>146</v>
      </c>
      <c r="B178" s="269"/>
      <c r="C178" s="269" t="s">
        <v>147</v>
      </c>
      <c r="D178" s="269" t="s">
        <v>147</v>
      </c>
      <c r="E178" s="267"/>
      <c r="F178" s="269" t="s">
        <v>148</v>
      </c>
      <c r="G178" s="269"/>
      <c r="H178" s="269" t="s">
        <v>149</v>
      </c>
      <c r="I178" s="269"/>
      <c r="J178" s="269" t="s">
        <v>48</v>
      </c>
      <c r="K178" s="267"/>
      <c r="L178" s="269" t="s">
        <v>48</v>
      </c>
      <c r="M178" s="261"/>
      <c r="N178" s="269" t="s">
        <v>150</v>
      </c>
      <c r="O178" s="267"/>
      <c r="P178" s="267" t="s">
        <v>149</v>
      </c>
      <c r="Q178" s="267"/>
      <c r="R178" s="269" t="s">
        <v>151</v>
      </c>
      <c r="U178" s="283"/>
    </row>
    <row r="179" spans="1:21" ht="14.1" customHeight="1" thickBot="1" x14ac:dyDescent="0.25">
      <c r="A179" s="264" t="s">
        <v>152</v>
      </c>
      <c r="B179" s="266"/>
      <c r="C179" s="266" t="s">
        <v>52</v>
      </c>
      <c r="D179" s="266" t="s">
        <v>153</v>
      </c>
      <c r="E179" s="266"/>
      <c r="F179" s="270" t="s">
        <v>57</v>
      </c>
      <c r="G179" s="270"/>
      <c r="H179" s="270" t="s">
        <v>154</v>
      </c>
      <c r="I179" s="271"/>
      <c r="J179" s="270" t="s">
        <v>155</v>
      </c>
      <c r="K179" s="271"/>
      <c r="L179" s="271" t="s">
        <v>156</v>
      </c>
      <c r="M179" s="272"/>
      <c r="N179" s="272" t="s">
        <v>157</v>
      </c>
      <c r="O179" s="272"/>
      <c r="P179" s="272" t="s">
        <v>158</v>
      </c>
      <c r="Q179" s="272"/>
      <c r="R179" s="272" t="s">
        <v>3</v>
      </c>
      <c r="U179" s="283"/>
    </row>
    <row r="180" spans="1:21" ht="14.1" customHeight="1" x14ac:dyDescent="0.2">
      <c r="A180" s="252">
        <v>1</v>
      </c>
      <c r="B180" s="269"/>
      <c r="U180" s="283"/>
    </row>
    <row r="181" spans="1:21" ht="14.1" customHeight="1" x14ac:dyDescent="0.2">
      <c r="A181" s="252">
        <v>2</v>
      </c>
      <c r="B181" s="269"/>
      <c r="D181" s="83" t="s">
        <v>64</v>
      </c>
      <c r="I181" s="656"/>
      <c r="K181" s="656"/>
      <c r="M181" s="656"/>
      <c r="O181" s="656"/>
      <c r="Q181" s="656"/>
      <c r="U181" s="283"/>
    </row>
    <row r="182" spans="1:21" ht="14.1" customHeight="1" x14ac:dyDescent="0.2">
      <c r="A182" s="252">
        <v>3</v>
      </c>
      <c r="B182" s="269"/>
      <c r="C182" s="269"/>
      <c r="D182" s="279" t="s">
        <v>210</v>
      </c>
      <c r="F182" s="313"/>
      <c r="G182" s="319"/>
      <c r="H182" s="661"/>
      <c r="I182" s="656"/>
      <c r="J182" s="253"/>
      <c r="K182" s="656"/>
      <c r="L182" s="253"/>
      <c r="M182" s="656"/>
      <c r="N182" s="253"/>
      <c r="O182" s="656"/>
      <c r="P182" s="253"/>
      <c r="Q182" s="656"/>
      <c r="R182" s="253"/>
      <c r="U182" s="283"/>
    </row>
    <row r="183" spans="1:21" ht="14.1" customHeight="1" x14ac:dyDescent="0.2">
      <c r="A183" s="252">
        <v>4</v>
      </c>
      <c r="B183" s="269"/>
      <c r="C183" s="267">
        <v>34180</v>
      </c>
      <c r="D183" s="252" t="s">
        <v>161</v>
      </c>
      <c r="F183" s="313">
        <v>2.2000000000000002</v>
      </c>
      <c r="G183" s="260"/>
      <c r="H183" s="655">
        <v>190276105.04000008</v>
      </c>
      <c r="I183" s="656"/>
      <c r="J183" s="655">
        <v>0</v>
      </c>
      <c r="K183" s="603"/>
      <c r="L183" s="655">
        <v>0</v>
      </c>
      <c r="M183" s="603"/>
      <c r="N183" s="655">
        <v>0</v>
      </c>
      <c r="O183" s="603"/>
      <c r="P183" s="655">
        <v>190276105.04000008</v>
      </c>
      <c r="Q183" s="603"/>
      <c r="R183" s="655">
        <v>190276105.04000002</v>
      </c>
      <c r="U183" s="283"/>
    </row>
    <row r="184" spans="1:21" ht="14.1" customHeight="1" x14ac:dyDescent="0.2">
      <c r="A184" s="252">
        <v>5</v>
      </c>
      <c r="B184" s="269"/>
      <c r="C184" s="267">
        <v>34280</v>
      </c>
      <c r="D184" s="252" t="s">
        <v>206</v>
      </c>
      <c r="F184" s="313">
        <v>3.7000000000000006</v>
      </c>
      <c r="G184" s="260"/>
      <c r="H184" s="655">
        <v>9270687.0799999963</v>
      </c>
      <c r="I184" s="656"/>
      <c r="J184" s="655">
        <v>670740.58499999996</v>
      </c>
      <c r="K184" s="603"/>
      <c r="L184" s="655">
        <v>-134148.117</v>
      </c>
      <c r="M184" s="603"/>
      <c r="N184" s="655">
        <v>0</v>
      </c>
      <c r="O184" s="603"/>
      <c r="P184" s="655">
        <v>9807279.5479999948</v>
      </c>
      <c r="Q184" s="603"/>
      <c r="R184" s="655">
        <v>9518310.1095384527</v>
      </c>
      <c r="U184" s="283"/>
    </row>
    <row r="185" spans="1:21" ht="14.1" customHeight="1" x14ac:dyDescent="0.2">
      <c r="A185" s="252">
        <v>6</v>
      </c>
      <c r="B185" s="269"/>
      <c r="C185" s="267">
        <v>34380</v>
      </c>
      <c r="D185" s="252" t="s">
        <v>207</v>
      </c>
      <c r="F185" s="313">
        <v>2.2000000000000002</v>
      </c>
      <c r="G185" s="260"/>
      <c r="H185" s="655">
        <v>10370021.749999998</v>
      </c>
      <c r="I185" s="656"/>
      <c r="J185" s="655">
        <v>670740.58499999996</v>
      </c>
      <c r="K185" s="603"/>
      <c r="L185" s="655">
        <v>-134148.117</v>
      </c>
      <c r="M185" s="603"/>
      <c r="N185" s="655">
        <v>0</v>
      </c>
      <c r="O185" s="603"/>
      <c r="P185" s="655">
        <v>10906614.217999997</v>
      </c>
      <c r="Q185" s="603"/>
      <c r="R185" s="655">
        <v>10617644.779538453</v>
      </c>
      <c r="U185" s="283"/>
    </row>
    <row r="186" spans="1:21" ht="14.1" customHeight="1" x14ac:dyDescent="0.2">
      <c r="A186" s="252">
        <v>7</v>
      </c>
      <c r="B186" s="269"/>
      <c r="C186" s="267">
        <v>34580</v>
      </c>
      <c r="D186" s="252" t="s">
        <v>164</v>
      </c>
      <c r="F186" s="313">
        <v>2.9</v>
      </c>
      <c r="G186" s="260"/>
      <c r="H186" s="655">
        <v>13912445.110000003</v>
      </c>
      <c r="I186" s="656"/>
      <c r="J186" s="655">
        <v>0</v>
      </c>
      <c r="K186" s="603"/>
      <c r="L186" s="655">
        <v>0</v>
      </c>
      <c r="M186" s="603"/>
      <c r="N186" s="655">
        <v>0</v>
      </c>
      <c r="O186" s="603"/>
      <c r="P186" s="655">
        <v>13912445.110000003</v>
      </c>
      <c r="Q186" s="603"/>
      <c r="R186" s="655">
        <v>13912445.110000005</v>
      </c>
      <c r="U186" s="283"/>
    </row>
    <row r="187" spans="1:21" ht="14.1" customHeight="1" x14ac:dyDescent="0.2">
      <c r="A187" s="252">
        <v>8</v>
      </c>
      <c r="B187" s="269"/>
      <c r="C187" s="267">
        <v>34680</v>
      </c>
      <c r="D187" s="252" t="s">
        <v>165</v>
      </c>
      <c r="F187" s="313">
        <v>2.4</v>
      </c>
      <c r="G187" s="260"/>
      <c r="H187" s="655">
        <v>850630.8600000001</v>
      </c>
      <c r="I187" s="656"/>
      <c r="J187" s="655">
        <v>0</v>
      </c>
      <c r="K187" s="603"/>
      <c r="L187" s="655">
        <v>0</v>
      </c>
      <c r="M187" s="603"/>
      <c r="N187" s="655">
        <v>0</v>
      </c>
      <c r="O187" s="603"/>
      <c r="P187" s="655">
        <v>850630.8600000001</v>
      </c>
      <c r="Q187" s="603"/>
      <c r="R187" s="655">
        <v>850630.86</v>
      </c>
      <c r="U187" s="283"/>
    </row>
    <row r="188" spans="1:21" ht="14.1" customHeight="1" x14ac:dyDescent="0.2">
      <c r="A188" s="252">
        <v>9</v>
      </c>
      <c r="B188" s="312"/>
      <c r="C188" s="269"/>
      <c r="D188" s="252" t="s">
        <v>211</v>
      </c>
      <c r="F188" s="313"/>
      <c r="H188" s="658">
        <v>224679889.84000009</v>
      </c>
      <c r="I188" s="661"/>
      <c r="J188" s="658">
        <v>1341481.17</v>
      </c>
      <c r="K188" s="661"/>
      <c r="L188" s="658">
        <v>-268296.234</v>
      </c>
      <c r="M188" s="661"/>
      <c r="N188" s="658">
        <v>0</v>
      </c>
      <c r="O188" s="661"/>
      <c r="P188" s="658">
        <v>225753074.77600011</v>
      </c>
      <c r="Q188" s="661"/>
      <c r="R188" s="658">
        <v>225175135.89907697</v>
      </c>
      <c r="U188" s="283"/>
    </row>
    <row r="189" spans="1:21" ht="14.1" customHeight="1" x14ac:dyDescent="0.2">
      <c r="A189" s="252">
        <v>10</v>
      </c>
      <c r="B189" s="312"/>
      <c r="U189" s="283"/>
    </row>
    <row r="190" spans="1:21" ht="14.1" customHeight="1" x14ac:dyDescent="0.2">
      <c r="A190" s="252">
        <v>11</v>
      </c>
      <c r="B190" s="312"/>
      <c r="U190" s="283"/>
    </row>
    <row r="191" spans="1:21" ht="14.1" customHeight="1" x14ac:dyDescent="0.2">
      <c r="A191" s="252">
        <v>12</v>
      </c>
      <c r="B191" s="312"/>
      <c r="D191" s="252" t="s">
        <v>212</v>
      </c>
      <c r="F191" s="313"/>
      <c r="G191" s="319"/>
      <c r="H191" s="660"/>
      <c r="I191" s="656"/>
      <c r="J191" s="660"/>
      <c r="K191" s="656"/>
      <c r="L191" s="661"/>
      <c r="M191" s="656"/>
      <c r="N191" s="661"/>
      <c r="O191" s="656"/>
      <c r="P191" s="661"/>
      <c r="Q191" s="656"/>
      <c r="R191" s="661"/>
      <c r="U191" s="283"/>
    </row>
    <row r="192" spans="1:21" ht="14.1" customHeight="1" x14ac:dyDescent="0.2">
      <c r="A192" s="252">
        <v>13</v>
      </c>
      <c r="B192" s="312"/>
      <c r="C192" s="267">
        <v>34181</v>
      </c>
      <c r="D192" s="252" t="s">
        <v>161</v>
      </c>
      <c r="F192" s="313">
        <v>2.5</v>
      </c>
      <c r="G192" s="260"/>
      <c r="H192" s="655">
        <v>50518479.320000008</v>
      </c>
      <c r="I192" s="656"/>
      <c r="J192" s="655">
        <v>0</v>
      </c>
      <c r="K192" s="603"/>
      <c r="L192" s="655">
        <v>0</v>
      </c>
      <c r="M192" s="603"/>
      <c r="N192" s="655">
        <v>0</v>
      </c>
      <c r="O192" s="603"/>
      <c r="P192" s="655">
        <v>50518479.320000008</v>
      </c>
      <c r="Q192" s="603"/>
      <c r="R192" s="655">
        <v>50518479.320000008</v>
      </c>
      <c r="U192" s="283"/>
    </row>
    <row r="193" spans="1:21" ht="14.1" customHeight="1" x14ac:dyDescent="0.2">
      <c r="A193" s="252">
        <v>14</v>
      </c>
      <c r="B193" s="312"/>
      <c r="C193" s="267">
        <v>34281</v>
      </c>
      <c r="D193" s="252" t="s">
        <v>206</v>
      </c>
      <c r="F193" s="313">
        <v>3.4000000000000004</v>
      </c>
      <c r="G193" s="260"/>
      <c r="H193" s="655">
        <v>244641916.96000013</v>
      </c>
      <c r="I193" s="656"/>
      <c r="J193" s="655">
        <v>6035343.3499999996</v>
      </c>
      <c r="K193" s="603"/>
      <c r="L193" s="655">
        <v>-1207068.67</v>
      </c>
      <c r="M193" s="603"/>
      <c r="N193" s="655">
        <v>0</v>
      </c>
      <c r="O193" s="603"/>
      <c r="P193" s="655">
        <v>249470191.64000013</v>
      </c>
      <c r="Q193" s="603"/>
      <c r="R193" s="655">
        <v>245847770.98676938</v>
      </c>
      <c r="U193" s="283"/>
    </row>
    <row r="194" spans="1:21" ht="14.1" customHeight="1" x14ac:dyDescent="0.2">
      <c r="A194" s="252">
        <v>15</v>
      </c>
      <c r="B194" s="312"/>
      <c r="C194" s="267">
        <v>34381</v>
      </c>
      <c r="D194" s="252" t="s">
        <v>207</v>
      </c>
      <c r="F194" s="313">
        <v>4.5</v>
      </c>
      <c r="G194" s="260"/>
      <c r="H194" s="655">
        <v>146727137.98000002</v>
      </c>
      <c r="I194" s="656"/>
      <c r="J194" s="655">
        <v>6035343.3499999996</v>
      </c>
      <c r="K194" s="603"/>
      <c r="L194" s="655">
        <v>-1207068.67</v>
      </c>
      <c r="M194" s="603"/>
      <c r="N194" s="655">
        <v>0</v>
      </c>
      <c r="O194" s="603"/>
      <c r="P194" s="655">
        <v>151555412.66000003</v>
      </c>
      <c r="Q194" s="603"/>
      <c r="R194" s="655">
        <v>147932992.00676921</v>
      </c>
      <c r="U194" s="283"/>
    </row>
    <row r="195" spans="1:21" ht="14.1" customHeight="1" x14ac:dyDescent="0.2">
      <c r="A195" s="252">
        <v>16</v>
      </c>
      <c r="B195" s="312"/>
      <c r="C195" s="267">
        <v>34581</v>
      </c>
      <c r="D195" s="252" t="s">
        <v>164</v>
      </c>
      <c r="F195" s="313">
        <v>3.3000000000000003</v>
      </c>
      <c r="G195" s="260"/>
      <c r="H195" s="655">
        <v>58038686.56999997</v>
      </c>
      <c r="I195" s="656"/>
      <c r="J195" s="655">
        <v>0</v>
      </c>
      <c r="K195" s="603"/>
      <c r="L195" s="655">
        <v>0</v>
      </c>
      <c r="M195" s="603"/>
      <c r="N195" s="655">
        <v>0</v>
      </c>
      <c r="O195" s="603"/>
      <c r="P195" s="655">
        <v>58038686.56999997</v>
      </c>
      <c r="Q195" s="603"/>
      <c r="R195" s="655">
        <v>58038686.56999997</v>
      </c>
      <c r="U195" s="283"/>
    </row>
    <row r="196" spans="1:21" ht="14.1" customHeight="1" x14ac:dyDescent="0.2">
      <c r="A196" s="252">
        <v>17</v>
      </c>
      <c r="B196" s="312"/>
      <c r="C196" s="267">
        <v>34681</v>
      </c>
      <c r="D196" s="252" t="s">
        <v>165</v>
      </c>
      <c r="F196" s="313">
        <v>3.1</v>
      </c>
      <c r="G196" s="260"/>
      <c r="H196" s="655">
        <v>6060776.8499999987</v>
      </c>
      <c r="I196" s="656"/>
      <c r="J196" s="655">
        <v>0</v>
      </c>
      <c r="K196" s="603"/>
      <c r="L196" s="655">
        <v>0</v>
      </c>
      <c r="M196" s="603"/>
      <c r="N196" s="655">
        <v>0</v>
      </c>
      <c r="O196" s="603"/>
      <c r="P196" s="655">
        <v>6060776.8499999987</v>
      </c>
      <c r="Q196" s="603"/>
      <c r="R196" s="655">
        <v>6060776.8499999996</v>
      </c>
      <c r="U196" s="283"/>
    </row>
    <row r="197" spans="1:21" ht="14.1" customHeight="1" x14ac:dyDescent="0.2">
      <c r="A197" s="252">
        <v>18</v>
      </c>
      <c r="B197" s="312"/>
      <c r="C197" s="267"/>
      <c r="D197" s="279" t="s">
        <v>213</v>
      </c>
      <c r="F197" s="313"/>
      <c r="H197" s="658">
        <v>505986997.68000019</v>
      </c>
      <c r="I197" s="661"/>
      <c r="J197" s="658">
        <v>12070686.699999999</v>
      </c>
      <c r="K197" s="661"/>
      <c r="L197" s="658">
        <v>-2414137.34</v>
      </c>
      <c r="M197" s="661"/>
      <c r="N197" s="658">
        <v>0</v>
      </c>
      <c r="O197" s="661"/>
      <c r="P197" s="658">
        <v>515643547.0400002</v>
      </c>
      <c r="Q197" s="661"/>
      <c r="R197" s="658">
        <v>508398705.73353857</v>
      </c>
      <c r="U197" s="283"/>
    </row>
    <row r="198" spans="1:21" ht="14.1" customHeight="1" x14ac:dyDescent="0.2">
      <c r="A198" s="252">
        <v>19</v>
      </c>
      <c r="B198" s="312"/>
      <c r="U198" s="283"/>
    </row>
    <row r="199" spans="1:21" ht="14.1" customHeight="1" x14ac:dyDescent="0.2">
      <c r="A199" s="252">
        <v>20</v>
      </c>
      <c r="B199" s="312"/>
      <c r="C199" s="269"/>
      <c r="D199" s="279" t="s">
        <v>214</v>
      </c>
      <c r="H199" s="673"/>
      <c r="I199" s="656"/>
      <c r="J199" s="307"/>
      <c r="K199" s="656"/>
      <c r="L199" s="307"/>
      <c r="M199" s="656"/>
      <c r="N199" s="307"/>
      <c r="O199" s="656"/>
      <c r="P199" s="307"/>
      <c r="Q199" s="656"/>
      <c r="R199" s="307"/>
      <c r="U199" s="283"/>
    </row>
    <row r="200" spans="1:21" ht="14.1" customHeight="1" x14ac:dyDescent="0.2">
      <c r="A200" s="252">
        <v>21</v>
      </c>
      <c r="B200" s="312"/>
      <c r="C200" s="267">
        <v>34182</v>
      </c>
      <c r="D200" s="252" t="s">
        <v>161</v>
      </c>
      <c r="F200" s="313">
        <v>2.7</v>
      </c>
      <c r="G200" s="260"/>
      <c r="H200" s="655">
        <v>2160338.06</v>
      </c>
      <c r="I200" s="656"/>
      <c r="J200" s="655">
        <v>0</v>
      </c>
      <c r="K200" s="603"/>
      <c r="L200" s="655">
        <v>0</v>
      </c>
      <c r="M200" s="603"/>
      <c r="N200" s="655">
        <v>0</v>
      </c>
      <c r="O200" s="603"/>
      <c r="P200" s="655">
        <v>2160338.06</v>
      </c>
      <c r="Q200" s="603"/>
      <c r="R200" s="655">
        <v>2160338.0599999996</v>
      </c>
      <c r="U200" s="283"/>
    </row>
    <row r="201" spans="1:21" ht="14.1" customHeight="1" x14ac:dyDescent="0.2">
      <c r="A201" s="252">
        <v>22</v>
      </c>
      <c r="B201" s="312"/>
      <c r="C201" s="267">
        <v>34282</v>
      </c>
      <c r="D201" s="252" t="s">
        <v>206</v>
      </c>
      <c r="F201" s="313">
        <v>3.3000000000000003</v>
      </c>
      <c r="G201" s="260"/>
      <c r="H201" s="655">
        <v>2059515.7899999998</v>
      </c>
      <c r="I201" s="656"/>
      <c r="J201" s="655">
        <v>5464917.8899999987</v>
      </c>
      <c r="K201" s="603"/>
      <c r="L201" s="655">
        <v>-1092983.578</v>
      </c>
      <c r="M201" s="603"/>
      <c r="N201" s="655">
        <v>0</v>
      </c>
      <c r="O201" s="603"/>
      <c r="P201" s="655">
        <v>6431450.101999999</v>
      </c>
      <c r="Q201" s="603"/>
      <c r="R201" s="655">
        <v>3485129.5721538449</v>
      </c>
      <c r="U201" s="283"/>
    </row>
    <row r="202" spans="1:21" ht="14.1" customHeight="1" x14ac:dyDescent="0.2">
      <c r="A202" s="252">
        <v>23</v>
      </c>
      <c r="B202" s="312"/>
      <c r="C202" s="267">
        <v>34382</v>
      </c>
      <c r="D202" s="252" t="s">
        <v>207</v>
      </c>
      <c r="F202" s="313">
        <v>4.4000000000000004</v>
      </c>
      <c r="G202" s="260"/>
      <c r="H202" s="655">
        <v>26116296.049999997</v>
      </c>
      <c r="I202" s="656"/>
      <c r="J202" s="655">
        <v>5464917.8899999987</v>
      </c>
      <c r="K202" s="603"/>
      <c r="L202" s="655">
        <v>-1092983.578</v>
      </c>
      <c r="M202" s="603"/>
      <c r="N202" s="655">
        <v>0</v>
      </c>
      <c r="O202" s="603"/>
      <c r="P202" s="655">
        <v>30488230.361999996</v>
      </c>
      <c r="Q202" s="603"/>
      <c r="R202" s="655">
        <v>27541909.832153853</v>
      </c>
      <c r="U202" s="283"/>
    </row>
    <row r="203" spans="1:21" ht="14.1" customHeight="1" x14ac:dyDescent="0.2">
      <c r="A203" s="252">
        <v>24</v>
      </c>
      <c r="B203" s="312"/>
      <c r="C203" s="267">
        <v>34582</v>
      </c>
      <c r="D203" s="252" t="s">
        <v>164</v>
      </c>
      <c r="F203" s="313">
        <v>2.8</v>
      </c>
      <c r="G203" s="260"/>
      <c r="H203" s="655">
        <v>17658861.830000002</v>
      </c>
      <c r="I203" s="656"/>
      <c r="J203" s="655">
        <v>0</v>
      </c>
      <c r="K203" s="603"/>
      <c r="L203" s="655">
        <v>0</v>
      </c>
      <c r="M203" s="603"/>
      <c r="N203" s="655">
        <v>0</v>
      </c>
      <c r="O203" s="603"/>
      <c r="P203" s="655">
        <v>17658861.830000002</v>
      </c>
      <c r="Q203" s="603"/>
      <c r="R203" s="655">
        <v>17658861.830000006</v>
      </c>
      <c r="U203" s="283"/>
    </row>
    <row r="204" spans="1:21" ht="14.1" customHeight="1" x14ac:dyDescent="0.2">
      <c r="A204" s="252">
        <v>25</v>
      </c>
      <c r="B204" s="312"/>
      <c r="C204" s="267">
        <v>34682</v>
      </c>
      <c r="D204" s="252" t="s">
        <v>165</v>
      </c>
      <c r="F204" s="313">
        <v>3.5000000000000004</v>
      </c>
      <c r="G204" s="260"/>
      <c r="H204" s="655">
        <v>173209.91</v>
      </c>
      <c r="I204" s="656"/>
      <c r="J204" s="655">
        <v>0</v>
      </c>
      <c r="K204" s="603"/>
      <c r="L204" s="655">
        <v>0</v>
      </c>
      <c r="M204" s="603"/>
      <c r="N204" s="655">
        <v>0</v>
      </c>
      <c r="O204" s="603"/>
      <c r="P204" s="655">
        <v>173209.91</v>
      </c>
      <c r="Q204" s="603"/>
      <c r="R204" s="655">
        <v>173209.90999999997</v>
      </c>
      <c r="U204" s="283"/>
    </row>
    <row r="205" spans="1:21" ht="14.1" customHeight="1" x14ac:dyDescent="0.2">
      <c r="A205" s="252">
        <v>26</v>
      </c>
      <c r="B205" s="312"/>
      <c r="C205" s="269"/>
      <c r="D205" s="279" t="s">
        <v>215</v>
      </c>
      <c r="F205" s="313"/>
      <c r="H205" s="658">
        <v>48168221.640000001</v>
      </c>
      <c r="I205" s="661"/>
      <c r="J205" s="658">
        <v>10929835.779999997</v>
      </c>
      <c r="K205" s="661"/>
      <c r="L205" s="658">
        <v>-2185967.156</v>
      </c>
      <c r="M205" s="661"/>
      <c r="N205" s="658">
        <v>0</v>
      </c>
      <c r="O205" s="661"/>
      <c r="P205" s="658">
        <v>56912090.263999999</v>
      </c>
      <c r="Q205" s="661"/>
      <c r="R205" s="658">
        <v>51019449.204307698</v>
      </c>
      <c r="U205" s="283"/>
    </row>
    <row r="206" spans="1:21" ht="14.1" customHeight="1" x14ac:dyDescent="0.2">
      <c r="A206" s="252">
        <v>27</v>
      </c>
      <c r="B206" s="312"/>
      <c r="U206" s="283"/>
    </row>
    <row r="207" spans="1:21" ht="14.1" customHeight="1" x14ac:dyDescent="0.2">
      <c r="A207" s="252">
        <v>28</v>
      </c>
      <c r="B207" s="312"/>
      <c r="C207" s="284"/>
      <c r="D207" s="279" t="s">
        <v>216</v>
      </c>
      <c r="F207" s="313"/>
      <c r="H207" s="661"/>
      <c r="I207" s="661"/>
      <c r="J207" s="661"/>
      <c r="K207" s="661"/>
      <c r="L207" s="661"/>
      <c r="M207" s="661"/>
      <c r="N207" s="661"/>
      <c r="O207" s="661"/>
      <c r="P207" s="661"/>
      <c r="Q207" s="661"/>
      <c r="R207" s="661"/>
      <c r="U207" s="283"/>
    </row>
    <row r="208" spans="1:21" ht="14.1" customHeight="1" x14ac:dyDescent="0.2">
      <c r="A208" s="252">
        <v>29</v>
      </c>
      <c r="B208" s="312"/>
      <c r="C208" s="267">
        <v>34183</v>
      </c>
      <c r="D208" s="252" t="s">
        <v>161</v>
      </c>
      <c r="F208" s="313">
        <v>2.6</v>
      </c>
      <c r="G208" s="260"/>
      <c r="H208" s="655">
        <v>10533315.640000001</v>
      </c>
      <c r="I208" s="656"/>
      <c r="J208" s="655">
        <v>0</v>
      </c>
      <c r="K208" s="603"/>
      <c r="L208" s="655">
        <v>0</v>
      </c>
      <c r="M208" s="603"/>
      <c r="N208" s="655">
        <v>0</v>
      </c>
      <c r="O208" s="603"/>
      <c r="P208" s="655">
        <v>10533315.640000001</v>
      </c>
      <c r="Q208" s="603"/>
      <c r="R208" s="655">
        <v>10533315.639999999</v>
      </c>
      <c r="U208" s="283"/>
    </row>
    <row r="209" spans="1:21" ht="14.1" customHeight="1" x14ac:dyDescent="0.2">
      <c r="A209" s="252">
        <v>30</v>
      </c>
      <c r="B209" s="312"/>
      <c r="C209" s="267">
        <v>34283</v>
      </c>
      <c r="D209" s="252" t="s">
        <v>206</v>
      </c>
      <c r="F209" s="313">
        <v>2.9</v>
      </c>
      <c r="G209" s="260"/>
      <c r="H209" s="655">
        <v>1304575.5999999999</v>
      </c>
      <c r="I209" s="656"/>
      <c r="J209" s="655">
        <v>3534029.1550000003</v>
      </c>
      <c r="K209" s="603"/>
      <c r="L209" s="655">
        <v>-706805.83100000001</v>
      </c>
      <c r="M209" s="603"/>
      <c r="N209" s="655">
        <v>0</v>
      </c>
      <c r="O209" s="603"/>
      <c r="P209" s="655">
        <v>4131798.9239999996</v>
      </c>
      <c r="Q209" s="603"/>
      <c r="R209" s="655">
        <v>2717780.289230769</v>
      </c>
      <c r="U209" s="283"/>
    </row>
    <row r="210" spans="1:21" ht="14.1" customHeight="1" x14ac:dyDescent="0.2">
      <c r="A210" s="252">
        <v>31</v>
      </c>
      <c r="C210" s="267">
        <v>34383</v>
      </c>
      <c r="D210" s="252" t="s">
        <v>207</v>
      </c>
      <c r="F210" s="313">
        <v>4.5999999999999996</v>
      </c>
      <c r="G210" s="260"/>
      <c r="H210" s="655">
        <v>32633941.280000001</v>
      </c>
      <c r="I210" s="656"/>
      <c r="J210" s="655">
        <v>3534029.1550000003</v>
      </c>
      <c r="K210" s="603"/>
      <c r="L210" s="655">
        <v>-706805.83100000001</v>
      </c>
      <c r="M210" s="603"/>
      <c r="N210" s="655">
        <v>0</v>
      </c>
      <c r="O210" s="603"/>
      <c r="P210" s="655">
        <v>35461164.604000002</v>
      </c>
      <c r="Q210" s="603"/>
      <c r="R210" s="655">
        <v>34047145.969230779</v>
      </c>
      <c r="U210" s="283"/>
    </row>
    <row r="211" spans="1:21" ht="14.1" customHeight="1" x14ac:dyDescent="0.2">
      <c r="A211" s="252">
        <v>32</v>
      </c>
      <c r="C211" s="267">
        <v>34583</v>
      </c>
      <c r="D211" s="252" t="s">
        <v>164</v>
      </c>
      <c r="F211" s="313">
        <v>3</v>
      </c>
      <c r="G211" s="260"/>
      <c r="H211" s="655">
        <v>9098307.0300000031</v>
      </c>
      <c r="I211" s="656"/>
      <c r="J211" s="655">
        <v>0</v>
      </c>
      <c r="K211" s="603"/>
      <c r="L211" s="655">
        <v>0</v>
      </c>
      <c r="M211" s="603"/>
      <c r="N211" s="655">
        <v>0</v>
      </c>
      <c r="O211" s="603"/>
      <c r="P211" s="655">
        <v>9098307.0300000031</v>
      </c>
      <c r="Q211" s="603"/>
      <c r="R211" s="655">
        <v>9098307.0300000031</v>
      </c>
      <c r="U211" s="283"/>
    </row>
    <row r="212" spans="1:21" ht="14.1" customHeight="1" x14ac:dyDescent="0.2">
      <c r="A212" s="252">
        <v>33</v>
      </c>
      <c r="C212" s="267">
        <v>34683</v>
      </c>
      <c r="D212" s="252" t="s">
        <v>165</v>
      </c>
      <c r="F212" s="313">
        <v>3.1</v>
      </c>
      <c r="G212" s="260"/>
      <c r="H212" s="655">
        <v>432910.42</v>
      </c>
      <c r="I212" s="656"/>
      <c r="J212" s="655">
        <v>0</v>
      </c>
      <c r="K212" s="603"/>
      <c r="L212" s="655">
        <v>0</v>
      </c>
      <c r="M212" s="603"/>
      <c r="N212" s="655">
        <v>0</v>
      </c>
      <c r="O212" s="603"/>
      <c r="P212" s="655">
        <v>432910.42</v>
      </c>
      <c r="Q212" s="603"/>
      <c r="R212" s="655">
        <v>432910.42</v>
      </c>
      <c r="U212" s="283"/>
    </row>
    <row r="213" spans="1:21" ht="14.1" customHeight="1" x14ac:dyDescent="0.2">
      <c r="A213" s="252">
        <v>34</v>
      </c>
      <c r="D213" s="279" t="s">
        <v>217</v>
      </c>
      <c r="F213" s="313"/>
      <c r="H213" s="658">
        <v>54003049.970000006</v>
      </c>
      <c r="I213" s="661"/>
      <c r="J213" s="658">
        <v>7068058.3100000005</v>
      </c>
      <c r="K213" s="661"/>
      <c r="L213" s="658">
        <v>-1413611.662</v>
      </c>
      <c r="M213" s="661"/>
      <c r="N213" s="658">
        <v>0</v>
      </c>
      <c r="O213" s="661"/>
      <c r="P213" s="658">
        <v>59657496.618000001</v>
      </c>
      <c r="Q213" s="661"/>
      <c r="R213" s="658">
        <v>56829459.348461553</v>
      </c>
      <c r="U213" s="283"/>
    </row>
    <row r="214" spans="1:21" ht="14.1" customHeight="1" x14ac:dyDescent="0.2">
      <c r="A214" s="252">
        <v>35</v>
      </c>
      <c r="I214" s="661"/>
      <c r="K214" s="661"/>
      <c r="M214" s="661"/>
      <c r="O214" s="661"/>
      <c r="Q214" s="661"/>
      <c r="U214" s="283"/>
    </row>
    <row r="215" spans="1:21" ht="14.1" customHeight="1" x14ac:dyDescent="0.2">
      <c r="A215" s="252">
        <v>36</v>
      </c>
      <c r="C215" s="269"/>
      <c r="D215" s="279" t="s">
        <v>218</v>
      </c>
      <c r="F215" s="313"/>
      <c r="H215" s="661"/>
      <c r="I215" s="661"/>
      <c r="J215" s="661"/>
      <c r="K215" s="661"/>
      <c r="L215" s="661"/>
      <c r="M215" s="661"/>
      <c r="N215" s="661"/>
      <c r="O215" s="661"/>
      <c r="P215" s="661"/>
      <c r="Q215" s="661"/>
      <c r="R215" s="661"/>
      <c r="U215" s="283"/>
    </row>
    <row r="216" spans="1:21" ht="14.1" customHeight="1" x14ac:dyDescent="0.2">
      <c r="A216" s="252">
        <v>37</v>
      </c>
      <c r="C216" s="267">
        <v>34184</v>
      </c>
      <c r="D216" s="252" t="s">
        <v>161</v>
      </c>
      <c r="F216" s="313">
        <v>2.4</v>
      </c>
      <c r="G216" s="260"/>
      <c r="H216" s="655">
        <v>5811519.6599999992</v>
      </c>
      <c r="I216" s="656"/>
      <c r="J216" s="655">
        <v>0</v>
      </c>
      <c r="K216" s="603"/>
      <c r="L216" s="655">
        <v>0</v>
      </c>
      <c r="M216" s="603"/>
      <c r="N216" s="655">
        <v>0</v>
      </c>
      <c r="O216" s="603"/>
      <c r="P216" s="655">
        <v>5811519.6599999992</v>
      </c>
      <c r="Q216" s="603"/>
      <c r="R216" s="655">
        <v>5811519.6599999974</v>
      </c>
      <c r="U216" s="283"/>
    </row>
    <row r="217" spans="1:21" ht="14.1" customHeight="1" x14ac:dyDescent="0.2">
      <c r="A217" s="252">
        <v>38</v>
      </c>
      <c r="C217" s="267">
        <v>34284</v>
      </c>
      <c r="D217" s="252" t="s">
        <v>206</v>
      </c>
      <c r="F217" s="313">
        <v>3.2</v>
      </c>
      <c r="G217" s="260"/>
      <c r="H217" s="655">
        <v>2167427.8200000003</v>
      </c>
      <c r="I217" s="656"/>
      <c r="J217" s="655">
        <v>3635110.6450000005</v>
      </c>
      <c r="K217" s="603"/>
      <c r="L217" s="655">
        <v>-727022.12899999996</v>
      </c>
      <c r="M217" s="603"/>
      <c r="N217" s="655">
        <v>0</v>
      </c>
      <c r="O217" s="603"/>
      <c r="P217" s="655">
        <v>5075516.3360000011</v>
      </c>
      <c r="Q217" s="603"/>
      <c r="R217" s="655">
        <v>3651844.250769231</v>
      </c>
      <c r="U217" s="283"/>
    </row>
    <row r="218" spans="1:21" ht="14.1" customHeight="1" x14ac:dyDescent="0.2">
      <c r="A218" s="252">
        <v>39</v>
      </c>
      <c r="C218" s="267">
        <v>34384</v>
      </c>
      <c r="D218" s="252" t="s">
        <v>207</v>
      </c>
      <c r="F218" s="313">
        <v>4.0999999999999996</v>
      </c>
      <c r="G218" s="260"/>
      <c r="H218" s="655">
        <v>22207411.209999997</v>
      </c>
      <c r="I218" s="656"/>
      <c r="J218" s="655">
        <v>3635110.6450000005</v>
      </c>
      <c r="K218" s="603"/>
      <c r="L218" s="655">
        <v>-727022.12899999996</v>
      </c>
      <c r="M218" s="603"/>
      <c r="N218" s="655">
        <v>0</v>
      </c>
      <c r="O218" s="603"/>
      <c r="P218" s="655">
        <v>25115499.725999996</v>
      </c>
      <c r="Q218" s="603"/>
      <c r="R218" s="655">
        <v>23691827.640769225</v>
      </c>
      <c r="U218" s="283"/>
    </row>
    <row r="219" spans="1:21" ht="14.1" customHeight="1" x14ac:dyDescent="0.2">
      <c r="A219" s="252">
        <v>40</v>
      </c>
      <c r="C219" s="267">
        <v>34584</v>
      </c>
      <c r="D219" s="252" t="s">
        <v>164</v>
      </c>
      <c r="F219" s="313">
        <v>3.9</v>
      </c>
      <c r="G219" s="260"/>
      <c r="H219" s="655">
        <v>5573653.129999999</v>
      </c>
      <c r="I219" s="656"/>
      <c r="J219" s="655">
        <v>0</v>
      </c>
      <c r="K219" s="603"/>
      <c r="L219" s="655">
        <v>0</v>
      </c>
      <c r="M219" s="603"/>
      <c r="N219" s="655">
        <v>0</v>
      </c>
      <c r="O219" s="603"/>
      <c r="P219" s="655">
        <v>5573653.129999999</v>
      </c>
      <c r="Q219" s="603"/>
      <c r="R219" s="655">
        <v>5573653.1299999971</v>
      </c>
      <c r="U219" s="283"/>
    </row>
    <row r="220" spans="1:21" ht="14.1" customHeight="1" x14ac:dyDescent="0.2">
      <c r="A220" s="252">
        <v>41</v>
      </c>
      <c r="C220" s="267">
        <v>34684</v>
      </c>
      <c r="D220" s="252" t="s">
        <v>165</v>
      </c>
      <c r="F220" s="313">
        <v>3.9</v>
      </c>
      <c r="G220" s="260"/>
      <c r="H220" s="655">
        <v>0</v>
      </c>
      <c r="I220" s="656"/>
      <c r="J220" s="655">
        <v>0</v>
      </c>
      <c r="K220" s="603"/>
      <c r="L220" s="655">
        <v>0</v>
      </c>
      <c r="M220" s="603"/>
      <c r="N220" s="655">
        <v>0</v>
      </c>
      <c r="O220" s="603"/>
      <c r="P220" s="655">
        <v>0</v>
      </c>
      <c r="Q220" s="603"/>
      <c r="R220" s="655">
        <v>0</v>
      </c>
      <c r="U220" s="283"/>
    </row>
    <row r="221" spans="1:21" ht="14.45" customHeight="1" x14ac:dyDescent="0.2">
      <c r="A221" s="252">
        <v>42</v>
      </c>
      <c r="C221" s="269"/>
      <c r="D221" s="279" t="s">
        <v>219</v>
      </c>
      <c r="F221" s="313"/>
      <c r="H221" s="658">
        <v>35760011.819999993</v>
      </c>
      <c r="I221" s="661"/>
      <c r="J221" s="658">
        <v>7270221.290000001</v>
      </c>
      <c r="K221" s="661"/>
      <c r="L221" s="658">
        <v>-1454044.2579999999</v>
      </c>
      <c r="M221" s="661"/>
      <c r="N221" s="658">
        <v>0</v>
      </c>
      <c r="O221" s="661"/>
      <c r="P221" s="658">
        <v>41576188.851999998</v>
      </c>
      <c r="Q221" s="661"/>
      <c r="R221" s="658">
        <v>38728844.681538448</v>
      </c>
      <c r="U221" s="283"/>
    </row>
    <row r="222" spans="1:21" ht="14.45" customHeight="1" x14ac:dyDescent="0.2">
      <c r="A222" s="252">
        <v>43</v>
      </c>
      <c r="U222" s="283"/>
    </row>
    <row r="223" spans="1:21" ht="14.1" customHeight="1" thickBot="1" x14ac:dyDescent="0.25">
      <c r="A223" s="252">
        <v>44</v>
      </c>
      <c r="B223" s="667" t="s">
        <v>186</v>
      </c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U223" s="283"/>
    </row>
    <row r="224" spans="1:21" ht="14.1" customHeight="1" x14ac:dyDescent="0.2">
      <c r="A224" s="252" t="s">
        <v>60</v>
      </c>
      <c r="P224" s="252" t="s">
        <v>60</v>
      </c>
      <c r="U224" s="283"/>
    </row>
    <row r="225" spans="1:21" ht="14.1" customHeight="1" thickBot="1" x14ac:dyDescent="0.25">
      <c r="A225" s="264" t="s">
        <v>127</v>
      </c>
      <c r="B225" s="264"/>
      <c r="C225" s="264"/>
      <c r="D225" s="264"/>
      <c r="E225" s="264"/>
      <c r="F225" s="264"/>
      <c r="G225" s="264" t="s">
        <v>128</v>
      </c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 t="s">
        <v>327</v>
      </c>
      <c r="U225" s="283"/>
    </row>
    <row r="226" spans="1:21" ht="14.1" customHeight="1" x14ac:dyDescent="0.2">
      <c r="A226" s="252" t="s">
        <v>129</v>
      </c>
      <c r="B226" s="285"/>
      <c r="E226" s="260" t="s">
        <v>130</v>
      </c>
      <c r="F226" s="252" t="s">
        <v>131</v>
      </c>
      <c r="J226" s="286"/>
      <c r="K226" s="286"/>
      <c r="M226" s="286"/>
      <c r="N226" s="286"/>
      <c r="O226" s="286" t="s">
        <v>187</v>
      </c>
      <c r="R226" s="261"/>
      <c r="U226" s="283"/>
    </row>
    <row r="227" spans="1:21" ht="14.1" customHeight="1" x14ac:dyDescent="0.2">
      <c r="B227" s="285"/>
      <c r="F227" s="252" t="s">
        <v>133</v>
      </c>
      <c r="J227" s="260"/>
      <c r="K227" s="261"/>
      <c r="N227" s="260"/>
      <c r="O227" s="260" t="s">
        <v>123</v>
      </c>
      <c r="P227" s="261" t="s">
        <v>1361</v>
      </c>
      <c r="R227" s="260"/>
      <c r="U227" s="283"/>
    </row>
    <row r="228" spans="1:21" ht="14.1" customHeight="1" x14ac:dyDescent="0.2">
      <c r="A228" s="252" t="s">
        <v>134</v>
      </c>
      <c r="B228" s="285"/>
      <c r="F228" s="252" t="s">
        <v>123</v>
      </c>
      <c r="J228" s="260"/>
      <c r="K228" s="261"/>
      <c r="L228" s="260"/>
      <c r="O228" s="260" t="s">
        <v>123</v>
      </c>
      <c r="P228" s="261">
        <v>0</v>
      </c>
      <c r="R228" s="260"/>
      <c r="U228" s="283"/>
    </row>
    <row r="229" spans="1:21" ht="14.1" customHeight="1" x14ac:dyDescent="0.2">
      <c r="B229" s="285"/>
      <c r="F229" s="252" t="s">
        <v>123</v>
      </c>
      <c r="J229" s="260"/>
      <c r="K229" s="261"/>
      <c r="L229" s="260"/>
      <c r="O229" s="260" t="s">
        <v>123</v>
      </c>
      <c r="P229" s="261"/>
      <c r="R229" s="260"/>
      <c r="U229" s="283"/>
    </row>
    <row r="230" spans="1:21" ht="14.1" customHeight="1" thickBot="1" x14ac:dyDescent="0.25">
      <c r="A230" s="264" t="s">
        <v>135</v>
      </c>
      <c r="B230" s="287"/>
      <c r="C230" s="264"/>
      <c r="D230" s="264"/>
      <c r="E230" s="264"/>
      <c r="F230" s="264" t="s">
        <v>123</v>
      </c>
      <c r="G230" s="264"/>
      <c r="H230" s="266"/>
      <c r="I230" s="264"/>
      <c r="J230" s="264"/>
      <c r="K230" s="264"/>
      <c r="L230" s="264"/>
      <c r="M230" s="264"/>
      <c r="N230" s="264"/>
      <c r="O230" s="264"/>
      <c r="P230" s="288"/>
      <c r="Q230" s="264"/>
      <c r="R230" s="264"/>
      <c r="U230" s="283"/>
    </row>
    <row r="231" spans="1:21" ht="14.1" customHeight="1" x14ac:dyDescent="0.2"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U231" s="283"/>
    </row>
    <row r="232" spans="1:21" ht="14.1" customHeight="1" x14ac:dyDescent="0.2">
      <c r="C232" s="267" t="s">
        <v>136</v>
      </c>
      <c r="D232" s="267" t="s">
        <v>137</v>
      </c>
      <c r="E232" s="267"/>
      <c r="F232" s="267" t="s">
        <v>138</v>
      </c>
      <c r="G232" s="267"/>
      <c r="H232" s="267" t="s">
        <v>139</v>
      </c>
      <c r="I232" s="267"/>
      <c r="J232" s="269" t="s">
        <v>140</v>
      </c>
      <c r="K232" s="269"/>
      <c r="L232" s="267" t="s">
        <v>141</v>
      </c>
      <c r="M232" s="267"/>
      <c r="N232" s="267" t="s">
        <v>142</v>
      </c>
      <c r="O232" s="267"/>
      <c r="P232" s="267" t="s">
        <v>143</v>
      </c>
      <c r="Q232" s="267"/>
      <c r="R232" s="267" t="s">
        <v>144</v>
      </c>
      <c r="U232" s="283"/>
    </row>
    <row r="233" spans="1:21" ht="14.1" customHeight="1" x14ac:dyDescent="0.2">
      <c r="C233" s="269" t="s">
        <v>145</v>
      </c>
      <c r="D233" s="269" t="s">
        <v>145</v>
      </c>
      <c r="F233" s="269" t="s">
        <v>6</v>
      </c>
      <c r="G233" s="269"/>
      <c r="H233" s="267" t="s">
        <v>48</v>
      </c>
      <c r="I233" s="269"/>
      <c r="J233" s="267" t="s">
        <v>40</v>
      </c>
      <c r="K233" s="269"/>
      <c r="L233" s="269" t="s">
        <v>40</v>
      </c>
      <c r="M233" s="269"/>
      <c r="P233" s="269" t="s">
        <v>48</v>
      </c>
      <c r="R233" s="269"/>
      <c r="U233" s="283"/>
    </row>
    <row r="234" spans="1:21" ht="14.1" customHeight="1" x14ac:dyDescent="0.2">
      <c r="A234" s="252" t="s">
        <v>146</v>
      </c>
      <c r="B234" s="269"/>
      <c r="C234" s="269" t="s">
        <v>147</v>
      </c>
      <c r="D234" s="269" t="s">
        <v>147</v>
      </c>
      <c r="E234" s="267"/>
      <c r="F234" s="269" t="s">
        <v>148</v>
      </c>
      <c r="G234" s="269"/>
      <c r="H234" s="269" t="s">
        <v>149</v>
      </c>
      <c r="I234" s="269"/>
      <c r="J234" s="269" t="s">
        <v>48</v>
      </c>
      <c r="K234" s="267"/>
      <c r="L234" s="269" t="s">
        <v>48</v>
      </c>
      <c r="M234" s="261"/>
      <c r="N234" s="269" t="s">
        <v>150</v>
      </c>
      <c r="O234" s="267"/>
      <c r="P234" s="267" t="s">
        <v>149</v>
      </c>
      <c r="Q234" s="267"/>
      <c r="R234" s="269" t="s">
        <v>151</v>
      </c>
      <c r="U234" s="283"/>
    </row>
    <row r="235" spans="1:21" ht="14.1" customHeight="1" thickBot="1" x14ac:dyDescent="0.25">
      <c r="A235" s="264" t="s">
        <v>152</v>
      </c>
      <c r="B235" s="266"/>
      <c r="C235" s="266" t="s">
        <v>52</v>
      </c>
      <c r="D235" s="266" t="s">
        <v>153</v>
      </c>
      <c r="E235" s="266"/>
      <c r="F235" s="270" t="s">
        <v>57</v>
      </c>
      <c r="G235" s="270"/>
      <c r="H235" s="270" t="s">
        <v>154</v>
      </c>
      <c r="I235" s="271"/>
      <c r="J235" s="270" t="s">
        <v>155</v>
      </c>
      <c r="K235" s="271"/>
      <c r="L235" s="271" t="s">
        <v>156</v>
      </c>
      <c r="M235" s="272"/>
      <c r="N235" s="272" t="s">
        <v>157</v>
      </c>
      <c r="O235" s="272"/>
      <c r="P235" s="272" t="s">
        <v>158</v>
      </c>
      <c r="Q235" s="272"/>
      <c r="R235" s="272" t="s">
        <v>3</v>
      </c>
      <c r="U235" s="283"/>
    </row>
    <row r="236" spans="1:21" ht="14.1" customHeight="1" x14ac:dyDescent="0.2">
      <c r="A236" s="252">
        <v>1</v>
      </c>
      <c r="B236" s="269"/>
      <c r="U236" s="283"/>
    </row>
    <row r="237" spans="1:21" ht="14.1" customHeight="1" x14ac:dyDescent="0.2">
      <c r="A237" s="252">
        <v>2</v>
      </c>
      <c r="B237" s="312"/>
      <c r="C237" s="269"/>
      <c r="D237" s="279" t="s">
        <v>220</v>
      </c>
      <c r="F237" s="313"/>
      <c r="H237" s="661"/>
      <c r="I237" s="661"/>
      <c r="J237" s="661"/>
      <c r="K237" s="661"/>
      <c r="L237" s="661"/>
      <c r="M237" s="661"/>
      <c r="N237" s="661"/>
      <c r="O237" s="661"/>
      <c r="P237" s="661"/>
      <c r="Q237" s="661"/>
      <c r="R237" s="661"/>
      <c r="U237" s="283"/>
    </row>
    <row r="238" spans="1:21" ht="14.1" customHeight="1" x14ac:dyDescent="0.2">
      <c r="A238" s="252">
        <v>3</v>
      </c>
      <c r="B238" s="312"/>
      <c r="C238" s="267">
        <v>34185</v>
      </c>
      <c r="D238" s="252" t="s">
        <v>161</v>
      </c>
      <c r="F238" s="313">
        <v>2.4</v>
      </c>
      <c r="G238" s="260"/>
      <c r="H238" s="655">
        <v>5746580.1099999994</v>
      </c>
      <c r="I238" s="656"/>
      <c r="J238" s="655">
        <v>0</v>
      </c>
      <c r="K238" s="603"/>
      <c r="L238" s="655">
        <v>0</v>
      </c>
      <c r="M238" s="603"/>
      <c r="N238" s="655">
        <v>0</v>
      </c>
      <c r="O238" s="603"/>
      <c r="P238" s="655">
        <v>5746580.1099999994</v>
      </c>
      <c r="Q238" s="603"/>
      <c r="R238" s="655">
        <v>5746580.1099999994</v>
      </c>
      <c r="U238" s="283"/>
    </row>
    <row r="239" spans="1:21" ht="14.1" customHeight="1" x14ac:dyDescent="0.2">
      <c r="A239" s="252">
        <v>4</v>
      </c>
      <c r="B239" s="312"/>
      <c r="C239" s="267">
        <v>34285</v>
      </c>
      <c r="D239" s="252" t="s">
        <v>206</v>
      </c>
      <c r="F239" s="313">
        <v>3.4000000000000004</v>
      </c>
      <c r="G239" s="260"/>
      <c r="H239" s="655">
        <v>2200049.62</v>
      </c>
      <c r="I239" s="656"/>
      <c r="J239" s="655">
        <v>793015.06999999983</v>
      </c>
      <c r="K239" s="603"/>
      <c r="L239" s="655">
        <v>-158603.014</v>
      </c>
      <c r="M239" s="603"/>
      <c r="N239" s="655">
        <v>0</v>
      </c>
      <c r="O239" s="603"/>
      <c r="P239" s="655">
        <v>2834461.676</v>
      </c>
      <c r="Q239" s="603"/>
      <c r="R239" s="655">
        <v>2507112.775076923</v>
      </c>
      <c r="U239" s="283"/>
    </row>
    <row r="240" spans="1:21" ht="14.1" customHeight="1" x14ac:dyDescent="0.2">
      <c r="A240" s="252">
        <v>5</v>
      </c>
      <c r="B240" s="312"/>
      <c r="C240" s="267">
        <v>34385</v>
      </c>
      <c r="D240" s="252" t="s">
        <v>207</v>
      </c>
      <c r="F240" s="313">
        <v>3.9</v>
      </c>
      <c r="G240" s="260"/>
      <c r="H240" s="655">
        <v>25066750.429999996</v>
      </c>
      <c r="I240" s="656"/>
      <c r="J240" s="655">
        <v>793015.06999999983</v>
      </c>
      <c r="K240" s="603"/>
      <c r="L240" s="655">
        <v>-158603.014</v>
      </c>
      <c r="M240" s="603"/>
      <c r="N240" s="655">
        <v>0</v>
      </c>
      <c r="O240" s="603"/>
      <c r="P240" s="655">
        <v>25701162.485999998</v>
      </c>
      <c r="Q240" s="603"/>
      <c r="R240" s="655">
        <v>25373813.585076928</v>
      </c>
      <c r="U240" s="283"/>
    </row>
    <row r="241" spans="1:21" ht="14.1" customHeight="1" x14ac:dyDescent="0.2">
      <c r="A241" s="252">
        <v>6</v>
      </c>
      <c r="B241" s="312"/>
      <c r="C241" s="267">
        <v>34585</v>
      </c>
      <c r="D241" s="252" t="s">
        <v>164</v>
      </c>
      <c r="F241" s="313">
        <v>3.9</v>
      </c>
      <c r="G241" s="260"/>
      <c r="H241" s="655">
        <v>5465054.8999999994</v>
      </c>
      <c r="I241" s="656"/>
      <c r="J241" s="655">
        <v>0</v>
      </c>
      <c r="K241" s="603"/>
      <c r="L241" s="655">
        <v>0</v>
      </c>
      <c r="M241" s="603"/>
      <c r="N241" s="655">
        <v>0</v>
      </c>
      <c r="O241" s="603"/>
      <c r="P241" s="655">
        <v>5465054.8999999994</v>
      </c>
      <c r="Q241" s="603"/>
      <c r="R241" s="655">
        <v>5465054.8999999994</v>
      </c>
      <c r="U241" s="283"/>
    </row>
    <row r="242" spans="1:21" ht="14.1" customHeight="1" x14ac:dyDescent="0.2">
      <c r="A242" s="252">
        <v>7</v>
      </c>
      <c r="B242" s="269"/>
      <c r="C242" s="267">
        <v>34685</v>
      </c>
      <c r="D242" s="252" t="s">
        <v>165</v>
      </c>
      <c r="F242" s="313">
        <v>3.9</v>
      </c>
      <c r="G242" s="260"/>
      <c r="H242" s="655">
        <v>0</v>
      </c>
      <c r="I242" s="656"/>
      <c r="J242" s="655">
        <v>0</v>
      </c>
      <c r="K242" s="603"/>
      <c r="L242" s="655">
        <v>0</v>
      </c>
      <c r="M242" s="603"/>
      <c r="N242" s="655">
        <v>0</v>
      </c>
      <c r="O242" s="603"/>
      <c r="P242" s="655">
        <v>0</v>
      </c>
      <c r="Q242" s="603"/>
      <c r="R242" s="655">
        <v>0</v>
      </c>
      <c r="U242" s="283"/>
    </row>
    <row r="243" spans="1:21" ht="14.1" customHeight="1" x14ac:dyDescent="0.2">
      <c r="A243" s="252">
        <v>8</v>
      </c>
      <c r="B243" s="269"/>
      <c r="C243" s="269"/>
      <c r="D243" s="279" t="s">
        <v>221</v>
      </c>
      <c r="F243" s="313"/>
      <c r="H243" s="658">
        <v>38478435.059999995</v>
      </c>
      <c r="I243" s="661"/>
      <c r="J243" s="658">
        <v>1586030.1399999997</v>
      </c>
      <c r="K243" s="661"/>
      <c r="L243" s="658">
        <v>-317206.02799999999</v>
      </c>
      <c r="M243" s="661"/>
      <c r="N243" s="658">
        <v>0</v>
      </c>
      <c r="O243" s="661"/>
      <c r="P243" s="658">
        <v>39747259.171999998</v>
      </c>
      <c r="Q243" s="661"/>
      <c r="R243" s="658">
        <v>39092561.370153852</v>
      </c>
      <c r="U243" s="283"/>
    </row>
    <row r="244" spans="1:21" s="83" customFormat="1" ht="14.1" customHeight="1" x14ac:dyDescent="0.2">
      <c r="A244" s="83">
        <v>9</v>
      </c>
      <c r="B244" s="299"/>
      <c r="U244" s="297"/>
    </row>
    <row r="245" spans="1:21" ht="14.1" customHeight="1" x14ac:dyDescent="0.2">
      <c r="A245" s="252">
        <v>10</v>
      </c>
      <c r="B245" s="269"/>
      <c r="C245" s="269"/>
      <c r="D245" s="279" t="s">
        <v>1374</v>
      </c>
      <c r="F245" s="313"/>
      <c r="H245" s="661"/>
      <c r="I245" s="661"/>
      <c r="J245" s="661"/>
      <c r="K245" s="661"/>
      <c r="L245" s="661"/>
      <c r="M245" s="661"/>
      <c r="N245" s="661"/>
      <c r="O245" s="661"/>
      <c r="P245" s="661"/>
      <c r="Q245" s="661"/>
      <c r="R245" s="661"/>
      <c r="U245" s="283"/>
    </row>
    <row r="246" spans="1:21" ht="14.1" customHeight="1" x14ac:dyDescent="0.2">
      <c r="A246" s="252">
        <v>11</v>
      </c>
      <c r="B246" s="269"/>
      <c r="C246" s="267">
        <v>34186</v>
      </c>
      <c r="D246" s="252" t="s">
        <v>161</v>
      </c>
      <c r="F246" s="313">
        <v>2.9000000000000004</v>
      </c>
      <c r="G246" s="260"/>
      <c r="H246" s="655">
        <v>13374554.049999999</v>
      </c>
      <c r="I246" s="656"/>
      <c r="J246" s="655">
        <v>0</v>
      </c>
      <c r="K246" s="603"/>
      <c r="L246" s="655">
        <v>0</v>
      </c>
      <c r="M246" s="603"/>
      <c r="N246" s="655">
        <v>0</v>
      </c>
      <c r="O246" s="603"/>
      <c r="P246" s="655">
        <v>13374554.049999999</v>
      </c>
      <c r="Q246" s="603"/>
      <c r="R246" s="655">
        <v>13374554.050000001</v>
      </c>
      <c r="U246" s="283"/>
    </row>
    <row r="247" spans="1:21" ht="14.1" customHeight="1" x14ac:dyDescent="0.2">
      <c r="A247" s="252">
        <v>12</v>
      </c>
      <c r="B247" s="312"/>
      <c r="C247" s="267">
        <v>34286</v>
      </c>
      <c r="D247" s="252" t="s">
        <v>206</v>
      </c>
      <c r="F247" s="313">
        <v>2.9000000000000004</v>
      </c>
      <c r="G247" s="260"/>
      <c r="H247" s="655">
        <v>213605988.15999988</v>
      </c>
      <c r="I247" s="656"/>
      <c r="J247" s="655">
        <v>1304239</v>
      </c>
      <c r="K247" s="603"/>
      <c r="L247" s="655">
        <v>-260847.80000000002</v>
      </c>
      <c r="M247" s="603"/>
      <c r="N247" s="655">
        <v>0</v>
      </c>
      <c r="O247" s="603"/>
      <c r="P247" s="655">
        <v>214649379.35999987</v>
      </c>
      <c r="Q247" s="603"/>
      <c r="R247" s="655">
        <v>213806754.80615371</v>
      </c>
      <c r="U247" s="283"/>
    </row>
    <row r="248" spans="1:21" ht="14.1" customHeight="1" x14ac:dyDescent="0.2">
      <c r="A248" s="252">
        <v>13</v>
      </c>
      <c r="B248" s="312"/>
      <c r="C248" s="267">
        <v>34386</v>
      </c>
      <c r="D248" s="252" t="s">
        <v>207</v>
      </c>
      <c r="F248" s="313">
        <v>2.9000000000000004</v>
      </c>
      <c r="G248" s="260"/>
      <c r="H248" s="655">
        <v>223608772.67999992</v>
      </c>
      <c r="I248" s="656"/>
      <c r="J248" s="655">
        <v>1304239</v>
      </c>
      <c r="K248" s="603"/>
      <c r="L248" s="655">
        <v>-260847.80000000002</v>
      </c>
      <c r="M248" s="603"/>
      <c r="N248" s="655">
        <v>0</v>
      </c>
      <c r="O248" s="603"/>
      <c r="P248" s="655">
        <v>224652163.87999991</v>
      </c>
      <c r="Q248" s="603"/>
      <c r="R248" s="655">
        <v>223809539.32615376</v>
      </c>
      <c r="U248" s="283"/>
    </row>
    <row r="249" spans="1:21" ht="14.1" customHeight="1" x14ac:dyDescent="0.2">
      <c r="A249" s="252">
        <v>14</v>
      </c>
      <c r="B249" s="312"/>
      <c r="C249" s="267">
        <v>34586</v>
      </c>
      <c r="D249" s="252" t="s">
        <v>164</v>
      </c>
      <c r="F249" s="313">
        <v>2.9000000000000004</v>
      </c>
      <c r="G249" s="260"/>
      <c r="H249" s="655">
        <v>18335993.590000004</v>
      </c>
      <c r="I249" s="656"/>
      <c r="J249" s="655">
        <v>0</v>
      </c>
      <c r="K249" s="603"/>
      <c r="L249" s="655">
        <v>0</v>
      </c>
      <c r="M249" s="603"/>
      <c r="N249" s="655">
        <v>0</v>
      </c>
      <c r="O249" s="603"/>
      <c r="P249" s="655">
        <v>18335993.590000004</v>
      </c>
      <c r="Q249" s="603"/>
      <c r="R249" s="655">
        <v>18335993.590000004</v>
      </c>
      <c r="U249" s="283"/>
    </row>
    <row r="250" spans="1:21" ht="14.1" customHeight="1" x14ac:dyDescent="0.2">
      <c r="A250" s="252">
        <v>15</v>
      </c>
      <c r="B250" s="312"/>
      <c r="C250" s="267">
        <v>34686</v>
      </c>
      <c r="D250" s="252" t="s">
        <v>164</v>
      </c>
      <c r="F250" s="313">
        <v>2.9000000000000004</v>
      </c>
      <c r="G250" s="260"/>
      <c r="H250" s="655">
        <v>141626.41</v>
      </c>
      <c r="I250" s="656"/>
      <c r="J250" s="655">
        <v>0</v>
      </c>
      <c r="K250" s="603"/>
      <c r="L250" s="655">
        <v>0</v>
      </c>
      <c r="M250" s="603"/>
      <c r="N250" s="655">
        <v>0</v>
      </c>
      <c r="O250" s="603"/>
      <c r="P250" s="655">
        <v>141626.41</v>
      </c>
      <c r="Q250" s="603"/>
      <c r="R250" s="655">
        <v>141626.40999999997</v>
      </c>
      <c r="U250" s="283"/>
    </row>
    <row r="251" spans="1:21" ht="14.1" customHeight="1" x14ac:dyDescent="0.2">
      <c r="A251" s="252">
        <v>16</v>
      </c>
      <c r="B251" s="312"/>
      <c r="C251" s="267"/>
      <c r="D251" s="279" t="s">
        <v>1375</v>
      </c>
      <c r="F251" s="313"/>
      <c r="H251" s="658">
        <v>469066934.88999981</v>
      </c>
      <c r="I251" s="661"/>
      <c r="J251" s="658">
        <v>2608478</v>
      </c>
      <c r="K251" s="661"/>
      <c r="L251" s="658">
        <v>-521695.60000000003</v>
      </c>
      <c r="M251" s="661"/>
      <c r="N251" s="658">
        <v>0</v>
      </c>
      <c r="O251" s="661"/>
      <c r="P251" s="658">
        <v>471153717.28999978</v>
      </c>
      <c r="Q251" s="661"/>
      <c r="R251" s="658">
        <v>469468468.18230754</v>
      </c>
      <c r="U251" s="283"/>
    </row>
    <row r="252" spans="1:21" ht="14.1" customHeight="1" x14ac:dyDescent="0.2">
      <c r="A252" s="252">
        <v>17</v>
      </c>
      <c r="B252" s="312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U252" s="283"/>
    </row>
    <row r="253" spans="1:21" ht="14.1" customHeight="1" x14ac:dyDescent="0.2">
      <c r="A253" s="252">
        <v>18</v>
      </c>
      <c r="B253" s="312"/>
      <c r="C253" s="267">
        <v>34287</v>
      </c>
      <c r="D253" s="279" t="s">
        <v>1376</v>
      </c>
      <c r="F253" s="313">
        <v>20</v>
      </c>
      <c r="G253" s="319"/>
      <c r="H253" s="655">
        <v>4.4383341446518898E-10</v>
      </c>
      <c r="I253" s="656"/>
      <c r="J253" s="655">
        <v>0</v>
      </c>
      <c r="K253" s="603"/>
      <c r="L253" s="655">
        <v>0</v>
      </c>
      <c r="M253" s="603"/>
      <c r="N253" s="655">
        <v>0</v>
      </c>
      <c r="O253" s="603"/>
      <c r="P253" s="655">
        <v>4.4383341446518898E-10</v>
      </c>
      <c r="Q253" s="603"/>
      <c r="R253" s="655">
        <v>4.4383341446518898E-10</v>
      </c>
      <c r="U253" s="283"/>
    </row>
    <row r="254" spans="1:21" ht="14.1" customHeight="1" x14ac:dyDescent="0.2">
      <c r="A254" s="252">
        <v>19</v>
      </c>
      <c r="B254" s="312"/>
      <c r="U254" s="283"/>
    </row>
    <row r="255" spans="1:21" ht="14.1" customHeight="1" x14ac:dyDescent="0.2">
      <c r="A255" s="252">
        <v>20</v>
      </c>
      <c r="B255" s="312"/>
      <c r="C255" s="267">
        <v>34687</v>
      </c>
      <c r="D255" s="252" t="s">
        <v>223</v>
      </c>
      <c r="F255" s="313">
        <v>14.3</v>
      </c>
      <c r="G255" s="260"/>
      <c r="H255" s="655">
        <v>1200400.2800000003</v>
      </c>
      <c r="I255" s="656"/>
      <c r="J255" s="655">
        <v>0</v>
      </c>
      <c r="K255" s="603"/>
      <c r="L255" s="655">
        <v>-429295.52999999997</v>
      </c>
      <c r="M255" s="603"/>
      <c r="N255" s="655">
        <v>0</v>
      </c>
      <c r="O255" s="603"/>
      <c r="P255" s="655">
        <v>771104.75000000023</v>
      </c>
      <c r="Q255" s="603"/>
      <c r="R255" s="655">
        <v>1167377.5469230774</v>
      </c>
      <c r="U255" s="283"/>
    </row>
    <row r="256" spans="1:21" ht="14.1" customHeight="1" x14ac:dyDescent="0.2">
      <c r="A256" s="252">
        <v>21</v>
      </c>
      <c r="B256" s="312"/>
      <c r="C256" s="269"/>
      <c r="F256" s="313"/>
      <c r="H256" s="658"/>
      <c r="I256" s="661"/>
      <c r="J256" s="658"/>
      <c r="K256" s="661"/>
      <c r="L256" s="658"/>
      <c r="M256" s="661"/>
      <c r="N256" s="658"/>
      <c r="O256" s="661"/>
      <c r="P256" s="658"/>
      <c r="Q256" s="661"/>
      <c r="R256" s="658"/>
      <c r="U256" s="283"/>
    </row>
    <row r="257" spans="1:21" ht="14.1" customHeight="1" thickBot="1" x14ac:dyDescent="0.25">
      <c r="A257" s="252">
        <v>22</v>
      </c>
      <c r="B257" s="312"/>
      <c r="C257" s="299"/>
      <c r="D257" s="83" t="s">
        <v>74</v>
      </c>
      <c r="E257" s="83"/>
      <c r="F257" s="315"/>
      <c r="G257" s="83"/>
      <c r="H257" s="665">
        <v>1377343941.1800001</v>
      </c>
      <c r="I257" s="674"/>
      <c r="J257" s="665">
        <v>42874791.390000001</v>
      </c>
      <c r="K257" s="674"/>
      <c r="L257" s="665">
        <v>-9004253.8080000002</v>
      </c>
      <c r="M257" s="674"/>
      <c r="N257" s="665">
        <v>0</v>
      </c>
      <c r="O257" s="674"/>
      <c r="P257" s="665">
        <v>1411214478.7620003</v>
      </c>
      <c r="Q257" s="674"/>
      <c r="R257" s="665">
        <v>1389880001.9663076</v>
      </c>
      <c r="U257" s="283"/>
    </row>
    <row r="258" spans="1:21" ht="14.1" customHeight="1" thickTop="1" x14ac:dyDescent="0.2">
      <c r="A258" s="252">
        <v>23</v>
      </c>
      <c r="B258" s="312"/>
      <c r="U258" s="283"/>
    </row>
    <row r="259" spans="1:21" ht="14.1" customHeight="1" x14ac:dyDescent="0.2">
      <c r="A259" s="252">
        <v>24</v>
      </c>
      <c r="B259" s="312"/>
      <c r="U259" s="283"/>
    </row>
    <row r="260" spans="1:21" ht="14.1" customHeight="1" x14ac:dyDescent="0.2">
      <c r="A260" s="252">
        <v>25</v>
      </c>
      <c r="B260" s="312"/>
      <c r="D260" s="83" t="s">
        <v>62</v>
      </c>
      <c r="U260" s="283"/>
    </row>
    <row r="261" spans="1:21" ht="14.1" customHeight="1" x14ac:dyDescent="0.2">
      <c r="A261" s="252">
        <v>26</v>
      </c>
      <c r="B261" s="314"/>
      <c r="D261" s="279" t="s">
        <v>224</v>
      </c>
      <c r="F261" s="313"/>
      <c r="H261" s="253"/>
      <c r="I261" s="661"/>
      <c r="J261" s="253"/>
      <c r="K261" s="661"/>
      <c r="L261" s="253"/>
      <c r="M261" s="661"/>
      <c r="N261" s="253"/>
      <c r="O261" s="661"/>
      <c r="P261" s="253"/>
      <c r="Q261" s="661"/>
      <c r="R261" s="253"/>
      <c r="U261" s="283"/>
    </row>
    <row r="262" spans="1:21" ht="14.1" customHeight="1" x14ac:dyDescent="0.2">
      <c r="A262" s="252">
        <v>27</v>
      </c>
      <c r="B262" s="314"/>
      <c r="C262" s="269">
        <v>34130</v>
      </c>
      <c r="D262" s="252" t="s">
        <v>161</v>
      </c>
      <c r="F262" s="313">
        <v>2.2999999999999998</v>
      </c>
      <c r="G262" s="260"/>
      <c r="H262" s="655">
        <v>84179579.349999994</v>
      </c>
      <c r="I262" s="656"/>
      <c r="J262" s="655">
        <v>0</v>
      </c>
      <c r="K262" s="603"/>
      <c r="L262" s="655">
        <v>0</v>
      </c>
      <c r="M262" s="603"/>
      <c r="N262" s="655">
        <v>0</v>
      </c>
      <c r="O262" s="603"/>
      <c r="P262" s="655">
        <v>84179579.349999994</v>
      </c>
      <c r="Q262" s="603"/>
      <c r="R262" s="655">
        <v>84179579.350000009</v>
      </c>
      <c r="U262" s="283"/>
    </row>
    <row r="263" spans="1:21" ht="14.1" customHeight="1" x14ac:dyDescent="0.2">
      <c r="A263" s="252">
        <v>28</v>
      </c>
      <c r="B263" s="314"/>
      <c r="C263" s="269">
        <v>34230</v>
      </c>
      <c r="D263" s="252" t="s">
        <v>206</v>
      </c>
      <c r="F263" s="313">
        <v>2.5</v>
      </c>
      <c r="G263" s="260"/>
      <c r="H263" s="655">
        <v>22664040.790000007</v>
      </c>
      <c r="I263" s="656"/>
      <c r="J263" s="655">
        <v>7695232.669999999</v>
      </c>
      <c r="K263" s="603"/>
      <c r="L263" s="655">
        <v>-1539046.534</v>
      </c>
      <c r="M263" s="603"/>
      <c r="N263" s="655">
        <v>0</v>
      </c>
      <c r="O263" s="603"/>
      <c r="P263" s="655">
        <v>28820226.926000006</v>
      </c>
      <c r="Q263" s="603"/>
      <c r="R263" s="655">
        <v>24366462.332461543</v>
      </c>
      <c r="U263" s="283"/>
    </row>
    <row r="264" spans="1:21" ht="14.1" customHeight="1" x14ac:dyDescent="0.2">
      <c r="A264" s="252">
        <v>29</v>
      </c>
      <c r="B264" s="312"/>
      <c r="C264" s="269">
        <v>34330</v>
      </c>
      <c r="D264" s="252" t="s">
        <v>207</v>
      </c>
      <c r="F264" s="313">
        <v>3.2</v>
      </c>
      <c r="G264" s="260"/>
      <c r="H264" s="655">
        <v>38938954.289999999</v>
      </c>
      <c r="I264" s="656"/>
      <c r="J264" s="655">
        <v>7695232.669999999</v>
      </c>
      <c r="K264" s="603"/>
      <c r="L264" s="655">
        <v>-1539046.534</v>
      </c>
      <c r="M264" s="603"/>
      <c r="N264" s="655">
        <v>0</v>
      </c>
      <c r="O264" s="603"/>
      <c r="P264" s="655">
        <v>45095140.425999999</v>
      </c>
      <c r="Q264" s="603"/>
      <c r="R264" s="655">
        <v>40641375.832461543</v>
      </c>
      <c r="U264" s="283"/>
    </row>
    <row r="265" spans="1:21" ht="14.1" customHeight="1" x14ac:dyDescent="0.2">
      <c r="A265" s="252">
        <v>30</v>
      </c>
      <c r="B265" s="312"/>
      <c r="C265" s="269">
        <v>34530</v>
      </c>
      <c r="D265" s="252" t="s">
        <v>164</v>
      </c>
      <c r="F265" s="313">
        <v>4.2</v>
      </c>
      <c r="G265" s="260"/>
      <c r="H265" s="655">
        <v>29294635.780000001</v>
      </c>
      <c r="I265" s="656"/>
      <c r="J265" s="655">
        <v>0</v>
      </c>
      <c r="K265" s="603"/>
      <c r="L265" s="655">
        <v>0</v>
      </c>
      <c r="M265" s="603"/>
      <c r="N265" s="655">
        <v>0</v>
      </c>
      <c r="O265" s="603"/>
      <c r="P265" s="655">
        <v>29294635.780000001</v>
      </c>
      <c r="Q265" s="603"/>
      <c r="R265" s="655">
        <v>29294635.779999997</v>
      </c>
      <c r="U265" s="283"/>
    </row>
    <row r="266" spans="1:21" ht="14.1" customHeight="1" x14ac:dyDescent="0.2">
      <c r="A266" s="252">
        <v>31</v>
      </c>
      <c r="B266" s="312"/>
      <c r="C266" s="269">
        <v>34630</v>
      </c>
      <c r="D266" s="252" t="s">
        <v>165</v>
      </c>
      <c r="F266" s="313">
        <v>3.2</v>
      </c>
      <c r="G266" s="260"/>
      <c r="H266" s="655">
        <v>11054023.24</v>
      </c>
      <c r="I266" s="656"/>
      <c r="J266" s="655">
        <v>0</v>
      </c>
      <c r="K266" s="603"/>
      <c r="L266" s="655">
        <v>0</v>
      </c>
      <c r="M266" s="603"/>
      <c r="N266" s="655">
        <v>0</v>
      </c>
      <c r="O266" s="603"/>
      <c r="P266" s="655">
        <v>11054023.24</v>
      </c>
      <c r="Q266" s="603"/>
      <c r="R266" s="655">
        <v>11054023.239999998</v>
      </c>
      <c r="U266" s="283"/>
    </row>
    <row r="267" spans="1:21" ht="14.1" customHeight="1" x14ac:dyDescent="0.2">
      <c r="A267" s="252">
        <v>32</v>
      </c>
      <c r="B267" s="312"/>
      <c r="C267" s="269"/>
      <c r="D267" s="279" t="s">
        <v>225</v>
      </c>
      <c r="F267" s="313"/>
      <c r="H267" s="658">
        <v>186131233.45000002</v>
      </c>
      <c r="I267" s="661"/>
      <c r="J267" s="658">
        <v>15390465.339999998</v>
      </c>
      <c r="K267" s="661"/>
      <c r="L267" s="658">
        <v>-3078093.068</v>
      </c>
      <c r="M267" s="661"/>
      <c r="N267" s="658">
        <v>0</v>
      </c>
      <c r="O267" s="661"/>
      <c r="P267" s="658">
        <v>198443605.722</v>
      </c>
      <c r="Q267" s="661"/>
      <c r="R267" s="658">
        <v>189536076.53492311</v>
      </c>
      <c r="U267" s="283"/>
    </row>
    <row r="268" spans="1:21" ht="14.1" customHeight="1" x14ac:dyDescent="0.2">
      <c r="A268" s="252">
        <v>33</v>
      </c>
      <c r="B268" s="312"/>
      <c r="U268" s="283"/>
    </row>
    <row r="269" spans="1:21" ht="14.1" customHeight="1" x14ac:dyDescent="0.2">
      <c r="A269" s="252">
        <v>34</v>
      </c>
      <c r="D269" s="279" t="s">
        <v>226</v>
      </c>
      <c r="H269" s="675"/>
      <c r="I269" s="675"/>
      <c r="J269" s="675"/>
      <c r="K269" s="675"/>
      <c r="L269" s="307"/>
      <c r="M269" s="307"/>
      <c r="N269" s="307"/>
      <c r="O269" s="307"/>
      <c r="P269" s="675"/>
      <c r="Q269" s="675"/>
      <c r="R269" s="675"/>
      <c r="U269" s="283"/>
    </row>
    <row r="270" spans="1:21" ht="14.1" customHeight="1" x14ac:dyDescent="0.2">
      <c r="A270" s="252">
        <v>35</v>
      </c>
      <c r="C270" s="267">
        <v>34131</v>
      </c>
      <c r="D270" s="252" t="s">
        <v>161</v>
      </c>
      <c r="F270" s="313">
        <v>2.5</v>
      </c>
      <c r="G270" s="260"/>
      <c r="H270" s="655">
        <v>21508359.090000004</v>
      </c>
      <c r="I270" s="656"/>
      <c r="J270" s="655">
        <v>0</v>
      </c>
      <c r="K270" s="603"/>
      <c r="L270" s="655">
        <v>0</v>
      </c>
      <c r="M270" s="603"/>
      <c r="N270" s="655">
        <v>0</v>
      </c>
      <c r="O270" s="603"/>
      <c r="P270" s="655">
        <v>21508359.090000004</v>
      </c>
      <c r="Q270" s="603"/>
      <c r="R270" s="655">
        <v>21508359.090000007</v>
      </c>
      <c r="U270" s="283"/>
    </row>
    <row r="271" spans="1:21" ht="14.1" customHeight="1" x14ac:dyDescent="0.2">
      <c r="A271" s="252">
        <v>36</v>
      </c>
      <c r="C271" s="267">
        <v>34231</v>
      </c>
      <c r="D271" s="252" t="s">
        <v>206</v>
      </c>
      <c r="F271" s="313">
        <v>2.9</v>
      </c>
      <c r="G271" s="260"/>
      <c r="H271" s="655">
        <v>78045137.230000034</v>
      </c>
      <c r="I271" s="656"/>
      <c r="J271" s="655">
        <v>3747326.7150000003</v>
      </c>
      <c r="K271" s="603"/>
      <c r="L271" s="655">
        <v>-749465.34299999999</v>
      </c>
      <c r="M271" s="603"/>
      <c r="N271" s="655">
        <v>0</v>
      </c>
      <c r="O271" s="603"/>
      <c r="P271" s="655">
        <v>81042998.602000043</v>
      </c>
      <c r="Q271" s="603"/>
      <c r="R271" s="655">
        <v>79764286.23984617</v>
      </c>
      <c r="U271" s="283"/>
    </row>
    <row r="272" spans="1:21" ht="14.1" customHeight="1" x14ac:dyDescent="0.2">
      <c r="A272" s="252">
        <v>37</v>
      </c>
      <c r="C272" s="267">
        <v>34331</v>
      </c>
      <c r="D272" s="252" t="s">
        <v>207</v>
      </c>
      <c r="F272" s="313">
        <v>4.2</v>
      </c>
      <c r="G272" s="260"/>
      <c r="H272" s="655">
        <v>210494016.60000005</v>
      </c>
      <c r="I272" s="656"/>
      <c r="J272" s="655">
        <v>3747326.7150000003</v>
      </c>
      <c r="K272" s="603"/>
      <c r="L272" s="655">
        <v>-749465.34299999999</v>
      </c>
      <c r="M272" s="603"/>
      <c r="N272" s="655">
        <v>0</v>
      </c>
      <c r="O272" s="603"/>
      <c r="P272" s="655">
        <v>213491877.97200006</v>
      </c>
      <c r="Q272" s="603"/>
      <c r="R272" s="655">
        <v>212213165.60984623</v>
      </c>
      <c r="U272" s="283"/>
    </row>
    <row r="273" spans="1:21" ht="14.1" customHeight="1" x14ac:dyDescent="0.2">
      <c r="A273" s="252">
        <v>38</v>
      </c>
      <c r="C273" s="267">
        <v>34531</v>
      </c>
      <c r="D273" s="252" t="s">
        <v>164</v>
      </c>
      <c r="F273" s="313">
        <v>3.2</v>
      </c>
      <c r="G273" s="260"/>
      <c r="H273" s="655">
        <v>39338144.729999989</v>
      </c>
      <c r="I273" s="656"/>
      <c r="J273" s="655">
        <v>0</v>
      </c>
      <c r="K273" s="603"/>
      <c r="L273" s="655">
        <v>0</v>
      </c>
      <c r="M273" s="603"/>
      <c r="N273" s="655">
        <v>0</v>
      </c>
      <c r="O273" s="603"/>
      <c r="P273" s="655">
        <v>39338144.729999989</v>
      </c>
      <c r="Q273" s="603"/>
      <c r="R273" s="655">
        <v>39338144.730000004</v>
      </c>
      <c r="U273" s="283"/>
    </row>
    <row r="274" spans="1:21" ht="14.1" customHeight="1" x14ac:dyDescent="0.2">
      <c r="A274" s="252">
        <v>39</v>
      </c>
      <c r="C274" s="267">
        <v>34631</v>
      </c>
      <c r="D274" s="252" t="s">
        <v>165</v>
      </c>
      <c r="F274" s="313">
        <v>2.7</v>
      </c>
      <c r="G274" s="260"/>
      <c r="H274" s="655">
        <v>1152705.94</v>
      </c>
      <c r="I274" s="656"/>
      <c r="J274" s="655">
        <v>0</v>
      </c>
      <c r="K274" s="603"/>
      <c r="L274" s="655">
        <v>0</v>
      </c>
      <c r="M274" s="603"/>
      <c r="N274" s="655">
        <v>0</v>
      </c>
      <c r="O274" s="603"/>
      <c r="P274" s="655">
        <v>1152705.94</v>
      </c>
      <c r="Q274" s="603"/>
      <c r="R274" s="655">
        <v>1152705.9399999997</v>
      </c>
      <c r="U274" s="283"/>
    </row>
    <row r="275" spans="1:21" ht="14.1" customHeight="1" x14ac:dyDescent="0.2">
      <c r="A275" s="252">
        <v>40</v>
      </c>
      <c r="C275" s="269"/>
      <c r="D275" s="279" t="s">
        <v>227</v>
      </c>
      <c r="F275" s="313"/>
      <c r="H275" s="658">
        <v>350538363.59000009</v>
      </c>
      <c r="I275" s="661"/>
      <c r="J275" s="658">
        <v>7494653.4300000006</v>
      </c>
      <c r="K275" s="661"/>
      <c r="L275" s="658">
        <v>-1498930.686</v>
      </c>
      <c r="M275" s="661"/>
      <c r="N275" s="658">
        <v>0</v>
      </c>
      <c r="O275" s="661"/>
      <c r="P275" s="658">
        <v>356534086.33400005</v>
      </c>
      <c r="Q275" s="661"/>
      <c r="R275" s="658">
        <v>353976661.60969239</v>
      </c>
      <c r="U275" s="283"/>
    </row>
    <row r="276" spans="1:21" ht="14.1" customHeight="1" x14ac:dyDescent="0.2">
      <c r="A276" s="252">
        <v>41</v>
      </c>
      <c r="U276" s="283"/>
    </row>
    <row r="277" spans="1:21" ht="14.1" customHeight="1" x14ac:dyDescent="0.2">
      <c r="A277" s="252">
        <v>42</v>
      </c>
      <c r="U277" s="283"/>
    </row>
    <row r="278" spans="1:21" ht="14.1" customHeight="1" x14ac:dyDescent="0.2">
      <c r="A278" s="252">
        <v>43</v>
      </c>
      <c r="U278" s="283"/>
    </row>
    <row r="279" spans="1:21" ht="14.1" customHeight="1" thickBot="1" x14ac:dyDescent="0.25">
      <c r="A279" s="252">
        <v>44</v>
      </c>
      <c r="B279" s="667" t="s">
        <v>186</v>
      </c>
      <c r="C279" s="264"/>
      <c r="D279" s="264"/>
      <c r="E279" s="264"/>
      <c r="F279" s="264"/>
      <c r="G279" s="264"/>
      <c r="H279" s="264"/>
      <c r="I279" s="264"/>
      <c r="J279" s="264"/>
      <c r="K279" s="264"/>
      <c r="L279" s="264"/>
      <c r="M279" s="264"/>
      <c r="N279" s="264"/>
      <c r="O279" s="264"/>
      <c r="P279" s="264"/>
      <c r="Q279" s="264"/>
      <c r="R279" s="264"/>
      <c r="U279" s="283"/>
    </row>
    <row r="280" spans="1:21" ht="14.1" customHeight="1" x14ac:dyDescent="0.2">
      <c r="A280" s="252" t="s">
        <v>60</v>
      </c>
      <c r="P280" s="252" t="s">
        <v>60</v>
      </c>
      <c r="U280" s="283"/>
    </row>
    <row r="281" spans="1:21" ht="14.1" customHeight="1" thickBot="1" x14ac:dyDescent="0.25">
      <c r="A281" s="264" t="s">
        <v>127</v>
      </c>
      <c r="B281" s="264"/>
      <c r="C281" s="264"/>
      <c r="D281" s="264"/>
      <c r="E281" s="264"/>
      <c r="F281" s="264"/>
      <c r="G281" s="264" t="s">
        <v>128</v>
      </c>
      <c r="H281" s="264"/>
      <c r="I281" s="264"/>
      <c r="J281" s="264"/>
      <c r="K281" s="264"/>
      <c r="L281" s="264"/>
      <c r="M281" s="264"/>
      <c r="N281" s="264"/>
      <c r="O281" s="264"/>
      <c r="P281" s="264"/>
      <c r="Q281" s="264"/>
      <c r="R281" s="264" t="s">
        <v>328</v>
      </c>
      <c r="U281" s="283"/>
    </row>
    <row r="282" spans="1:21" ht="14.1" customHeight="1" x14ac:dyDescent="0.2">
      <c r="A282" s="252" t="s">
        <v>129</v>
      </c>
      <c r="B282" s="285"/>
      <c r="E282" s="260" t="s">
        <v>130</v>
      </c>
      <c r="F282" s="252" t="s">
        <v>131</v>
      </c>
      <c r="J282" s="286"/>
      <c r="K282" s="286"/>
      <c r="M282" s="286"/>
      <c r="N282" s="286"/>
      <c r="O282" s="286" t="s">
        <v>187</v>
      </c>
      <c r="R282" s="261"/>
      <c r="U282" s="283"/>
    </row>
    <row r="283" spans="1:21" ht="14.1" customHeight="1" x14ac:dyDescent="0.2">
      <c r="B283" s="285"/>
      <c r="F283" s="252" t="s">
        <v>133</v>
      </c>
      <c r="J283" s="260"/>
      <c r="K283" s="261"/>
      <c r="N283" s="260"/>
      <c r="O283" s="260" t="s">
        <v>123</v>
      </c>
      <c r="P283" s="261" t="s">
        <v>1361</v>
      </c>
      <c r="R283" s="260"/>
      <c r="U283" s="283"/>
    </row>
    <row r="284" spans="1:21" ht="14.1" customHeight="1" x14ac:dyDescent="0.2">
      <c r="A284" s="252" t="s">
        <v>134</v>
      </c>
      <c r="B284" s="285"/>
      <c r="F284" s="252" t="s">
        <v>123</v>
      </c>
      <c r="J284" s="260"/>
      <c r="K284" s="261"/>
      <c r="L284" s="260"/>
      <c r="O284" s="260" t="s">
        <v>123</v>
      </c>
      <c r="P284" s="261">
        <v>0</v>
      </c>
      <c r="R284" s="260"/>
      <c r="U284" s="283"/>
    </row>
    <row r="285" spans="1:21" ht="14.1" customHeight="1" x14ac:dyDescent="0.2">
      <c r="B285" s="285"/>
      <c r="F285" s="252" t="s">
        <v>123</v>
      </c>
      <c r="J285" s="260"/>
      <c r="K285" s="261"/>
      <c r="L285" s="260"/>
      <c r="O285" s="260" t="s">
        <v>123</v>
      </c>
      <c r="P285" s="261"/>
      <c r="R285" s="260"/>
      <c r="U285" s="283"/>
    </row>
    <row r="286" spans="1:21" ht="14.1" customHeight="1" thickBot="1" x14ac:dyDescent="0.25">
      <c r="A286" s="264" t="s">
        <v>135</v>
      </c>
      <c r="B286" s="287"/>
      <c r="C286" s="264"/>
      <c r="D286" s="264"/>
      <c r="E286" s="264"/>
      <c r="F286" s="264" t="s">
        <v>123</v>
      </c>
      <c r="G286" s="264"/>
      <c r="H286" s="266"/>
      <c r="I286" s="264"/>
      <c r="J286" s="264"/>
      <c r="K286" s="264"/>
      <c r="L286" s="264"/>
      <c r="M286" s="264"/>
      <c r="N286" s="264"/>
      <c r="O286" s="264"/>
      <c r="P286" s="288"/>
      <c r="Q286" s="264"/>
      <c r="R286" s="264"/>
      <c r="U286" s="283"/>
    </row>
    <row r="287" spans="1:21" ht="14.1" customHeight="1" x14ac:dyDescent="0.2"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U287" s="283"/>
    </row>
    <row r="288" spans="1:21" ht="14.1" customHeight="1" x14ac:dyDescent="0.2">
      <c r="C288" s="267" t="s">
        <v>136</v>
      </c>
      <c r="D288" s="267" t="s">
        <v>137</v>
      </c>
      <c r="E288" s="267"/>
      <c r="F288" s="267" t="s">
        <v>138</v>
      </c>
      <c r="G288" s="267"/>
      <c r="H288" s="267" t="s">
        <v>139</v>
      </c>
      <c r="I288" s="267"/>
      <c r="J288" s="269" t="s">
        <v>140</v>
      </c>
      <c r="K288" s="269"/>
      <c r="L288" s="267" t="s">
        <v>141</v>
      </c>
      <c r="M288" s="267"/>
      <c r="N288" s="267" t="s">
        <v>142</v>
      </c>
      <c r="O288" s="267"/>
      <c r="P288" s="267" t="s">
        <v>143</v>
      </c>
      <c r="Q288" s="267"/>
      <c r="R288" s="267" t="s">
        <v>144</v>
      </c>
      <c r="U288" s="283"/>
    </row>
    <row r="289" spans="1:21" ht="14.1" customHeight="1" x14ac:dyDescent="0.2">
      <c r="C289" s="269" t="s">
        <v>145</v>
      </c>
      <c r="D289" s="269" t="s">
        <v>145</v>
      </c>
      <c r="F289" s="269" t="s">
        <v>6</v>
      </c>
      <c r="G289" s="269"/>
      <c r="H289" s="267" t="s">
        <v>48</v>
      </c>
      <c r="I289" s="269"/>
      <c r="J289" s="267" t="s">
        <v>40</v>
      </c>
      <c r="K289" s="269"/>
      <c r="L289" s="269" t="s">
        <v>40</v>
      </c>
      <c r="M289" s="269"/>
      <c r="P289" s="269" t="s">
        <v>48</v>
      </c>
      <c r="R289" s="269"/>
      <c r="U289" s="283"/>
    </row>
    <row r="290" spans="1:21" ht="14.1" customHeight="1" x14ac:dyDescent="0.2">
      <c r="A290" s="252" t="s">
        <v>146</v>
      </c>
      <c r="B290" s="269"/>
      <c r="C290" s="269" t="s">
        <v>147</v>
      </c>
      <c r="D290" s="269" t="s">
        <v>147</v>
      </c>
      <c r="E290" s="267"/>
      <c r="F290" s="269" t="s">
        <v>148</v>
      </c>
      <c r="G290" s="269"/>
      <c r="H290" s="269" t="s">
        <v>149</v>
      </c>
      <c r="I290" s="269"/>
      <c r="J290" s="269" t="s">
        <v>48</v>
      </c>
      <c r="K290" s="267"/>
      <c r="L290" s="269" t="s">
        <v>48</v>
      </c>
      <c r="M290" s="261"/>
      <c r="N290" s="269" t="s">
        <v>150</v>
      </c>
      <c r="O290" s="267"/>
      <c r="P290" s="267" t="s">
        <v>149</v>
      </c>
      <c r="Q290" s="267"/>
      <c r="R290" s="269" t="s">
        <v>151</v>
      </c>
      <c r="U290" s="283"/>
    </row>
    <row r="291" spans="1:21" ht="14.1" customHeight="1" thickBot="1" x14ac:dyDescent="0.25">
      <c r="A291" s="264" t="s">
        <v>152</v>
      </c>
      <c r="B291" s="266"/>
      <c r="C291" s="266" t="s">
        <v>52</v>
      </c>
      <c r="D291" s="266" t="s">
        <v>153</v>
      </c>
      <c r="E291" s="266"/>
      <c r="F291" s="270" t="s">
        <v>57</v>
      </c>
      <c r="G291" s="270"/>
      <c r="H291" s="270" t="s">
        <v>154</v>
      </c>
      <c r="I291" s="271"/>
      <c r="J291" s="270" t="s">
        <v>155</v>
      </c>
      <c r="K291" s="271"/>
      <c r="L291" s="271" t="s">
        <v>156</v>
      </c>
      <c r="M291" s="272"/>
      <c r="N291" s="272" t="s">
        <v>157</v>
      </c>
      <c r="O291" s="272"/>
      <c r="P291" s="272" t="s">
        <v>158</v>
      </c>
      <c r="Q291" s="272"/>
      <c r="R291" s="272" t="s">
        <v>3</v>
      </c>
      <c r="U291" s="283"/>
    </row>
    <row r="292" spans="1:21" ht="14.1" customHeight="1" x14ac:dyDescent="0.2">
      <c r="A292" s="252">
        <v>1</v>
      </c>
      <c r="B292" s="312"/>
      <c r="U292" s="283"/>
    </row>
    <row r="293" spans="1:21" ht="14.1" customHeight="1" x14ac:dyDescent="0.2">
      <c r="A293" s="252">
        <v>2</v>
      </c>
      <c r="B293" s="312"/>
      <c r="C293" s="269"/>
      <c r="D293" s="279" t="s">
        <v>228</v>
      </c>
      <c r="F293" s="313"/>
      <c r="H293" s="660"/>
      <c r="I293" s="661"/>
      <c r="J293" s="661"/>
      <c r="K293" s="661"/>
      <c r="L293" s="661"/>
      <c r="M293" s="661"/>
      <c r="N293" s="661"/>
      <c r="O293" s="661"/>
      <c r="P293" s="659"/>
      <c r="Q293" s="661"/>
      <c r="R293" s="661"/>
      <c r="U293" s="283"/>
    </row>
    <row r="294" spans="1:21" ht="14.1" customHeight="1" x14ac:dyDescent="0.2">
      <c r="A294" s="252">
        <v>3</v>
      </c>
      <c r="B294" s="312"/>
      <c r="C294" s="267">
        <v>34132</v>
      </c>
      <c r="D294" s="252" t="s">
        <v>161</v>
      </c>
      <c r="F294" s="313">
        <v>2.5</v>
      </c>
      <c r="G294" s="260"/>
      <c r="H294" s="655">
        <v>26971966.289999995</v>
      </c>
      <c r="I294" s="656"/>
      <c r="J294" s="655">
        <v>0</v>
      </c>
      <c r="K294" s="603"/>
      <c r="L294" s="655">
        <v>0</v>
      </c>
      <c r="M294" s="603"/>
      <c r="N294" s="655">
        <v>0</v>
      </c>
      <c r="O294" s="603"/>
      <c r="P294" s="655">
        <v>26971966.289999995</v>
      </c>
      <c r="Q294" s="603"/>
      <c r="R294" s="655">
        <v>26971966.290000003</v>
      </c>
      <c r="U294" s="283"/>
    </row>
    <row r="295" spans="1:21" ht="14.1" customHeight="1" x14ac:dyDescent="0.2">
      <c r="A295" s="252">
        <v>4</v>
      </c>
      <c r="B295" s="312"/>
      <c r="C295" s="267">
        <v>34232</v>
      </c>
      <c r="D295" s="252" t="s">
        <v>206</v>
      </c>
      <c r="F295" s="313">
        <v>2.9</v>
      </c>
      <c r="G295" s="260"/>
      <c r="H295" s="655">
        <v>103676279.81000003</v>
      </c>
      <c r="I295" s="656"/>
      <c r="J295" s="655">
        <v>1600892.86</v>
      </c>
      <c r="K295" s="603"/>
      <c r="L295" s="655">
        <v>-320178.57200000004</v>
      </c>
      <c r="M295" s="603"/>
      <c r="N295" s="655">
        <v>0</v>
      </c>
      <c r="O295" s="603"/>
      <c r="P295" s="655">
        <v>104956994.09800003</v>
      </c>
      <c r="Q295" s="603"/>
      <c r="R295" s="655">
        <v>104011122.51861541</v>
      </c>
      <c r="U295" s="283"/>
    </row>
    <row r="296" spans="1:21" ht="14.1" customHeight="1" x14ac:dyDescent="0.2">
      <c r="A296" s="252">
        <v>5</v>
      </c>
      <c r="B296" s="312"/>
      <c r="C296" s="267">
        <v>34332</v>
      </c>
      <c r="D296" s="252" t="s">
        <v>207</v>
      </c>
      <c r="F296" s="313">
        <v>4.0999999999999996</v>
      </c>
      <c r="G296" s="260"/>
      <c r="H296" s="655">
        <v>288044264.46999997</v>
      </c>
      <c r="I296" s="656"/>
      <c r="J296" s="655">
        <v>1600892.86</v>
      </c>
      <c r="K296" s="603"/>
      <c r="L296" s="655">
        <v>-320178.57200000004</v>
      </c>
      <c r="M296" s="603"/>
      <c r="N296" s="655">
        <v>0</v>
      </c>
      <c r="O296" s="603"/>
      <c r="P296" s="655">
        <v>289324978.75799996</v>
      </c>
      <c r="Q296" s="603"/>
      <c r="R296" s="655">
        <v>288379107.17861533</v>
      </c>
      <c r="U296" s="283"/>
    </row>
    <row r="297" spans="1:21" ht="14.1" customHeight="1" x14ac:dyDescent="0.2">
      <c r="A297" s="252">
        <v>6</v>
      </c>
      <c r="B297" s="312"/>
      <c r="C297" s="267">
        <v>34532</v>
      </c>
      <c r="D297" s="252" t="s">
        <v>164</v>
      </c>
      <c r="F297" s="313">
        <v>3.1</v>
      </c>
      <c r="G297" s="260"/>
      <c r="H297" s="655">
        <v>44058767.359999999</v>
      </c>
      <c r="I297" s="656"/>
      <c r="J297" s="655">
        <v>0</v>
      </c>
      <c r="K297" s="603"/>
      <c r="L297" s="655">
        <v>0</v>
      </c>
      <c r="M297" s="603"/>
      <c r="N297" s="655">
        <v>0</v>
      </c>
      <c r="O297" s="603"/>
      <c r="P297" s="655">
        <v>44058767.359999999</v>
      </c>
      <c r="Q297" s="603"/>
      <c r="R297" s="655">
        <v>44058767.360000007</v>
      </c>
      <c r="U297" s="283"/>
    </row>
    <row r="298" spans="1:21" ht="14.1" customHeight="1" x14ac:dyDescent="0.2">
      <c r="A298" s="252">
        <v>7</v>
      </c>
      <c r="B298" s="312"/>
      <c r="C298" s="267">
        <v>34632</v>
      </c>
      <c r="D298" s="252" t="s">
        <v>165</v>
      </c>
      <c r="F298" s="313">
        <v>2.8</v>
      </c>
      <c r="G298" s="260"/>
      <c r="H298" s="655">
        <v>1455592.35</v>
      </c>
      <c r="I298" s="656"/>
      <c r="J298" s="655">
        <v>0</v>
      </c>
      <c r="K298" s="603"/>
      <c r="L298" s="655">
        <v>0</v>
      </c>
      <c r="M298" s="603"/>
      <c r="N298" s="655">
        <v>0</v>
      </c>
      <c r="O298" s="603"/>
      <c r="P298" s="655">
        <v>1455592.35</v>
      </c>
      <c r="Q298" s="603"/>
      <c r="R298" s="655">
        <v>1455592.35</v>
      </c>
      <c r="U298" s="283"/>
    </row>
    <row r="299" spans="1:21" ht="14.1" customHeight="1" x14ac:dyDescent="0.2">
      <c r="A299" s="252">
        <v>8</v>
      </c>
      <c r="B299" s="312"/>
      <c r="C299" s="269"/>
      <c r="D299" s="279" t="s">
        <v>229</v>
      </c>
      <c r="F299" s="313"/>
      <c r="H299" s="658">
        <v>464206870.28000003</v>
      </c>
      <c r="I299" s="661"/>
      <c r="J299" s="658">
        <v>3201785.72</v>
      </c>
      <c r="K299" s="661"/>
      <c r="L299" s="658">
        <v>-640357.14400000009</v>
      </c>
      <c r="M299" s="661"/>
      <c r="N299" s="658">
        <v>0</v>
      </c>
      <c r="O299" s="661"/>
      <c r="P299" s="658">
        <v>466768298.85600001</v>
      </c>
      <c r="Q299" s="661"/>
      <c r="R299" s="658">
        <v>464876555.69723082</v>
      </c>
      <c r="U299" s="283"/>
    </row>
    <row r="300" spans="1:21" ht="14.1" customHeight="1" x14ac:dyDescent="0.2">
      <c r="A300" s="252">
        <v>9</v>
      </c>
      <c r="B300" s="312"/>
      <c r="U300" s="283"/>
    </row>
    <row r="301" spans="1:21" ht="14.1" customHeight="1" x14ac:dyDescent="0.2">
      <c r="A301" s="252">
        <v>10</v>
      </c>
      <c r="B301" s="312"/>
      <c r="C301" s="269"/>
      <c r="D301" s="279" t="s">
        <v>230</v>
      </c>
      <c r="I301" s="661"/>
      <c r="K301" s="661"/>
      <c r="M301" s="661"/>
      <c r="O301" s="661"/>
      <c r="Q301" s="661"/>
      <c r="U301" s="283"/>
    </row>
    <row r="302" spans="1:21" ht="14.1" customHeight="1" x14ac:dyDescent="0.2">
      <c r="A302" s="252">
        <v>11</v>
      </c>
      <c r="B302" s="312"/>
      <c r="C302" s="267">
        <v>34133</v>
      </c>
      <c r="D302" s="252" t="s">
        <v>161</v>
      </c>
      <c r="F302" s="313">
        <v>2.6</v>
      </c>
      <c r="G302" s="260"/>
      <c r="H302" s="655">
        <v>656349.29</v>
      </c>
      <c r="I302" s="656"/>
      <c r="J302" s="655">
        <v>0</v>
      </c>
      <c r="K302" s="603"/>
      <c r="L302" s="655">
        <v>0</v>
      </c>
      <c r="M302" s="603"/>
      <c r="N302" s="655">
        <v>0</v>
      </c>
      <c r="O302" s="603"/>
      <c r="P302" s="655">
        <v>656349.29</v>
      </c>
      <c r="Q302" s="603"/>
      <c r="R302" s="655">
        <v>656349.28999999992</v>
      </c>
      <c r="U302" s="283"/>
    </row>
    <row r="303" spans="1:21" ht="14.1" customHeight="1" x14ac:dyDescent="0.2">
      <c r="A303" s="252">
        <v>12</v>
      </c>
      <c r="B303" s="312"/>
      <c r="C303" s="267">
        <v>34233</v>
      </c>
      <c r="D303" s="252" t="s">
        <v>206</v>
      </c>
      <c r="F303" s="313">
        <v>3.6000000000000005</v>
      </c>
      <c r="G303" s="260"/>
      <c r="H303" s="655">
        <v>3389689.5699999994</v>
      </c>
      <c r="I303" s="656"/>
      <c r="J303" s="655">
        <v>500749.65</v>
      </c>
      <c r="K303" s="603"/>
      <c r="L303" s="655">
        <v>-100149.93</v>
      </c>
      <c r="M303" s="603"/>
      <c r="N303" s="655">
        <v>0</v>
      </c>
      <c r="O303" s="603"/>
      <c r="P303" s="655">
        <v>3790289.2899999991</v>
      </c>
      <c r="Q303" s="603"/>
      <c r="R303" s="655">
        <v>3420781.7592307683</v>
      </c>
      <c r="U303" s="283"/>
    </row>
    <row r="304" spans="1:21" ht="14.1" customHeight="1" x14ac:dyDescent="0.2">
      <c r="A304" s="252">
        <v>13</v>
      </c>
      <c r="B304" s="312"/>
      <c r="C304" s="267">
        <v>34333</v>
      </c>
      <c r="D304" s="252" t="s">
        <v>207</v>
      </c>
      <c r="F304" s="313">
        <v>4</v>
      </c>
      <c r="G304" s="260"/>
      <c r="H304" s="655">
        <v>15458703.200000003</v>
      </c>
      <c r="I304" s="656"/>
      <c r="J304" s="655">
        <v>500749.65</v>
      </c>
      <c r="K304" s="603"/>
      <c r="L304" s="655">
        <v>-100149.93</v>
      </c>
      <c r="M304" s="603"/>
      <c r="N304" s="655">
        <v>0</v>
      </c>
      <c r="O304" s="603"/>
      <c r="P304" s="655">
        <v>15859302.920000004</v>
      </c>
      <c r="Q304" s="603"/>
      <c r="R304" s="655">
        <v>15489795.389230777</v>
      </c>
      <c r="U304" s="283"/>
    </row>
    <row r="305" spans="1:21" ht="14.1" customHeight="1" x14ac:dyDescent="0.2">
      <c r="A305" s="252">
        <v>14</v>
      </c>
      <c r="B305" s="312"/>
      <c r="C305" s="267">
        <v>34533</v>
      </c>
      <c r="D305" s="252" t="s">
        <v>164</v>
      </c>
      <c r="F305" s="313">
        <v>4</v>
      </c>
      <c r="G305" s="260"/>
      <c r="H305" s="655">
        <v>14155293.100000001</v>
      </c>
      <c r="I305" s="656"/>
      <c r="J305" s="655">
        <v>0</v>
      </c>
      <c r="K305" s="603"/>
      <c r="L305" s="655">
        <v>0</v>
      </c>
      <c r="M305" s="603"/>
      <c r="N305" s="655">
        <v>0</v>
      </c>
      <c r="O305" s="603"/>
      <c r="P305" s="655">
        <v>14155293.100000001</v>
      </c>
      <c r="Q305" s="603"/>
      <c r="R305" s="655">
        <v>14155293.099999996</v>
      </c>
      <c r="U305" s="283"/>
    </row>
    <row r="306" spans="1:21" ht="14.1" customHeight="1" x14ac:dyDescent="0.2">
      <c r="A306" s="252">
        <v>15</v>
      </c>
      <c r="B306" s="312"/>
      <c r="C306" s="267">
        <v>34633</v>
      </c>
      <c r="D306" s="252" t="s">
        <v>165</v>
      </c>
      <c r="F306" s="313">
        <v>4</v>
      </c>
      <c r="G306" s="260"/>
      <c r="H306" s="655">
        <v>904.61</v>
      </c>
      <c r="I306" s="656"/>
      <c r="J306" s="655">
        <v>0</v>
      </c>
      <c r="K306" s="603"/>
      <c r="L306" s="655">
        <v>0</v>
      </c>
      <c r="M306" s="603"/>
      <c r="N306" s="655">
        <v>0</v>
      </c>
      <c r="O306" s="603"/>
      <c r="P306" s="655">
        <v>904.61</v>
      </c>
      <c r="Q306" s="603"/>
      <c r="R306" s="655">
        <v>904.61</v>
      </c>
      <c r="U306" s="283"/>
    </row>
    <row r="307" spans="1:21" ht="14.1" customHeight="1" x14ac:dyDescent="0.2">
      <c r="A307" s="252">
        <v>16</v>
      </c>
      <c r="B307" s="312"/>
      <c r="D307" s="279" t="s">
        <v>231</v>
      </c>
      <c r="F307" s="313"/>
      <c r="H307" s="658">
        <v>33660939.770000003</v>
      </c>
      <c r="I307" s="661"/>
      <c r="J307" s="658">
        <v>1001499.3</v>
      </c>
      <c r="K307" s="661"/>
      <c r="L307" s="658">
        <v>-200299.86</v>
      </c>
      <c r="M307" s="661"/>
      <c r="N307" s="658">
        <v>0</v>
      </c>
      <c r="O307" s="661"/>
      <c r="P307" s="658">
        <v>34462139.210000008</v>
      </c>
      <c r="Q307" s="661"/>
      <c r="R307" s="658">
        <v>33723124.148461543</v>
      </c>
      <c r="U307" s="283"/>
    </row>
    <row r="308" spans="1:21" ht="14.1" customHeight="1" x14ac:dyDescent="0.2">
      <c r="A308" s="252">
        <v>17</v>
      </c>
      <c r="B308" s="312"/>
      <c r="U308" s="283"/>
    </row>
    <row r="309" spans="1:21" ht="14.1" customHeight="1" x14ac:dyDescent="0.2">
      <c r="A309" s="252">
        <v>18</v>
      </c>
      <c r="B309" s="312"/>
      <c r="C309" s="269"/>
      <c r="D309" s="279" t="s">
        <v>232</v>
      </c>
      <c r="I309" s="661"/>
      <c r="K309" s="661"/>
      <c r="M309" s="661"/>
      <c r="O309" s="661"/>
      <c r="Q309" s="661"/>
      <c r="U309" s="283"/>
    </row>
    <row r="310" spans="1:21" ht="14.1" customHeight="1" x14ac:dyDescent="0.2">
      <c r="A310" s="252">
        <v>19</v>
      </c>
      <c r="B310" s="312"/>
      <c r="C310" s="267">
        <v>34134</v>
      </c>
      <c r="D310" s="252" t="s">
        <v>161</v>
      </c>
      <c r="F310" s="313">
        <v>2.6</v>
      </c>
      <c r="G310" s="260"/>
      <c r="H310" s="655">
        <v>242333.96</v>
      </c>
      <c r="I310" s="656"/>
      <c r="J310" s="655">
        <v>0</v>
      </c>
      <c r="K310" s="603"/>
      <c r="L310" s="655">
        <v>0</v>
      </c>
      <c r="M310" s="603"/>
      <c r="N310" s="655">
        <v>0</v>
      </c>
      <c r="O310" s="603"/>
      <c r="P310" s="655">
        <v>242333.96</v>
      </c>
      <c r="Q310" s="603"/>
      <c r="R310" s="655">
        <v>242333.96</v>
      </c>
      <c r="U310" s="283"/>
    </row>
    <row r="311" spans="1:21" ht="14.1" customHeight="1" x14ac:dyDescent="0.2">
      <c r="A311" s="252">
        <v>20</v>
      </c>
      <c r="B311" s="312"/>
      <c r="C311" s="267">
        <v>34234</v>
      </c>
      <c r="D311" s="252" t="s">
        <v>206</v>
      </c>
      <c r="F311" s="313">
        <v>3.6000000000000005</v>
      </c>
      <c r="G311" s="260"/>
      <c r="H311" s="655">
        <v>3362086.7600000002</v>
      </c>
      <c r="I311" s="656"/>
      <c r="J311" s="655">
        <v>749.47500000000002</v>
      </c>
      <c r="K311" s="603"/>
      <c r="L311" s="655">
        <v>-149.89500000000001</v>
      </c>
      <c r="M311" s="603"/>
      <c r="N311" s="655">
        <v>0</v>
      </c>
      <c r="O311" s="603"/>
      <c r="P311" s="655">
        <v>3362686.3400000003</v>
      </c>
      <c r="Q311" s="603"/>
      <c r="R311" s="655">
        <v>3362409.6107692318</v>
      </c>
      <c r="U311" s="283"/>
    </row>
    <row r="312" spans="1:21" ht="14.1" customHeight="1" x14ac:dyDescent="0.2">
      <c r="A312" s="252">
        <v>21</v>
      </c>
      <c r="B312" s="312"/>
      <c r="C312" s="267">
        <v>34334</v>
      </c>
      <c r="D312" s="252" t="s">
        <v>207</v>
      </c>
      <c r="F312" s="313">
        <v>4</v>
      </c>
      <c r="G312" s="260"/>
      <c r="H312" s="655">
        <v>15883016.889999997</v>
      </c>
      <c r="I312" s="656"/>
      <c r="J312" s="655">
        <v>749.47500000000002</v>
      </c>
      <c r="K312" s="603"/>
      <c r="L312" s="655">
        <v>-149.89500000000001</v>
      </c>
      <c r="M312" s="603"/>
      <c r="N312" s="655">
        <v>0</v>
      </c>
      <c r="O312" s="603"/>
      <c r="P312" s="655">
        <v>15883616.469999997</v>
      </c>
      <c r="Q312" s="603"/>
      <c r="R312" s="655">
        <v>15883339.740769228</v>
      </c>
      <c r="U312" s="283"/>
    </row>
    <row r="313" spans="1:21" ht="14.1" customHeight="1" x14ac:dyDescent="0.2">
      <c r="A313" s="252">
        <v>22</v>
      </c>
      <c r="B313" s="312"/>
      <c r="C313" s="267">
        <v>34534</v>
      </c>
      <c r="D313" s="252" t="s">
        <v>164</v>
      </c>
      <c r="F313" s="313">
        <v>4</v>
      </c>
      <c r="G313" s="260"/>
      <c r="H313" s="655">
        <v>4168999</v>
      </c>
      <c r="I313" s="656"/>
      <c r="J313" s="655">
        <v>0</v>
      </c>
      <c r="K313" s="603"/>
      <c r="L313" s="655">
        <v>0</v>
      </c>
      <c r="M313" s="603"/>
      <c r="N313" s="655">
        <v>0</v>
      </c>
      <c r="O313" s="603"/>
      <c r="P313" s="655">
        <v>4168999</v>
      </c>
      <c r="Q313" s="603"/>
      <c r="R313" s="655">
        <v>4168999</v>
      </c>
      <c r="U313" s="283"/>
    </row>
    <row r="314" spans="1:21" ht="14.1" customHeight="1" x14ac:dyDescent="0.2">
      <c r="A314" s="252">
        <v>23</v>
      </c>
      <c r="B314" s="312"/>
      <c r="C314" s="267">
        <v>34634</v>
      </c>
      <c r="D314" s="252" t="s">
        <v>165</v>
      </c>
      <c r="F314" s="313">
        <v>4</v>
      </c>
      <c r="G314" s="260"/>
      <c r="H314" s="655">
        <v>904.61</v>
      </c>
      <c r="I314" s="656"/>
      <c r="J314" s="655">
        <v>0</v>
      </c>
      <c r="K314" s="603"/>
      <c r="L314" s="655">
        <v>0</v>
      </c>
      <c r="M314" s="603"/>
      <c r="N314" s="655">
        <v>0</v>
      </c>
      <c r="O314" s="603"/>
      <c r="P314" s="655">
        <v>904.61</v>
      </c>
      <c r="Q314" s="603"/>
      <c r="R314" s="655">
        <v>904.61</v>
      </c>
      <c r="U314" s="283"/>
    </row>
    <row r="315" spans="1:21" ht="14.1" customHeight="1" x14ac:dyDescent="0.2">
      <c r="A315" s="252">
        <v>24</v>
      </c>
      <c r="B315" s="312"/>
      <c r="C315" s="269"/>
      <c r="D315" s="279" t="s">
        <v>233</v>
      </c>
      <c r="F315" s="313"/>
      <c r="H315" s="658">
        <v>23657341.219999995</v>
      </c>
      <c r="I315" s="661"/>
      <c r="J315" s="658">
        <v>1498.95</v>
      </c>
      <c r="K315" s="661"/>
      <c r="L315" s="658">
        <v>-299.79000000000002</v>
      </c>
      <c r="M315" s="661"/>
      <c r="N315" s="658">
        <v>0</v>
      </c>
      <c r="O315" s="661"/>
      <c r="P315" s="658">
        <v>23658540.379999995</v>
      </c>
      <c r="Q315" s="661"/>
      <c r="R315" s="658">
        <v>23657986.921538457</v>
      </c>
      <c r="U315" s="283"/>
    </row>
    <row r="316" spans="1:21" ht="14.1" customHeight="1" x14ac:dyDescent="0.2">
      <c r="A316" s="252">
        <v>25</v>
      </c>
      <c r="B316" s="312"/>
      <c r="U316" s="283"/>
    </row>
    <row r="317" spans="1:21" ht="14.1" customHeight="1" x14ac:dyDescent="0.2">
      <c r="A317" s="252">
        <v>26</v>
      </c>
      <c r="B317" s="312"/>
      <c r="C317" s="284"/>
      <c r="D317" s="279" t="s">
        <v>234</v>
      </c>
      <c r="E317" s="269"/>
      <c r="F317" s="318"/>
      <c r="G317" s="318"/>
      <c r="H317" s="318"/>
      <c r="I317" s="321"/>
      <c r="J317" s="318"/>
      <c r="K317" s="321"/>
      <c r="L317" s="321"/>
      <c r="M317" s="267"/>
      <c r="N317" s="267"/>
      <c r="O317" s="267"/>
      <c r="P317" s="267"/>
      <c r="Q317" s="267"/>
      <c r="R317" s="267"/>
      <c r="U317" s="283"/>
    </row>
    <row r="318" spans="1:21" ht="14.1" customHeight="1" x14ac:dyDescent="0.2">
      <c r="A318" s="252">
        <v>27</v>
      </c>
      <c r="B318" s="312"/>
      <c r="C318" s="267">
        <v>34135</v>
      </c>
      <c r="D318" s="252" t="s">
        <v>161</v>
      </c>
      <c r="E318" s="269"/>
      <c r="F318" s="313">
        <v>2.6</v>
      </c>
      <c r="G318" s="260"/>
      <c r="H318" s="655">
        <v>793114.26</v>
      </c>
      <c r="I318" s="656"/>
      <c r="J318" s="655">
        <v>0</v>
      </c>
      <c r="K318" s="603"/>
      <c r="L318" s="655">
        <v>0</v>
      </c>
      <c r="M318" s="603"/>
      <c r="N318" s="655">
        <v>0</v>
      </c>
      <c r="O318" s="603"/>
      <c r="P318" s="655">
        <v>793114.26</v>
      </c>
      <c r="Q318" s="603"/>
      <c r="R318" s="655">
        <v>793114.25999999989</v>
      </c>
      <c r="U318" s="283"/>
    </row>
    <row r="319" spans="1:21" ht="14.1" customHeight="1" x14ac:dyDescent="0.2">
      <c r="A319" s="252">
        <v>28</v>
      </c>
      <c r="B319" s="312"/>
      <c r="C319" s="267">
        <v>34235</v>
      </c>
      <c r="D319" s="252" t="s">
        <v>206</v>
      </c>
      <c r="E319" s="269"/>
      <c r="F319" s="313">
        <v>3.6000000000000005</v>
      </c>
      <c r="G319" s="260"/>
      <c r="H319" s="655">
        <v>2046084.66</v>
      </c>
      <c r="I319" s="656"/>
      <c r="J319" s="655">
        <v>16106.25</v>
      </c>
      <c r="K319" s="603"/>
      <c r="L319" s="655">
        <v>-3221.25</v>
      </c>
      <c r="M319" s="603"/>
      <c r="N319" s="655">
        <v>0</v>
      </c>
      <c r="O319" s="603"/>
      <c r="P319" s="655">
        <v>2058969.66</v>
      </c>
      <c r="Q319" s="603"/>
      <c r="R319" s="655">
        <v>2053022.7369230767</v>
      </c>
      <c r="U319" s="283"/>
    </row>
    <row r="320" spans="1:21" ht="14.1" customHeight="1" x14ac:dyDescent="0.2">
      <c r="A320" s="252">
        <v>29</v>
      </c>
      <c r="B320" s="312"/>
      <c r="C320" s="267">
        <v>34335</v>
      </c>
      <c r="D320" s="252" t="s">
        <v>207</v>
      </c>
      <c r="E320" s="269"/>
      <c r="F320" s="313">
        <v>4</v>
      </c>
      <c r="G320" s="260"/>
      <c r="H320" s="655">
        <v>18623181.409999996</v>
      </c>
      <c r="I320" s="656"/>
      <c r="J320" s="655">
        <v>16106.25</v>
      </c>
      <c r="K320" s="603"/>
      <c r="L320" s="655">
        <v>-3221.25</v>
      </c>
      <c r="M320" s="603"/>
      <c r="N320" s="655">
        <v>0</v>
      </c>
      <c r="O320" s="603"/>
      <c r="P320" s="655">
        <v>18636066.409999996</v>
      </c>
      <c r="Q320" s="603"/>
      <c r="R320" s="655">
        <v>18630119.486923072</v>
      </c>
      <c r="U320" s="283"/>
    </row>
    <row r="321" spans="1:21" ht="14.1" customHeight="1" x14ac:dyDescent="0.2">
      <c r="A321" s="252">
        <v>30</v>
      </c>
      <c r="B321" s="312"/>
      <c r="C321" s="267">
        <v>34535</v>
      </c>
      <c r="D321" s="252" t="s">
        <v>164</v>
      </c>
      <c r="E321" s="269"/>
      <c r="F321" s="313">
        <v>4</v>
      </c>
      <c r="G321" s="260"/>
      <c r="H321" s="655">
        <v>10351046.949999999</v>
      </c>
      <c r="I321" s="656"/>
      <c r="J321" s="655">
        <v>0</v>
      </c>
      <c r="K321" s="603"/>
      <c r="L321" s="655">
        <v>0</v>
      </c>
      <c r="M321" s="603"/>
      <c r="N321" s="655">
        <v>0</v>
      </c>
      <c r="O321" s="603"/>
      <c r="P321" s="655">
        <v>10351046.949999999</v>
      </c>
      <c r="Q321" s="603"/>
      <c r="R321" s="655">
        <v>10351046.950000001</v>
      </c>
      <c r="U321" s="283"/>
    </row>
    <row r="322" spans="1:21" ht="14.1" customHeight="1" x14ac:dyDescent="0.2">
      <c r="A322" s="252">
        <v>31</v>
      </c>
      <c r="B322" s="312"/>
      <c r="C322" s="267">
        <v>34635</v>
      </c>
      <c r="D322" s="252" t="s">
        <v>165</v>
      </c>
      <c r="F322" s="313">
        <v>4</v>
      </c>
      <c r="G322" s="260"/>
      <c r="H322" s="655">
        <v>0</v>
      </c>
      <c r="I322" s="656"/>
      <c r="J322" s="655">
        <v>0</v>
      </c>
      <c r="K322" s="603"/>
      <c r="L322" s="655">
        <v>0</v>
      </c>
      <c r="M322" s="603"/>
      <c r="N322" s="655">
        <v>0</v>
      </c>
      <c r="O322" s="603"/>
      <c r="P322" s="655">
        <v>0</v>
      </c>
      <c r="Q322" s="603"/>
      <c r="R322" s="655">
        <v>0</v>
      </c>
      <c r="U322" s="283"/>
    </row>
    <row r="323" spans="1:21" ht="14.1" customHeight="1" x14ac:dyDescent="0.2">
      <c r="A323" s="252">
        <v>32</v>
      </c>
      <c r="B323" s="312"/>
      <c r="C323" s="269"/>
      <c r="D323" s="279" t="s">
        <v>235</v>
      </c>
      <c r="E323" s="269"/>
      <c r="F323" s="313"/>
      <c r="H323" s="658">
        <v>31813427.279999997</v>
      </c>
      <c r="I323" s="661"/>
      <c r="J323" s="658">
        <v>32212.5</v>
      </c>
      <c r="K323" s="661"/>
      <c r="L323" s="658">
        <v>-6442.5</v>
      </c>
      <c r="M323" s="661"/>
      <c r="N323" s="658">
        <v>0</v>
      </c>
      <c r="O323" s="661"/>
      <c r="P323" s="658">
        <v>31839197.279999997</v>
      </c>
      <c r="Q323" s="661"/>
      <c r="R323" s="658">
        <v>31827303.433846153</v>
      </c>
      <c r="U323" s="283"/>
    </row>
    <row r="324" spans="1:21" ht="14.1" customHeight="1" x14ac:dyDescent="0.2">
      <c r="A324" s="252">
        <v>33</v>
      </c>
      <c r="B324" s="312"/>
      <c r="U324" s="283"/>
    </row>
    <row r="325" spans="1:21" ht="14.1" customHeight="1" x14ac:dyDescent="0.2">
      <c r="A325" s="252">
        <v>34</v>
      </c>
      <c r="B325" s="312"/>
      <c r="U325" s="283"/>
    </row>
    <row r="326" spans="1:21" ht="14.1" customHeight="1" x14ac:dyDescent="0.2">
      <c r="A326" s="252">
        <v>35</v>
      </c>
      <c r="B326" s="312"/>
      <c r="U326" s="283"/>
    </row>
    <row r="327" spans="1:21" s="83" customFormat="1" ht="14.1" customHeight="1" x14ac:dyDescent="0.2">
      <c r="A327" s="252">
        <v>36</v>
      </c>
      <c r="B327" s="328"/>
      <c r="U327" s="297"/>
    </row>
    <row r="328" spans="1:21" ht="14.1" customHeight="1" x14ac:dyDescent="0.2">
      <c r="A328" s="252">
        <v>37</v>
      </c>
      <c r="B328" s="312"/>
      <c r="U328" s="283"/>
    </row>
    <row r="329" spans="1:21" ht="14.1" customHeight="1" x14ac:dyDescent="0.2">
      <c r="A329" s="252">
        <v>38</v>
      </c>
      <c r="B329" s="312"/>
      <c r="H329" s="283"/>
      <c r="U329" s="283"/>
    </row>
    <row r="330" spans="1:21" ht="14.1" customHeight="1" x14ac:dyDescent="0.2">
      <c r="A330" s="252">
        <v>39</v>
      </c>
      <c r="B330" s="312"/>
      <c r="H330" s="283"/>
      <c r="U330" s="283"/>
    </row>
    <row r="331" spans="1:21" ht="14.1" customHeight="1" x14ac:dyDescent="0.2">
      <c r="A331" s="252">
        <v>40</v>
      </c>
      <c r="B331" s="312"/>
      <c r="H331" s="283"/>
      <c r="U331" s="283"/>
    </row>
    <row r="332" spans="1:21" ht="14.1" customHeight="1" x14ac:dyDescent="0.2">
      <c r="A332" s="252">
        <v>41</v>
      </c>
      <c r="B332" s="312"/>
      <c r="H332" s="283"/>
      <c r="U332" s="283"/>
    </row>
    <row r="333" spans="1:21" ht="14.1" customHeight="1" x14ac:dyDescent="0.2">
      <c r="A333" s="252">
        <v>42</v>
      </c>
      <c r="B333" s="312"/>
      <c r="H333" s="283"/>
      <c r="U333" s="283"/>
    </row>
    <row r="334" spans="1:21" ht="14.1" customHeight="1" x14ac:dyDescent="0.2">
      <c r="A334" s="252">
        <v>43</v>
      </c>
      <c r="B334" s="312"/>
      <c r="H334" s="283"/>
      <c r="U334" s="283"/>
    </row>
    <row r="335" spans="1:21" ht="14.1" customHeight="1" thickBot="1" x14ac:dyDescent="0.25">
      <c r="A335" s="252">
        <v>44</v>
      </c>
      <c r="B335" s="667" t="s">
        <v>186</v>
      </c>
      <c r="C335" s="264"/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  <c r="R335" s="264"/>
      <c r="U335" s="283"/>
    </row>
    <row r="336" spans="1:21" ht="14.1" customHeight="1" x14ac:dyDescent="0.2">
      <c r="A336" s="252" t="s">
        <v>60</v>
      </c>
      <c r="P336" s="252" t="s">
        <v>60</v>
      </c>
      <c r="U336" s="283"/>
    </row>
    <row r="337" spans="1:21" ht="14.1" customHeight="1" thickBot="1" x14ac:dyDescent="0.25">
      <c r="A337" s="264" t="s">
        <v>127</v>
      </c>
      <c r="B337" s="264"/>
      <c r="C337" s="264"/>
      <c r="D337" s="264"/>
      <c r="E337" s="264"/>
      <c r="F337" s="264"/>
      <c r="G337" s="264" t="s">
        <v>128</v>
      </c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  <c r="R337" s="264" t="s">
        <v>329</v>
      </c>
      <c r="U337" s="283"/>
    </row>
    <row r="338" spans="1:21" ht="14.1" customHeight="1" x14ac:dyDescent="0.2">
      <c r="A338" s="252" t="s">
        <v>129</v>
      </c>
      <c r="B338" s="285"/>
      <c r="E338" s="260" t="s">
        <v>130</v>
      </c>
      <c r="F338" s="252" t="s">
        <v>131</v>
      </c>
      <c r="J338" s="286"/>
      <c r="K338" s="286"/>
      <c r="M338" s="286"/>
      <c r="N338" s="286"/>
      <c r="O338" s="286" t="s">
        <v>187</v>
      </c>
      <c r="R338" s="261"/>
      <c r="U338" s="283"/>
    </row>
    <row r="339" spans="1:21" ht="14.1" customHeight="1" x14ac:dyDescent="0.2">
      <c r="B339" s="285"/>
      <c r="F339" s="252" t="s">
        <v>133</v>
      </c>
      <c r="J339" s="260"/>
      <c r="K339" s="261"/>
      <c r="N339" s="260"/>
      <c r="O339" s="260" t="s">
        <v>123</v>
      </c>
      <c r="P339" s="261" t="s">
        <v>1361</v>
      </c>
      <c r="R339" s="260"/>
      <c r="U339" s="283"/>
    </row>
    <row r="340" spans="1:21" ht="14.1" customHeight="1" x14ac:dyDescent="0.2">
      <c r="A340" s="252" t="s">
        <v>134</v>
      </c>
      <c r="B340" s="285"/>
      <c r="F340" s="252" t="s">
        <v>123</v>
      </c>
      <c r="J340" s="260"/>
      <c r="K340" s="261"/>
      <c r="L340" s="260"/>
      <c r="O340" s="260" t="s">
        <v>123</v>
      </c>
      <c r="P340" s="261">
        <v>0</v>
      </c>
      <c r="R340" s="260"/>
      <c r="U340" s="283"/>
    </row>
    <row r="341" spans="1:21" ht="14.1" customHeight="1" x14ac:dyDescent="0.2">
      <c r="B341" s="285"/>
      <c r="F341" s="252" t="s">
        <v>123</v>
      </c>
      <c r="J341" s="260"/>
      <c r="K341" s="261"/>
      <c r="L341" s="260"/>
      <c r="O341" s="260" t="s">
        <v>123</v>
      </c>
      <c r="P341" s="261">
        <v>0</v>
      </c>
      <c r="R341" s="260"/>
      <c r="U341" s="283"/>
    </row>
    <row r="342" spans="1:21" ht="14.1" customHeight="1" thickBot="1" x14ac:dyDescent="0.25">
      <c r="A342" s="264" t="s">
        <v>135</v>
      </c>
      <c r="B342" s="287"/>
      <c r="C342" s="264"/>
      <c r="D342" s="264"/>
      <c r="E342" s="264"/>
      <c r="F342" s="264" t="s">
        <v>123</v>
      </c>
      <c r="G342" s="264"/>
      <c r="H342" s="266"/>
      <c r="I342" s="264"/>
      <c r="J342" s="264"/>
      <c r="K342" s="264"/>
      <c r="L342" s="264"/>
      <c r="M342" s="264"/>
      <c r="N342" s="264"/>
      <c r="O342" s="264"/>
      <c r="P342" s="288">
        <v>0</v>
      </c>
      <c r="Q342" s="264"/>
      <c r="R342" s="264"/>
      <c r="U342" s="283"/>
    </row>
    <row r="343" spans="1:21" ht="14.1" customHeight="1" x14ac:dyDescent="0.2"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U343" s="283"/>
    </row>
    <row r="344" spans="1:21" ht="14.1" customHeight="1" x14ac:dyDescent="0.2">
      <c r="C344" s="267" t="s">
        <v>136</v>
      </c>
      <c r="D344" s="267" t="s">
        <v>137</v>
      </c>
      <c r="E344" s="267"/>
      <c r="F344" s="267" t="s">
        <v>138</v>
      </c>
      <c r="G344" s="267"/>
      <c r="H344" s="267" t="s">
        <v>139</v>
      </c>
      <c r="I344" s="267"/>
      <c r="J344" s="269" t="s">
        <v>140</v>
      </c>
      <c r="K344" s="269"/>
      <c r="L344" s="267" t="s">
        <v>141</v>
      </c>
      <c r="M344" s="267"/>
      <c r="N344" s="267" t="s">
        <v>142</v>
      </c>
      <c r="O344" s="267"/>
      <c r="P344" s="267" t="s">
        <v>143</v>
      </c>
      <c r="Q344" s="267"/>
      <c r="R344" s="267" t="s">
        <v>144</v>
      </c>
      <c r="U344" s="283"/>
    </row>
    <row r="345" spans="1:21" ht="14.1" customHeight="1" x14ac:dyDescent="0.2">
      <c r="C345" s="269" t="s">
        <v>145</v>
      </c>
      <c r="D345" s="269" t="s">
        <v>145</v>
      </c>
      <c r="F345" s="269" t="s">
        <v>6</v>
      </c>
      <c r="G345" s="269"/>
      <c r="H345" s="267" t="s">
        <v>48</v>
      </c>
      <c r="I345" s="269"/>
      <c r="J345" s="267" t="s">
        <v>40</v>
      </c>
      <c r="K345" s="269"/>
      <c r="L345" s="269" t="s">
        <v>40</v>
      </c>
      <c r="M345" s="269"/>
      <c r="P345" s="269" t="s">
        <v>48</v>
      </c>
      <c r="R345" s="269"/>
      <c r="U345" s="283"/>
    </row>
    <row r="346" spans="1:21" ht="14.1" customHeight="1" x14ac:dyDescent="0.2">
      <c r="A346" s="252" t="s">
        <v>146</v>
      </c>
      <c r="B346" s="269"/>
      <c r="C346" s="269" t="s">
        <v>147</v>
      </c>
      <c r="D346" s="269" t="s">
        <v>147</v>
      </c>
      <c r="E346" s="267"/>
      <c r="F346" s="269" t="s">
        <v>148</v>
      </c>
      <c r="G346" s="269"/>
      <c r="H346" s="269" t="s">
        <v>149</v>
      </c>
      <c r="I346" s="269"/>
      <c r="J346" s="269" t="s">
        <v>48</v>
      </c>
      <c r="K346" s="267"/>
      <c r="L346" s="269" t="s">
        <v>48</v>
      </c>
      <c r="M346" s="261"/>
      <c r="N346" s="269" t="s">
        <v>150</v>
      </c>
      <c r="O346" s="267"/>
      <c r="P346" s="267" t="s">
        <v>149</v>
      </c>
      <c r="Q346" s="267"/>
      <c r="R346" s="269" t="s">
        <v>151</v>
      </c>
      <c r="U346" s="283"/>
    </row>
    <row r="347" spans="1:21" ht="14.1" customHeight="1" thickBot="1" x14ac:dyDescent="0.25">
      <c r="A347" s="264" t="s">
        <v>152</v>
      </c>
      <c r="B347" s="266"/>
      <c r="C347" s="266" t="s">
        <v>52</v>
      </c>
      <c r="D347" s="266" t="s">
        <v>153</v>
      </c>
      <c r="E347" s="266"/>
      <c r="F347" s="270" t="s">
        <v>57</v>
      </c>
      <c r="G347" s="270"/>
      <c r="H347" s="270" t="s">
        <v>154</v>
      </c>
      <c r="I347" s="271"/>
      <c r="J347" s="270" t="s">
        <v>155</v>
      </c>
      <c r="K347" s="271"/>
      <c r="L347" s="271" t="s">
        <v>156</v>
      </c>
      <c r="M347" s="272"/>
      <c r="N347" s="272" t="s">
        <v>157</v>
      </c>
      <c r="O347" s="272"/>
      <c r="P347" s="272" t="s">
        <v>158</v>
      </c>
      <c r="Q347" s="272"/>
      <c r="R347" s="272" t="s">
        <v>3</v>
      </c>
      <c r="U347" s="283"/>
    </row>
    <row r="348" spans="1:21" ht="14.1" customHeight="1" x14ac:dyDescent="0.2">
      <c r="A348" s="252">
        <v>1</v>
      </c>
      <c r="B348" s="312"/>
      <c r="U348" s="283"/>
    </row>
    <row r="349" spans="1:21" ht="14.1" customHeight="1" x14ac:dyDescent="0.2">
      <c r="A349" s="252">
        <v>2</v>
      </c>
      <c r="B349" s="312"/>
      <c r="C349" s="269"/>
      <c r="D349" s="279" t="s">
        <v>236</v>
      </c>
      <c r="I349" s="661"/>
      <c r="K349" s="661"/>
      <c r="M349" s="661"/>
      <c r="O349" s="661"/>
      <c r="Q349" s="661"/>
      <c r="U349" s="283"/>
    </row>
    <row r="350" spans="1:21" ht="14.1" customHeight="1" x14ac:dyDescent="0.2">
      <c r="A350" s="252">
        <v>3</v>
      </c>
      <c r="B350" s="312"/>
      <c r="C350" s="267">
        <v>34136</v>
      </c>
      <c r="D350" s="252" t="s">
        <v>161</v>
      </c>
      <c r="F350" s="313">
        <v>2.6</v>
      </c>
      <c r="G350" s="260"/>
      <c r="H350" s="655">
        <v>2656231.54</v>
      </c>
      <c r="I350" s="656"/>
      <c r="J350" s="655">
        <v>0</v>
      </c>
      <c r="K350" s="603"/>
      <c r="L350" s="655">
        <v>0</v>
      </c>
      <c r="M350" s="603"/>
      <c r="N350" s="655">
        <v>0</v>
      </c>
      <c r="O350" s="603"/>
      <c r="P350" s="655">
        <v>2656231.54</v>
      </c>
      <c r="Q350" s="603"/>
      <c r="R350" s="655">
        <v>2656231.5399999996</v>
      </c>
      <c r="U350" s="283"/>
    </row>
    <row r="351" spans="1:21" ht="14.1" customHeight="1" x14ac:dyDescent="0.2">
      <c r="A351" s="252">
        <v>4</v>
      </c>
      <c r="B351" s="312"/>
      <c r="C351" s="267">
        <v>34236</v>
      </c>
      <c r="D351" s="252" t="s">
        <v>206</v>
      </c>
      <c r="F351" s="313">
        <v>3.6000000000000005</v>
      </c>
      <c r="G351" s="260"/>
      <c r="H351" s="655">
        <v>1537279.06</v>
      </c>
      <c r="I351" s="656"/>
      <c r="J351" s="655">
        <v>362.66999999999996</v>
      </c>
      <c r="K351" s="603"/>
      <c r="L351" s="655">
        <v>-72.533999999999992</v>
      </c>
      <c r="M351" s="603"/>
      <c r="N351" s="655">
        <v>0</v>
      </c>
      <c r="O351" s="603"/>
      <c r="P351" s="655">
        <v>1537569.196</v>
      </c>
      <c r="Q351" s="603"/>
      <c r="R351" s="655">
        <v>1537435.2870769231</v>
      </c>
      <c r="U351" s="283"/>
    </row>
    <row r="352" spans="1:21" ht="14.1" customHeight="1" x14ac:dyDescent="0.2">
      <c r="A352" s="252">
        <v>5</v>
      </c>
      <c r="B352" s="312"/>
      <c r="C352" s="267">
        <v>34336</v>
      </c>
      <c r="D352" s="252" t="s">
        <v>207</v>
      </c>
      <c r="F352" s="313">
        <v>4</v>
      </c>
      <c r="G352" s="260"/>
      <c r="H352" s="655">
        <v>17517320.73</v>
      </c>
      <c r="I352" s="656"/>
      <c r="J352" s="655">
        <v>362.66999999999996</v>
      </c>
      <c r="K352" s="603"/>
      <c r="L352" s="655">
        <v>-72.533999999999992</v>
      </c>
      <c r="M352" s="603"/>
      <c r="N352" s="655">
        <v>0</v>
      </c>
      <c r="O352" s="603"/>
      <c r="P352" s="655">
        <v>17517610.866</v>
      </c>
      <c r="Q352" s="603"/>
      <c r="R352" s="655">
        <v>17517476.957076922</v>
      </c>
      <c r="U352" s="283"/>
    </row>
    <row r="353" spans="1:21" ht="14.1" customHeight="1" x14ac:dyDescent="0.2">
      <c r="A353" s="252">
        <v>6</v>
      </c>
      <c r="B353" s="312"/>
      <c r="C353" s="267">
        <v>34536</v>
      </c>
      <c r="D353" s="252" t="s">
        <v>164</v>
      </c>
      <c r="F353" s="313">
        <v>4</v>
      </c>
      <c r="G353" s="260"/>
      <c r="H353" s="655">
        <v>14358606.639999999</v>
      </c>
      <c r="I353" s="656"/>
      <c r="J353" s="655">
        <v>0</v>
      </c>
      <c r="K353" s="603"/>
      <c r="L353" s="655">
        <v>0</v>
      </c>
      <c r="M353" s="603"/>
      <c r="N353" s="655">
        <v>0</v>
      </c>
      <c r="O353" s="603"/>
      <c r="P353" s="655">
        <v>14358606.639999999</v>
      </c>
      <c r="Q353" s="603"/>
      <c r="R353" s="655">
        <v>14358606.639999995</v>
      </c>
      <c r="U353" s="283"/>
    </row>
    <row r="354" spans="1:21" ht="14.1" customHeight="1" x14ac:dyDescent="0.2">
      <c r="A354" s="252">
        <v>7</v>
      </c>
      <c r="B354" s="312"/>
      <c r="C354" s="267">
        <v>34636</v>
      </c>
      <c r="D354" s="252" t="s">
        <v>165</v>
      </c>
      <c r="F354" s="313">
        <v>4</v>
      </c>
      <c r="G354" s="260"/>
      <c r="H354" s="655">
        <v>11736.48</v>
      </c>
      <c r="I354" s="656"/>
      <c r="J354" s="655">
        <v>0</v>
      </c>
      <c r="K354" s="603"/>
      <c r="L354" s="655">
        <v>0</v>
      </c>
      <c r="M354" s="603"/>
      <c r="N354" s="655">
        <v>0</v>
      </c>
      <c r="O354" s="603"/>
      <c r="P354" s="655">
        <v>11736.48</v>
      </c>
      <c r="Q354" s="603"/>
      <c r="R354" s="655">
        <v>11736.48</v>
      </c>
      <c r="U354" s="283"/>
    </row>
    <row r="355" spans="1:21" ht="14.1" customHeight="1" x14ac:dyDescent="0.2">
      <c r="A355" s="252">
        <v>8</v>
      </c>
      <c r="B355" s="312"/>
      <c r="C355" s="269"/>
      <c r="D355" s="279" t="s">
        <v>237</v>
      </c>
      <c r="F355" s="313"/>
      <c r="H355" s="658">
        <v>36081174.449999996</v>
      </c>
      <c r="I355" s="661"/>
      <c r="J355" s="658">
        <v>725.33999999999992</v>
      </c>
      <c r="K355" s="661"/>
      <c r="L355" s="658">
        <v>-145.06799999999998</v>
      </c>
      <c r="M355" s="661"/>
      <c r="N355" s="658">
        <v>0</v>
      </c>
      <c r="O355" s="661"/>
      <c r="P355" s="658">
        <v>36081754.721999995</v>
      </c>
      <c r="Q355" s="661"/>
      <c r="R355" s="658">
        <v>36081486.904153839</v>
      </c>
      <c r="U355" s="283"/>
    </row>
    <row r="356" spans="1:21" ht="14.1" customHeight="1" x14ac:dyDescent="0.2">
      <c r="A356" s="252">
        <v>9</v>
      </c>
      <c r="B356" s="312"/>
      <c r="U356" s="283"/>
    </row>
    <row r="357" spans="1:21" ht="14.1" customHeight="1" x14ac:dyDescent="0.2">
      <c r="A357" s="252">
        <v>10</v>
      </c>
      <c r="B357" s="312"/>
      <c r="C357" s="267">
        <v>34637</v>
      </c>
      <c r="D357" s="279" t="s">
        <v>1377</v>
      </c>
      <c r="F357" s="313">
        <v>14.3</v>
      </c>
      <c r="H357" s="655">
        <v>549574.57999999984</v>
      </c>
      <c r="J357" s="655">
        <v>0</v>
      </c>
      <c r="K357" s="603"/>
      <c r="L357" s="655">
        <v>-100017.27</v>
      </c>
      <c r="M357" s="603"/>
      <c r="N357" s="655">
        <v>0</v>
      </c>
      <c r="O357" s="603"/>
      <c r="P357" s="655">
        <v>449557.30999999982</v>
      </c>
      <c r="Q357" s="603"/>
      <c r="R357" s="655">
        <v>541880.94384615379</v>
      </c>
      <c r="U357" s="283"/>
    </row>
    <row r="358" spans="1:21" ht="14.1" customHeight="1" x14ac:dyDescent="0.2">
      <c r="A358" s="252">
        <v>11</v>
      </c>
      <c r="B358" s="312"/>
      <c r="U358" s="283"/>
    </row>
    <row r="359" spans="1:21" ht="14.1" customHeight="1" thickBot="1" x14ac:dyDescent="0.25">
      <c r="A359" s="252">
        <v>12</v>
      </c>
      <c r="B359" s="312"/>
      <c r="C359" s="83"/>
      <c r="D359" s="83" t="s">
        <v>73</v>
      </c>
      <c r="E359" s="83"/>
      <c r="F359" s="315"/>
      <c r="G359" s="83"/>
      <c r="H359" s="665">
        <v>1126638924.6200001</v>
      </c>
      <c r="I359" s="674"/>
      <c r="J359" s="665">
        <v>27122840.579999998</v>
      </c>
      <c r="K359" s="674"/>
      <c r="L359" s="665">
        <v>-5524585.3859999999</v>
      </c>
      <c r="M359" s="674"/>
      <c r="N359" s="665">
        <v>0</v>
      </c>
      <c r="O359" s="674"/>
      <c r="P359" s="665">
        <v>1148237179.8139997</v>
      </c>
      <c r="Q359" s="674"/>
      <c r="R359" s="665">
        <v>1134221076.1936927</v>
      </c>
      <c r="U359" s="283"/>
    </row>
    <row r="360" spans="1:21" ht="14.1" customHeight="1" thickTop="1" x14ac:dyDescent="0.2">
      <c r="A360" s="252">
        <v>13</v>
      </c>
      <c r="B360" s="312"/>
      <c r="U360" s="283"/>
    </row>
    <row r="361" spans="1:21" ht="14.1" customHeight="1" x14ac:dyDescent="0.2">
      <c r="A361" s="252">
        <v>14</v>
      </c>
      <c r="B361" s="312"/>
      <c r="D361" s="83" t="s">
        <v>841</v>
      </c>
      <c r="I361" s="661"/>
      <c r="K361" s="661"/>
      <c r="M361" s="661"/>
      <c r="O361" s="661"/>
      <c r="Q361" s="661"/>
      <c r="U361" s="283"/>
    </row>
    <row r="362" spans="1:21" ht="14.1" customHeight="1" x14ac:dyDescent="0.2">
      <c r="A362" s="252">
        <v>15</v>
      </c>
      <c r="B362" s="312"/>
      <c r="C362" s="267">
        <v>34199</v>
      </c>
      <c r="D362" s="252" t="s">
        <v>239</v>
      </c>
      <c r="F362" s="313">
        <v>3.3000000000000003</v>
      </c>
      <c r="H362" s="655">
        <v>224151489.55999994</v>
      </c>
      <c r="I362" s="656"/>
      <c r="J362" s="655">
        <v>0</v>
      </c>
      <c r="K362" s="603"/>
      <c r="L362" s="655">
        <v>0</v>
      </c>
      <c r="M362" s="603"/>
      <c r="N362" s="655">
        <v>0</v>
      </c>
      <c r="O362" s="603"/>
      <c r="P362" s="655">
        <v>224151489.55999994</v>
      </c>
      <c r="Q362" s="603"/>
      <c r="R362" s="655">
        <v>224151489.55999994</v>
      </c>
      <c r="U362" s="283"/>
    </row>
    <row r="363" spans="1:21" ht="14.1" customHeight="1" x14ac:dyDescent="0.2">
      <c r="A363" s="252">
        <v>16</v>
      </c>
      <c r="B363" s="312"/>
      <c r="C363" s="269">
        <v>34399</v>
      </c>
      <c r="D363" s="252" t="s">
        <v>313</v>
      </c>
      <c r="F363" s="313">
        <v>3.3000000000000003</v>
      </c>
      <c r="H363" s="655">
        <v>344532227.37000006</v>
      </c>
      <c r="I363" s="655"/>
      <c r="J363" s="655">
        <v>369640415.72000003</v>
      </c>
      <c r="K363" s="661"/>
      <c r="L363" s="655">
        <v>0</v>
      </c>
      <c r="M363" s="661"/>
      <c r="N363" s="655">
        <v>0</v>
      </c>
      <c r="O363" s="661"/>
      <c r="P363" s="655">
        <v>714172643.09000015</v>
      </c>
      <c r="Q363" s="661"/>
      <c r="R363" s="655">
        <v>458463308.04461545</v>
      </c>
      <c r="U363" s="283"/>
    </row>
    <row r="364" spans="1:21" ht="14.1" customHeight="1" x14ac:dyDescent="0.2">
      <c r="A364" s="252">
        <v>17</v>
      </c>
      <c r="B364" s="312"/>
      <c r="C364" s="269">
        <v>34599</v>
      </c>
      <c r="D364" s="252" t="s">
        <v>241</v>
      </c>
      <c r="F364" s="313">
        <v>3.3000000000000003</v>
      </c>
      <c r="H364" s="655">
        <v>167518681.77000001</v>
      </c>
      <c r="I364" s="655"/>
      <c r="J364" s="655">
        <v>0</v>
      </c>
      <c r="K364" s="661"/>
      <c r="L364" s="655">
        <v>0</v>
      </c>
      <c r="M364" s="661"/>
      <c r="N364" s="655">
        <v>0</v>
      </c>
      <c r="O364" s="661"/>
      <c r="P364" s="655">
        <v>167518681.77000001</v>
      </c>
      <c r="Q364" s="661"/>
      <c r="R364" s="655">
        <v>167518681.77000001</v>
      </c>
      <c r="U364" s="283"/>
    </row>
    <row r="365" spans="1:21" ht="14.1" customHeight="1" x14ac:dyDescent="0.2">
      <c r="A365" s="252">
        <v>18</v>
      </c>
      <c r="B365" s="314"/>
      <c r="C365" s="269"/>
      <c r="D365" s="83" t="s">
        <v>398</v>
      </c>
      <c r="F365" s="269"/>
      <c r="H365" s="676">
        <v>736202398.70000005</v>
      </c>
      <c r="I365" s="655"/>
      <c r="J365" s="676">
        <v>369640415.72000003</v>
      </c>
      <c r="K365" s="659"/>
      <c r="L365" s="676">
        <v>0</v>
      </c>
      <c r="M365" s="659"/>
      <c r="N365" s="676">
        <v>0</v>
      </c>
      <c r="O365" s="659"/>
      <c r="P365" s="676">
        <v>1105842814.4200001</v>
      </c>
      <c r="Q365" s="659"/>
      <c r="R365" s="676">
        <v>850133479.37461543</v>
      </c>
      <c r="U365" s="283"/>
    </row>
    <row r="366" spans="1:21" ht="14.1" customHeight="1" x14ac:dyDescent="0.2">
      <c r="A366" s="252">
        <v>19</v>
      </c>
      <c r="B366" s="314"/>
      <c r="U366" s="283"/>
    </row>
    <row r="367" spans="1:21" ht="14.1" customHeight="1" x14ac:dyDescent="0.2">
      <c r="A367" s="252">
        <v>20</v>
      </c>
      <c r="B367" s="312"/>
      <c r="D367" s="677" t="s">
        <v>1378</v>
      </c>
      <c r="U367" s="283"/>
    </row>
    <row r="368" spans="1:21" ht="14.1" customHeight="1" x14ac:dyDescent="0.2">
      <c r="A368" s="252">
        <v>21</v>
      </c>
      <c r="B368" s="312"/>
      <c r="C368" s="267">
        <v>34800</v>
      </c>
      <c r="D368" s="252" t="s">
        <v>1379</v>
      </c>
      <c r="F368" s="313">
        <v>10</v>
      </c>
      <c r="G368" s="329"/>
      <c r="H368" s="655">
        <v>0</v>
      </c>
      <c r="I368" s="329"/>
      <c r="J368" s="655">
        <v>0</v>
      </c>
      <c r="K368" s="661"/>
      <c r="L368" s="655">
        <v>0</v>
      </c>
      <c r="M368" s="661"/>
      <c r="N368" s="655">
        <v>0</v>
      </c>
      <c r="O368" s="661"/>
      <c r="P368" s="655">
        <v>0</v>
      </c>
      <c r="Q368" s="661"/>
      <c r="R368" s="655">
        <v>0</v>
      </c>
      <c r="U368" s="283"/>
    </row>
    <row r="369" spans="1:21" ht="14.1" customHeight="1" x14ac:dyDescent="0.2">
      <c r="A369" s="252">
        <v>22</v>
      </c>
      <c r="B369" s="312"/>
      <c r="C369" s="267">
        <v>34899</v>
      </c>
      <c r="D369" s="252" t="s">
        <v>1380</v>
      </c>
      <c r="F369" s="313">
        <v>10</v>
      </c>
      <c r="G369" s="329"/>
      <c r="H369" s="655">
        <v>9473273.8499999996</v>
      </c>
      <c r="I369" s="329"/>
      <c r="J369" s="655">
        <v>0</v>
      </c>
      <c r="K369" s="661"/>
      <c r="L369" s="655">
        <v>0</v>
      </c>
      <c r="M369" s="661"/>
      <c r="N369" s="655">
        <v>0</v>
      </c>
      <c r="O369" s="661"/>
      <c r="P369" s="655">
        <v>9473273.8499999996</v>
      </c>
      <c r="Q369" s="661"/>
      <c r="R369" s="655">
        <v>9473273.8499999978</v>
      </c>
      <c r="U369" s="283"/>
    </row>
    <row r="370" spans="1:21" ht="14.1" customHeight="1" x14ac:dyDescent="0.2">
      <c r="A370" s="252">
        <v>23</v>
      </c>
      <c r="B370" s="312"/>
      <c r="C370" s="267">
        <v>34388</v>
      </c>
      <c r="D370" s="252" t="s">
        <v>1381</v>
      </c>
      <c r="F370" s="313">
        <v>4</v>
      </c>
      <c r="H370" s="655">
        <v>0</v>
      </c>
      <c r="I370" s="655"/>
      <c r="J370" s="655">
        <v>0</v>
      </c>
      <c r="K370" s="661"/>
      <c r="L370" s="655">
        <v>0</v>
      </c>
      <c r="M370" s="661"/>
      <c r="N370" s="655">
        <v>0</v>
      </c>
      <c r="O370" s="661"/>
      <c r="P370" s="655">
        <v>0</v>
      </c>
      <c r="Q370" s="661"/>
      <c r="R370" s="655">
        <v>0</v>
      </c>
      <c r="U370" s="283"/>
    </row>
    <row r="371" spans="1:21" ht="14.1" customHeight="1" x14ac:dyDescent="0.2">
      <c r="A371" s="252">
        <v>24</v>
      </c>
      <c r="B371" s="312"/>
      <c r="D371" s="83" t="s">
        <v>1382</v>
      </c>
      <c r="H371" s="676">
        <v>9473273.8499999996</v>
      </c>
      <c r="I371" s="655"/>
      <c r="J371" s="676">
        <v>0</v>
      </c>
      <c r="K371" s="659"/>
      <c r="L371" s="676">
        <v>0</v>
      </c>
      <c r="M371" s="659"/>
      <c r="N371" s="676">
        <v>0</v>
      </c>
      <c r="O371" s="659"/>
      <c r="P371" s="676">
        <v>9473273.8499999996</v>
      </c>
      <c r="Q371" s="659"/>
      <c r="R371" s="676">
        <v>9473273.8499999978</v>
      </c>
      <c r="U371" s="283"/>
    </row>
    <row r="372" spans="1:21" ht="14.1" customHeight="1" x14ac:dyDescent="0.2">
      <c r="A372" s="252">
        <v>25</v>
      </c>
      <c r="B372" s="312"/>
      <c r="U372" s="283"/>
    </row>
    <row r="373" spans="1:21" ht="14.1" customHeight="1" thickBot="1" x14ac:dyDescent="0.25">
      <c r="A373" s="252">
        <v>26</v>
      </c>
      <c r="C373" s="269"/>
      <c r="D373" s="252" t="s">
        <v>66</v>
      </c>
      <c r="H373" s="316">
        <v>3290975022.5999999</v>
      </c>
      <c r="I373" s="674"/>
      <c r="J373" s="316">
        <v>794351607.79999995</v>
      </c>
      <c r="K373" s="674"/>
      <c r="L373" s="316">
        <v>-17131990.850000001</v>
      </c>
      <c r="M373" s="674"/>
      <c r="N373" s="316">
        <v>0</v>
      </c>
      <c r="O373" s="674"/>
      <c r="P373" s="316">
        <v>4068194639.5499997</v>
      </c>
      <c r="Q373" s="674"/>
      <c r="R373" s="316">
        <v>3456776845.1267695</v>
      </c>
      <c r="U373" s="283"/>
    </row>
    <row r="374" spans="1:21" ht="14.1" customHeight="1" thickTop="1" x14ac:dyDescent="0.2">
      <c r="A374" s="252">
        <v>27</v>
      </c>
      <c r="C374" s="267"/>
      <c r="H374" s="253"/>
      <c r="I374" s="661"/>
      <c r="J374" s="253"/>
      <c r="K374" s="661"/>
      <c r="L374" s="253"/>
      <c r="M374" s="661"/>
      <c r="N374" s="253"/>
      <c r="O374" s="661"/>
      <c r="P374" s="253"/>
      <c r="Q374" s="661"/>
      <c r="R374" s="253"/>
      <c r="U374" s="283"/>
    </row>
    <row r="375" spans="1:21" ht="14.1" customHeight="1" thickBot="1" x14ac:dyDescent="0.25">
      <c r="A375" s="252">
        <v>28</v>
      </c>
      <c r="B375" s="312"/>
      <c r="C375" s="268"/>
      <c r="D375" s="83" t="s">
        <v>67</v>
      </c>
      <c r="E375" s="83"/>
      <c r="G375" s="83"/>
      <c r="H375" s="665">
        <v>5545643273.3899994</v>
      </c>
      <c r="I375" s="674"/>
      <c r="J375" s="665">
        <v>843011762.82999992</v>
      </c>
      <c r="K375" s="674"/>
      <c r="L375" s="665">
        <v>-987249101.61599994</v>
      </c>
      <c r="M375" s="674"/>
      <c r="N375" s="665">
        <v>0</v>
      </c>
      <c r="O375" s="674"/>
      <c r="P375" s="665">
        <v>5401405934.6040001</v>
      </c>
      <c r="Q375" s="674"/>
      <c r="R375" s="665">
        <v>5652088955.0463076</v>
      </c>
      <c r="U375" s="283"/>
    </row>
    <row r="376" spans="1:21" ht="14.1" customHeight="1" thickTop="1" x14ac:dyDescent="0.2">
      <c r="A376" s="252">
        <v>29</v>
      </c>
      <c r="B376" s="312"/>
      <c r="C376" s="269"/>
      <c r="D376" s="269"/>
      <c r="E376" s="269"/>
      <c r="F376" s="318"/>
      <c r="G376" s="318"/>
      <c r="H376" s="678"/>
      <c r="I376" s="661"/>
      <c r="J376" s="678"/>
      <c r="K376" s="678"/>
      <c r="L376" s="678"/>
      <c r="M376" s="678"/>
      <c r="N376" s="678"/>
      <c r="O376" s="678"/>
      <c r="P376" s="678"/>
      <c r="Q376" s="678"/>
      <c r="R376" s="678"/>
      <c r="U376" s="283"/>
    </row>
    <row r="377" spans="1:21" ht="14.1" customHeight="1" x14ac:dyDescent="0.2">
      <c r="A377" s="252">
        <v>30</v>
      </c>
      <c r="B377" s="312"/>
      <c r="C377" s="299"/>
      <c r="D377" s="298" t="s">
        <v>124</v>
      </c>
      <c r="E377" s="298"/>
      <c r="F377" s="83"/>
      <c r="G377" s="83"/>
      <c r="H377" s="674"/>
      <c r="I377" s="674"/>
      <c r="J377" s="679"/>
      <c r="K377" s="679"/>
      <c r="L377" s="680"/>
      <c r="M377" s="679"/>
      <c r="N377" s="679"/>
      <c r="O377" s="679"/>
      <c r="P377" s="679"/>
      <c r="Q377" s="679"/>
      <c r="R377" s="679"/>
      <c r="U377" s="283"/>
    </row>
    <row r="378" spans="1:21" ht="14.1" customHeight="1" x14ac:dyDescent="0.2">
      <c r="A378" s="252">
        <v>31</v>
      </c>
      <c r="B378" s="312"/>
      <c r="C378" s="267">
        <v>35001</v>
      </c>
      <c r="D378" s="252" t="s">
        <v>242</v>
      </c>
      <c r="F378" s="313">
        <v>1.3</v>
      </c>
      <c r="G378" s="260"/>
      <c r="H378" s="655">
        <v>12151664.619999999</v>
      </c>
      <c r="I378" s="656"/>
      <c r="J378" s="655">
        <v>0</v>
      </c>
      <c r="K378" s="603"/>
      <c r="L378" s="655">
        <v>0</v>
      </c>
      <c r="M378" s="603"/>
      <c r="N378" s="655">
        <v>0</v>
      </c>
      <c r="O378" s="603"/>
      <c r="P378" s="655">
        <v>12151664.619999999</v>
      </c>
      <c r="Q378" s="603"/>
      <c r="R378" s="655">
        <v>12151664.620000003</v>
      </c>
      <c r="U378" s="283"/>
    </row>
    <row r="379" spans="1:21" ht="14.1" customHeight="1" x14ac:dyDescent="0.2">
      <c r="A379" s="252">
        <v>32</v>
      </c>
      <c r="B379" s="312"/>
      <c r="C379" s="267">
        <v>35200</v>
      </c>
      <c r="D379" s="252" t="s">
        <v>243</v>
      </c>
      <c r="F379" s="313">
        <v>1.7000000000000002</v>
      </c>
      <c r="G379" s="260"/>
      <c r="H379" s="655">
        <v>56968915.210000001</v>
      </c>
      <c r="I379" s="656"/>
      <c r="J379" s="655">
        <v>0</v>
      </c>
      <c r="K379" s="603"/>
      <c r="L379" s="655">
        <v>-3894.3700000000003</v>
      </c>
      <c r="M379" s="603"/>
      <c r="N379" s="655">
        <v>0</v>
      </c>
      <c r="O379" s="603"/>
      <c r="P379" s="655">
        <v>56965020.840000004</v>
      </c>
      <c r="Q379" s="603"/>
      <c r="R379" s="655">
        <v>56968615.643076926</v>
      </c>
      <c r="U379" s="283"/>
    </row>
    <row r="380" spans="1:21" ht="14.1" customHeight="1" x14ac:dyDescent="0.2">
      <c r="A380" s="252">
        <v>33</v>
      </c>
      <c r="B380" s="312"/>
      <c r="C380" s="267">
        <v>35300</v>
      </c>
      <c r="D380" s="280" t="s">
        <v>244</v>
      </c>
      <c r="E380" s="280"/>
      <c r="F380" s="313">
        <v>2.2999999999999998</v>
      </c>
      <c r="G380" s="260"/>
      <c r="H380" s="655">
        <v>356026317.66000026</v>
      </c>
      <c r="I380" s="656"/>
      <c r="J380" s="655">
        <v>18310956.533100005</v>
      </c>
      <c r="K380" s="603"/>
      <c r="L380" s="655">
        <v>-8772433.7607199997</v>
      </c>
      <c r="M380" s="603"/>
      <c r="N380" s="655">
        <v>0</v>
      </c>
      <c r="O380" s="603"/>
      <c r="P380" s="655">
        <v>365564840.43238026</v>
      </c>
      <c r="Q380" s="603"/>
      <c r="R380" s="655">
        <v>365279510.01240569</v>
      </c>
      <c r="U380" s="283"/>
    </row>
    <row r="381" spans="1:21" ht="14.1" customHeight="1" x14ac:dyDescent="0.2">
      <c r="A381" s="252">
        <v>34</v>
      </c>
      <c r="B381" s="312"/>
      <c r="C381" s="267">
        <v>35400</v>
      </c>
      <c r="D381" s="280" t="s">
        <v>245</v>
      </c>
      <c r="E381" s="280"/>
      <c r="F381" s="313">
        <v>2.2999999999999998</v>
      </c>
      <c r="G381" s="260"/>
      <c r="H381" s="655">
        <v>5092060.5500000007</v>
      </c>
      <c r="I381" s="656"/>
      <c r="J381" s="655">
        <v>0</v>
      </c>
      <c r="K381" s="603"/>
      <c r="L381" s="655">
        <v>0</v>
      </c>
      <c r="M381" s="603"/>
      <c r="N381" s="655">
        <v>0</v>
      </c>
      <c r="O381" s="603"/>
      <c r="P381" s="655">
        <v>5092060.5500000007</v>
      </c>
      <c r="Q381" s="603"/>
      <c r="R381" s="655">
        <v>5092060.5499999989</v>
      </c>
      <c r="U381" s="283"/>
    </row>
    <row r="382" spans="1:21" ht="14.1" customHeight="1" x14ac:dyDescent="0.2">
      <c r="A382" s="252">
        <v>35</v>
      </c>
      <c r="B382" s="312"/>
      <c r="C382" s="267">
        <v>35500</v>
      </c>
      <c r="D382" s="252" t="s">
        <v>246</v>
      </c>
      <c r="F382" s="313">
        <v>3.6000000000000005</v>
      </c>
      <c r="G382" s="260"/>
      <c r="H382" s="655">
        <v>367723742.26999986</v>
      </c>
      <c r="I382" s="656"/>
      <c r="J382" s="655">
        <v>73003447.016799986</v>
      </c>
      <c r="K382" s="603"/>
      <c r="L382" s="655">
        <v>-7300344.7016800009</v>
      </c>
      <c r="M382" s="603"/>
      <c r="N382" s="655">
        <v>0</v>
      </c>
      <c r="O382" s="603"/>
      <c r="P382" s="655">
        <v>433426844.58511984</v>
      </c>
      <c r="Q382" s="603"/>
      <c r="R382" s="655">
        <v>406542212.59761834</v>
      </c>
      <c r="U382" s="283"/>
    </row>
    <row r="383" spans="1:21" ht="14.1" customHeight="1" x14ac:dyDescent="0.2">
      <c r="A383" s="252">
        <v>36</v>
      </c>
      <c r="B383" s="312"/>
      <c r="C383" s="267">
        <v>35600</v>
      </c>
      <c r="D383" s="252" t="s">
        <v>247</v>
      </c>
      <c r="F383" s="313">
        <v>2.8</v>
      </c>
      <c r="G383" s="260"/>
      <c r="H383" s="655">
        <v>164005655.62</v>
      </c>
      <c r="I383" s="656"/>
      <c r="J383" s="655">
        <v>10850937.204799999</v>
      </c>
      <c r="K383" s="603"/>
      <c r="L383" s="655">
        <v>-4340374.8819199996</v>
      </c>
      <c r="M383" s="603"/>
      <c r="N383" s="655">
        <v>0</v>
      </c>
      <c r="O383" s="603"/>
      <c r="P383" s="655">
        <v>170516217.94288</v>
      </c>
      <c r="Q383" s="603"/>
      <c r="R383" s="655">
        <v>167872180.6323815</v>
      </c>
      <c r="U383" s="283"/>
    </row>
    <row r="384" spans="1:21" ht="14.1" customHeight="1" x14ac:dyDescent="0.2">
      <c r="A384" s="252">
        <v>37</v>
      </c>
      <c r="B384" s="312"/>
      <c r="C384" s="267">
        <v>35601</v>
      </c>
      <c r="D384" s="252" t="s">
        <v>248</v>
      </c>
      <c r="F384" s="313">
        <v>2</v>
      </c>
      <c r="G384" s="260"/>
      <c r="H384" s="655">
        <v>2110610.13</v>
      </c>
      <c r="I384" s="656"/>
      <c r="J384" s="655">
        <v>0</v>
      </c>
      <c r="K384" s="603"/>
      <c r="L384" s="655">
        <v>0</v>
      </c>
      <c r="M384" s="603"/>
      <c r="N384" s="655">
        <v>0</v>
      </c>
      <c r="O384" s="603"/>
      <c r="P384" s="655">
        <v>2110610.13</v>
      </c>
      <c r="Q384" s="603"/>
      <c r="R384" s="655">
        <v>2110610.1299999994</v>
      </c>
      <c r="U384" s="283"/>
    </row>
    <row r="385" spans="1:21" ht="14.1" customHeight="1" x14ac:dyDescent="0.2">
      <c r="A385" s="252">
        <v>38</v>
      </c>
      <c r="B385" s="312"/>
      <c r="C385" s="267">
        <v>35700</v>
      </c>
      <c r="D385" s="252" t="s">
        <v>249</v>
      </c>
      <c r="F385" s="313">
        <v>1.8000000000000003</v>
      </c>
      <c r="G385" s="260"/>
      <c r="H385" s="655">
        <v>3597803.02</v>
      </c>
      <c r="I385" s="656"/>
      <c r="J385" s="655">
        <v>0</v>
      </c>
      <c r="K385" s="603"/>
      <c r="L385" s="655">
        <v>0</v>
      </c>
      <c r="M385" s="603"/>
      <c r="N385" s="655">
        <v>0</v>
      </c>
      <c r="O385" s="603"/>
      <c r="P385" s="655">
        <v>3597803.02</v>
      </c>
      <c r="Q385" s="603"/>
      <c r="R385" s="655">
        <v>3597803.0200000009</v>
      </c>
      <c r="U385" s="283"/>
    </row>
    <row r="386" spans="1:21" ht="14.1" customHeight="1" x14ac:dyDescent="0.2">
      <c r="A386" s="252">
        <v>39</v>
      </c>
      <c r="B386" s="312"/>
      <c r="C386" s="267">
        <v>35800</v>
      </c>
      <c r="D386" s="252" t="s">
        <v>250</v>
      </c>
      <c r="F386" s="313">
        <v>2.2999999999999998</v>
      </c>
      <c r="G386" s="260"/>
      <c r="H386" s="655">
        <v>7404951.0200000005</v>
      </c>
      <c r="I386" s="656"/>
      <c r="J386" s="655">
        <v>0</v>
      </c>
      <c r="K386" s="603"/>
      <c r="L386" s="655">
        <v>0</v>
      </c>
      <c r="M386" s="603"/>
      <c r="N386" s="655">
        <v>0</v>
      </c>
      <c r="O386" s="603"/>
      <c r="P386" s="655">
        <v>7404951.0200000005</v>
      </c>
      <c r="Q386" s="603"/>
      <c r="R386" s="655">
        <v>7404951.0200000005</v>
      </c>
      <c r="U386" s="283"/>
    </row>
    <row r="387" spans="1:21" ht="14.1" customHeight="1" x14ac:dyDescent="0.2">
      <c r="A387" s="252">
        <v>40</v>
      </c>
      <c r="B387" s="312"/>
      <c r="C387" s="267">
        <v>35900</v>
      </c>
      <c r="D387" s="282" t="s">
        <v>251</v>
      </c>
      <c r="E387" s="282"/>
      <c r="F387" s="313">
        <v>1.5</v>
      </c>
      <c r="G387" s="260"/>
      <c r="H387" s="655">
        <v>15597395.660000004</v>
      </c>
      <c r="I387" s="656"/>
      <c r="J387" s="655">
        <v>2006320.3252999997</v>
      </c>
      <c r="K387" s="603"/>
      <c r="L387" s="655">
        <v>-401264.06505999999</v>
      </c>
      <c r="M387" s="603"/>
      <c r="N387" s="655">
        <v>0</v>
      </c>
      <c r="O387" s="603"/>
      <c r="P387" s="655">
        <v>17202451.920240004</v>
      </c>
      <c r="Q387" s="603"/>
      <c r="R387" s="655">
        <v>16206730.978621541</v>
      </c>
      <c r="U387" s="283"/>
    </row>
    <row r="388" spans="1:21" ht="14.1" customHeight="1" x14ac:dyDescent="0.2">
      <c r="A388" s="252">
        <v>41</v>
      </c>
      <c r="B388" s="312"/>
      <c r="C388" s="267"/>
      <c r="D388" s="282"/>
      <c r="E388" s="282"/>
      <c r="F388" s="313"/>
      <c r="G388" s="282"/>
      <c r="H388" s="669"/>
      <c r="I388" s="661"/>
      <c r="J388" s="669"/>
      <c r="K388" s="661"/>
      <c r="L388" s="669"/>
      <c r="M388" s="661"/>
      <c r="N388" s="669"/>
      <c r="O388" s="661"/>
      <c r="P388" s="669"/>
      <c r="Q388" s="661"/>
      <c r="R388" s="669"/>
      <c r="U388" s="283"/>
    </row>
    <row r="389" spans="1:21" ht="14.1" customHeight="1" thickBot="1" x14ac:dyDescent="0.25">
      <c r="A389" s="252">
        <v>42</v>
      </c>
      <c r="B389" s="312"/>
      <c r="C389" s="299"/>
      <c r="D389" s="300" t="s">
        <v>166</v>
      </c>
      <c r="E389" s="300"/>
      <c r="F389" s="315"/>
      <c r="G389" s="257"/>
      <c r="H389" s="665">
        <v>990679115.76000011</v>
      </c>
      <c r="I389" s="674"/>
      <c r="J389" s="665">
        <v>104171661.07999998</v>
      </c>
      <c r="K389" s="674"/>
      <c r="L389" s="665">
        <v>-20818311.779380001</v>
      </c>
      <c r="M389" s="674"/>
      <c r="N389" s="665">
        <v>0</v>
      </c>
      <c r="O389" s="674"/>
      <c r="P389" s="665">
        <v>1074032465.0606201</v>
      </c>
      <c r="Q389" s="674"/>
      <c r="R389" s="665">
        <v>1043226339.2041038</v>
      </c>
      <c r="U389" s="283"/>
    </row>
    <row r="390" spans="1:21" ht="14.1" customHeight="1" thickTop="1" x14ac:dyDescent="0.2">
      <c r="A390" s="252">
        <v>43</v>
      </c>
      <c r="B390" s="312"/>
      <c r="U390" s="283"/>
    </row>
    <row r="391" spans="1:21" ht="14.1" customHeight="1" thickBot="1" x14ac:dyDescent="0.25">
      <c r="A391" s="252">
        <v>44</v>
      </c>
      <c r="B391" s="667" t="s">
        <v>186</v>
      </c>
      <c r="C391" s="264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U391" s="283"/>
    </row>
    <row r="392" spans="1:21" ht="14.1" customHeight="1" x14ac:dyDescent="0.2">
      <c r="A392" s="252" t="s">
        <v>60</v>
      </c>
      <c r="P392" s="252" t="s">
        <v>60</v>
      </c>
      <c r="U392" s="283"/>
    </row>
    <row r="393" spans="1:21" ht="14.1" customHeight="1" thickBot="1" x14ac:dyDescent="0.25">
      <c r="A393" s="264" t="s">
        <v>127</v>
      </c>
      <c r="B393" s="264"/>
      <c r="C393" s="264"/>
      <c r="D393" s="264"/>
      <c r="E393" s="264"/>
      <c r="F393" s="264"/>
      <c r="G393" s="264" t="s">
        <v>128</v>
      </c>
      <c r="H393" s="264"/>
      <c r="I393" s="264"/>
      <c r="J393" s="264"/>
      <c r="K393" s="264"/>
      <c r="L393" s="264"/>
      <c r="M393" s="264"/>
      <c r="N393" s="264"/>
      <c r="O393" s="264"/>
      <c r="P393" s="264"/>
      <c r="Q393" s="264"/>
      <c r="R393" s="264" t="s">
        <v>330</v>
      </c>
      <c r="U393" s="283"/>
    </row>
    <row r="394" spans="1:21" ht="14.1" customHeight="1" x14ac:dyDescent="0.2">
      <c r="A394" s="252" t="s">
        <v>129</v>
      </c>
      <c r="B394" s="285"/>
      <c r="E394" s="260" t="s">
        <v>130</v>
      </c>
      <c r="F394" s="252" t="s">
        <v>131</v>
      </c>
      <c r="J394" s="286"/>
      <c r="K394" s="286"/>
      <c r="M394" s="286"/>
      <c r="N394" s="286"/>
      <c r="O394" s="286" t="s">
        <v>187</v>
      </c>
      <c r="R394" s="261"/>
      <c r="U394" s="283"/>
    </row>
    <row r="395" spans="1:21" ht="14.1" customHeight="1" x14ac:dyDescent="0.2">
      <c r="B395" s="285"/>
      <c r="F395" s="252" t="s">
        <v>133</v>
      </c>
      <c r="J395" s="260"/>
      <c r="K395" s="261"/>
      <c r="N395" s="260"/>
      <c r="O395" s="260" t="s">
        <v>123</v>
      </c>
      <c r="P395" s="261" t="s">
        <v>1361</v>
      </c>
      <c r="R395" s="260"/>
      <c r="U395" s="283"/>
    </row>
    <row r="396" spans="1:21" ht="14.1" customHeight="1" x14ac:dyDescent="0.2">
      <c r="A396" s="252" t="s">
        <v>134</v>
      </c>
      <c r="B396" s="285"/>
      <c r="F396" s="252" t="s">
        <v>123</v>
      </c>
      <c r="J396" s="260"/>
      <c r="K396" s="261"/>
      <c r="L396" s="260"/>
      <c r="O396" s="260" t="s">
        <v>123</v>
      </c>
      <c r="P396" s="261">
        <v>0</v>
      </c>
      <c r="R396" s="260"/>
      <c r="U396" s="283"/>
    </row>
    <row r="397" spans="1:21" ht="14.1" customHeight="1" x14ac:dyDescent="0.2">
      <c r="B397" s="285"/>
      <c r="F397" s="252" t="s">
        <v>123</v>
      </c>
      <c r="J397" s="260"/>
      <c r="K397" s="261"/>
      <c r="L397" s="260"/>
      <c r="O397" s="260" t="s">
        <v>123</v>
      </c>
      <c r="P397" s="261">
        <v>0</v>
      </c>
      <c r="R397" s="260"/>
      <c r="U397" s="283"/>
    </row>
    <row r="398" spans="1:21" ht="14.1" customHeight="1" thickBot="1" x14ac:dyDescent="0.25">
      <c r="A398" s="264" t="s">
        <v>135</v>
      </c>
      <c r="B398" s="287"/>
      <c r="C398" s="264"/>
      <c r="D398" s="264"/>
      <c r="E398" s="264"/>
      <c r="F398" s="264" t="s">
        <v>123</v>
      </c>
      <c r="G398" s="264"/>
      <c r="H398" s="266"/>
      <c r="I398" s="264"/>
      <c r="J398" s="264"/>
      <c r="K398" s="264"/>
      <c r="L398" s="264"/>
      <c r="M398" s="264"/>
      <c r="N398" s="264"/>
      <c r="O398" s="264"/>
      <c r="P398" s="288">
        <v>0</v>
      </c>
      <c r="Q398" s="264"/>
      <c r="R398" s="264"/>
      <c r="U398" s="283"/>
    </row>
    <row r="399" spans="1:21" ht="14.1" customHeight="1" x14ac:dyDescent="0.2"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U399" s="283"/>
    </row>
    <row r="400" spans="1:21" ht="14.1" customHeight="1" x14ac:dyDescent="0.2">
      <c r="C400" s="267" t="s">
        <v>136</v>
      </c>
      <c r="D400" s="267" t="s">
        <v>137</v>
      </c>
      <c r="E400" s="267"/>
      <c r="F400" s="267" t="s">
        <v>138</v>
      </c>
      <c r="G400" s="267"/>
      <c r="H400" s="267" t="s">
        <v>139</v>
      </c>
      <c r="I400" s="267"/>
      <c r="J400" s="269" t="s">
        <v>140</v>
      </c>
      <c r="K400" s="269"/>
      <c r="L400" s="267" t="s">
        <v>141</v>
      </c>
      <c r="M400" s="267"/>
      <c r="N400" s="267" t="s">
        <v>142</v>
      </c>
      <c r="O400" s="267"/>
      <c r="P400" s="267" t="s">
        <v>143</v>
      </c>
      <c r="Q400" s="267"/>
      <c r="R400" s="267" t="s">
        <v>144</v>
      </c>
      <c r="U400" s="283"/>
    </row>
    <row r="401" spans="1:21" ht="14.1" customHeight="1" x14ac:dyDescent="0.2">
      <c r="C401" s="269" t="s">
        <v>145</v>
      </c>
      <c r="D401" s="269" t="s">
        <v>145</v>
      </c>
      <c r="F401" s="269" t="s">
        <v>6</v>
      </c>
      <c r="G401" s="269"/>
      <c r="H401" s="267" t="s">
        <v>48</v>
      </c>
      <c r="I401" s="269"/>
      <c r="J401" s="267" t="s">
        <v>40</v>
      </c>
      <c r="K401" s="269"/>
      <c r="L401" s="269" t="s">
        <v>40</v>
      </c>
      <c r="M401" s="269"/>
      <c r="P401" s="269" t="s">
        <v>48</v>
      </c>
      <c r="R401" s="269"/>
      <c r="U401" s="283"/>
    </row>
    <row r="402" spans="1:21" ht="14.1" customHeight="1" x14ac:dyDescent="0.2">
      <c r="A402" s="252" t="s">
        <v>146</v>
      </c>
      <c r="B402" s="269"/>
      <c r="C402" s="269" t="s">
        <v>147</v>
      </c>
      <c r="D402" s="269" t="s">
        <v>147</v>
      </c>
      <c r="E402" s="267"/>
      <c r="F402" s="269" t="s">
        <v>148</v>
      </c>
      <c r="G402" s="269"/>
      <c r="H402" s="269" t="s">
        <v>149</v>
      </c>
      <c r="I402" s="269"/>
      <c r="J402" s="269" t="s">
        <v>48</v>
      </c>
      <c r="K402" s="267"/>
      <c r="L402" s="269" t="s">
        <v>48</v>
      </c>
      <c r="M402" s="261"/>
      <c r="N402" s="269" t="s">
        <v>150</v>
      </c>
      <c r="O402" s="267"/>
      <c r="P402" s="267" t="s">
        <v>149</v>
      </c>
      <c r="Q402" s="267"/>
      <c r="R402" s="269" t="s">
        <v>151</v>
      </c>
      <c r="U402" s="283"/>
    </row>
    <row r="403" spans="1:21" ht="14.1" customHeight="1" thickBot="1" x14ac:dyDescent="0.25">
      <c r="A403" s="264" t="s">
        <v>152</v>
      </c>
      <c r="B403" s="266"/>
      <c r="C403" s="266" t="s">
        <v>52</v>
      </c>
      <c r="D403" s="266" t="s">
        <v>153</v>
      </c>
      <c r="E403" s="266"/>
      <c r="F403" s="270" t="s">
        <v>57</v>
      </c>
      <c r="G403" s="270"/>
      <c r="H403" s="270" t="s">
        <v>154</v>
      </c>
      <c r="I403" s="271"/>
      <c r="J403" s="270" t="s">
        <v>155</v>
      </c>
      <c r="K403" s="271"/>
      <c r="L403" s="271" t="s">
        <v>156</v>
      </c>
      <c r="M403" s="272"/>
      <c r="N403" s="272" t="s">
        <v>157</v>
      </c>
      <c r="O403" s="272"/>
      <c r="P403" s="272" t="s">
        <v>158</v>
      </c>
      <c r="Q403" s="272"/>
      <c r="R403" s="272" t="s">
        <v>3</v>
      </c>
      <c r="U403" s="283"/>
    </row>
    <row r="404" spans="1:21" ht="14.1" customHeight="1" x14ac:dyDescent="0.2">
      <c r="A404" s="252">
        <v>1</v>
      </c>
      <c r="B404" s="269"/>
      <c r="U404" s="283"/>
    </row>
    <row r="405" spans="1:21" ht="14.1" customHeight="1" x14ac:dyDescent="0.2">
      <c r="A405" s="252">
        <v>2</v>
      </c>
      <c r="B405" s="312"/>
      <c r="C405" s="322"/>
      <c r="D405" s="83" t="s">
        <v>125</v>
      </c>
      <c r="E405" s="83"/>
      <c r="F405" s="315"/>
      <c r="G405" s="83"/>
      <c r="H405" s="323"/>
      <c r="I405" s="323"/>
      <c r="J405" s="323"/>
      <c r="K405" s="323"/>
      <c r="L405" s="323"/>
      <c r="M405" s="323"/>
      <c r="N405" s="323"/>
      <c r="O405" s="323"/>
      <c r="P405" s="323"/>
      <c r="Q405" s="323"/>
      <c r="R405" s="681"/>
      <c r="U405" s="283"/>
    </row>
    <row r="406" spans="1:21" ht="14.1" customHeight="1" x14ac:dyDescent="0.2">
      <c r="A406" s="252">
        <v>3</v>
      </c>
      <c r="B406" s="312"/>
      <c r="C406" s="269">
        <v>36001</v>
      </c>
      <c r="D406" s="282" t="s">
        <v>242</v>
      </c>
      <c r="E406" s="282"/>
      <c r="F406" s="313"/>
      <c r="G406" s="260"/>
      <c r="H406" s="655"/>
      <c r="I406" s="661"/>
      <c r="J406" s="655"/>
      <c r="K406" s="661"/>
      <c r="L406" s="655"/>
      <c r="M406" s="661"/>
      <c r="N406" s="655"/>
      <c r="O406" s="661"/>
      <c r="P406" s="655"/>
      <c r="Q406" s="661"/>
      <c r="R406" s="655"/>
      <c r="U406" s="283"/>
    </row>
    <row r="407" spans="1:21" ht="14.1" customHeight="1" x14ac:dyDescent="0.2">
      <c r="A407" s="252">
        <v>4</v>
      </c>
      <c r="B407" s="312"/>
      <c r="C407" s="269">
        <v>36100</v>
      </c>
      <c r="D407" s="252" t="s">
        <v>243</v>
      </c>
      <c r="F407" s="313">
        <v>1.8000000000000003</v>
      </c>
      <c r="G407" s="260"/>
      <c r="H407" s="655">
        <v>28637602.079999994</v>
      </c>
      <c r="I407" s="656"/>
      <c r="J407" s="655">
        <v>0</v>
      </c>
      <c r="K407" s="603"/>
      <c r="L407" s="655">
        <v>0</v>
      </c>
      <c r="M407" s="603"/>
      <c r="N407" s="655">
        <v>0</v>
      </c>
      <c r="O407" s="603"/>
      <c r="P407" s="655">
        <v>28637602.079999994</v>
      </c>
      <c r="Q407" s="603"/>
      <c r="R407" s="655">
        <v>28637602.079999987</v>
      </c>
      <c r="U407" s="283"/>
    </row>
    <row r="408" spans="1:21" ht="14.1" customHeight="1" x14ac:dyDescent="0.2">
      <c r="A408" s="252">
        <v>5</v>
      </c>
      <c r="B408" s="312"/>
      <c r="C408" s="269">
        <v>36200</v>
      </c>
      <c r="D408" s="252" t="s">
        <v>244</v>
      </c>
      <c r="F408" s="313">
        <v>2.4</v>
      </c>
      <c r="G408" s="260"/>
      <c r="H408" s="655">
        <v>255787013.11000007</v>
      </c>
      <c r="I408" s="656"/>
      <c r="J408" s="655">
        <v>18121614.276799999</v>
      </c>
      <c r="K408" s="603"/>
      <c r="L408" s="655">
        <v>-3781611.5894391779</v>
      </c>
      <c r="M408" s="603"/>
      <c r="N408" s="655">
        <v>0</v>
      </c>
      <c r="O408" s="603"/>
      <c r="P408" s="655">
        <v>270127015.7973609</v>
      </c>
      <c r="Q408" s="603"/>
      <c r="R408" s="655">
        <v>262525725.73257366</v>
      </c>
      <c r="U408" s="283"/>
    </row>
    <row r="409" spans="1:21" ht="14.1" customHeight="1" x14ac:dyDescent="0.2">
      <c r="A409" s="252">
        <v>6</v>
      </c>
      <c r="B409" s="312"/>
      <c r="C409" s="269">
        <v>36400</v>
      </c>
      <c r="D409" s="252" t="s">
        <v>252</v>
      </c>
      <c r="F409" s="313">
        <v>4.4000000000000004</v>
      </c>
      <c r="G409" s="260"/>
      <c r="H409" s="655">
        <v>332665097.96000034</v>
      </c>
      <c r="I409" s="656"/>
      <c r="J409" s="655">
        <v>53019001.207400002</v>
      </c>
      <c r="K409" s="603"/>
      <c r="L409" s="655">
        <v>-21207600.482960001</v>
      </c>
      <c r="M409" s="603"/>
      <c r="N409" s="655">
        <v>0</v>
      </c>
      <c r="O409" s="603"/>
      <c r="P409" s="655">
        <v>364476498.68444037</v>
      </c>
      <c r="Q409" s="603"/>
      <c r="R409" s="655">
        <v>347904365.32242191</v>
      </c>
      <c r="U409" s="283"/>
    </row>
    <row r="410" spans="1:21" ht="14.1" customHeight="1" x14ac:dyDescent="0.2">
      <c r="A410" s="252">
        <v>7</v>
      </c>
      <c r="B410" s="269"/>
      <c r="C410" s="269">
        <v>36500</v>
      </c>
      <c r="D410" s="252" t="s">
        <v>247</v>
      </c>
      <c r="F410" s="313">
        <v>3.1</v>
      </c>
      <c r="G410" s="260"/>
      <c r="H410" s="655">
        <v>264543003.61000013</v>
      </c>
      <c r="I410" s="656"/>
      <c r="J410" s="655">
        <v>9060807.1383999996</v>
      </c>
      <c r="K410" s="603"/>
      <c r="L410" s="655">
        <v>-906080.7138400001</v>
      </c>
      <c r="M410" s="603"/>
      <c r="N410" s="655">
        <v>0</v>
      </c>
      <c r="O410" s="603"/>
      <c r="P410" s="655">
        <v>272697730.03456014</v>
      </c>
      <c r="Q410" s="603"/>
      <c r="R410" s="655">
        <v>268375105.95257854</v>
      </c>
      <c r="U410" s="283"/>
    </row>
    <row r="411" spans="1:21" ht="14.1" customHeight="1" x14ac:dyDescent="0.2">
      <c r="A411" s="252">
        <v>8</v>
      </c>
      <c r="B411" s="269"/>
      <c r="C411" s="269">
        <v>36600</v>
      </c>
      <c r="D411" s="252" t="s">
        <v>249</v>
      </c>
      <c r="F411" s="313">
        <v>1.8000000000000003</v>
      </c>
      <c r="G411" s="260"/>
      <c r="H411" s="655">
        <v>304934193.24999994</v>
      </c>
      <c r="I411" s="656"/>
      <c r="J411" s="655">
        <v>29447623.199799996</v>
      </c>
      <c r="K411" s="603"/>
      <c r="L411" s="655">
        <v>-5428265.0036576809</v>
      </c>
      <c r="M411" s="603"/>
      <c r="N411" s="655">
        <v>0</v>
      </c>
      <c r="O411" s="603"/>
      <c r="P411" s="655">
        <v>328953551.44614226</v>
      </c>
      <c r="Q411" s="603"/>
      <c r="R411" s="655">
        <v>316221468.1404798</v>
      </c>
      <c r="U411" s="283"/>
    </row>
    <row r="412" spans="1:21" ht="14.1" customHeight="1" x14ac:dyDescent="0.2">
      <c r="A412" s="252">
        <v>9</v>
      </c>
      <c r="B412" s="269"/>
      <c r="C412" s="269">
        <v>36700</v>
      </c>
      <c r="D412" s="252" t="s">
        <v>250</v>
      </c>
      <c r="F412" s="313">
        <v>3</v>
      </c>
      <c r="G412" s="260"/>
      <c r="H412" s="655">
        <v>319616758.00000036</v>
      </c>
      <c r="I412" s="656"/>
      <c r="J412" s="655">
        <v>111666249.20140001</v>
      </c>
      <c r="K412" s="603"/>
      <c r="L412" s="655">
        <v>-22333249.840280004</v>
      </c>
      <c r="M412" s="603"/>
      <c r="N412" s="655">
        <v>0</v>
      </c>
      <c r="O412" s="603"/>
      <c r="P412" s="655">
        <v>408949757.3611204</v>
      </c>
      <c r="Q412" s="603"/>
      <c r="R412" s="655">
        <v>360497012.99408042</v>
      </c>
      <c r="U412" s="283"/>
    </row>
    <row r="413" spans="1:21" ht="14.1" customHeight="1" x14ac:dyDescent="0.2">
      <c r="A413" s="252">
        <v>10</v>
      </c>
      <c r="B413" s="312"/>
      <c r="C413" s="269">
        <v>36800</v>
      </c>
      <c r="D413" s="252" t="s">
        <v>253</v>
      </c>
      <c r="F413" s="313">
        <v>4.4000000000000004</v>
      </c>
      <c r="G413" s="260"/>
      <c r="H413" s="655">
        <v>740214923.89000046</v>
      </c>
      <c r="I413" s="656"/>
      <c r="J413" s="655">
        <v>86077667.814799994</v>
      </c>
      <c r="K413" s="603"/>
      <c r="L413" s="655">
        <v>-30127183.735179998</v>
      </c>
      <c r="M413" s="603"/>
      <c r="N413" s="655">
        <v>0</v>
      </c>
      <c r="O413" s="603"/>
      <c r="P413" s="655">
        <v>796165407.96962047</v>
      </c>
      <c r="Q413" s="603"/>
      <c r="R413" s="655">
        <v>766507403.85158038</v>
      </c>
      <c r="U413" s="283"/>
    </row>
    <row r="414" spans="1:21" ht="14.1" customHeight="1" x14ac:dyDescent="0.2">
      <c r="A414" s="252">
        <v>11</v>
      </c>
      <c r="B414" s="312"/>
      <c r="C414" s="269">
        <v>36900</v>
      </c>
      <c r="D414" s="252" t="s">
        <v>254</v>
      </c>
      <c r="F414" s="313">
        <v>3.4000000000000004</v>
      </c>
      <c r="G414" s="260"/>
      <c r="H414" s="655">
        <v>78110884.989999995</v>
      </c>
      <c r="I414" s="656"/>
      <c r="J414" s="655">
        <v>2265201.7845999999</v>
      </c>
      <c r="K414" s="603"/>
      <c r="L414" s="655">
        <v>-202872.42135764108</v>
      </c>
      <c r="M414" s="603"/>
      <c r="N414" s="655">
        <v>0</v>
      </c>
      <c r="O414" s="603"/>
      <c r="P414" s="655">
        <v>80173214.353242353</v>
      </c>
      <c r="Q414" s="603"/>
      <c r="R414" s="655">
        <v>79080023.226231605</v>
      </c>
      <c r="U414" s="283"/>
    </row>
    <row r="415" spans="1:21" ht="14.1" customHeight="1" x14ac:dyDescent="0.2">
      <c r="A415" s="252">
        <v>12</v>
      </c>
      <c r="B415" s="312"/>
      <c r="C415" s="269">
        <v>36902</v>
      </c>
      <c r="D415" s="252" t="s">
        <v>255</v>
      </c>
      <c r="F415" s="313">
        <v>2.8</v>
      </c>
      <c r="G415" s="260"/>
      <c r="H415" s="655">
        <v>129296355.69000006</v>
      </c>
      <c r="I415" s="656"/>
      <c r="J415" s="655">
        <v>4530403.5691999998</v>
      </c>
      <c r="K415" s="603"/>
      <c r="L415" s="655">
        <v>-906080.7138400001</v>
      </c>
      <c r="M415" s="603"/>
      <c r="N415" s="655">
        <v>0</v>
      </c>
      <c r="O415" s="603"/>
      <c r="P415" s="655">
        <v>132920678.54536006</v>
      </c>
      <c r="Q415" s="603"/>
      <c r="R415" s="655">
        <v>130999512.28670162</v>
      </c>
      <c r="U415" s="283"/>
    </row>
    <row r="416" spans="1:21" ht="14.1" customHeight="1" x14ac:dyDescent="0.2">
      <c r="A416" s="252">
        <v>13</v>
      </c>
      <c r="B416" s="312"/>
      <c r="C416" s="269">
        <v>37000</v>
      </c>
      <c r="D416" s="252" t="s">
        <v>256</v>
      </c>
      <c r="F416" s="313">
        <v>7.2000000000000011</v>
      </c>
      <c r="G416" s="260"/>
      <c r="H416" s="655">
        <v>78781511.869999975</v>
      </c>
      <c r="I416" s="656"/>
      <c r="J416" s="655">
        <v>13591210.707599998</v>
      </c>
      <c r="K416" s="603"/>
      <c r="L416" s="655">
        <v>-75818010.191459998</v>
      </c>
      <c r="M416" s="603"/>
      <c r="N416" s="655">
        <v>0</v>
      </c>
      <c r="O416" s="603"/>
      <c r="P416" s="655">
        <v>16554712.386139989</v>
      </c>
      <c r="Q416" s="603"/>
      <c r="R416" s="655">
        <v>74796038.910260007</v>
      </c>
      <c r="U416" s="283"/>
    </row>
    <row r="417" spans="1:22" ht="14.1" customHeight="1" x14ac:dyDescent="0.2">
      <c r="A417" s="252">
        <v>14</v>
      </c>
      <c r="B417" s="312"/>
      <c r="C417" s="269">
        <v>37001</v>
      </c>
      <c r="D417" s="252" t="s">
        <v>1383</v>
      </c>
      <c r="F417" s="313">
        <v>7.2000000000000011</v>
      </c>
      <c r="H417" s="655">
        <v>0</v>
      </c>
      <c r="I417" s="656"/>
      <c r="J417" s="655">
        <v>108719943.34</v>
      </c>
      <c r="K417" s="603"/>
      <c r="L417" s="655">
        <v>0</v>
      </c>
      <c r="M417" s="603"/>
      <c r="N417" s="655">
        <v>0</v>
      </c>
      <c r="O417" s="603"/>
      <c r="P417" s="655">
        <v>108719943.34</v>
      </c>
      <c r="Q417" s="603"/>
      <c r="R417" s="655">
        <v>8363072.5646153847</v>
      </c>
      <c r="U417" s="283"/>
    </row>
    <row r="418" spans="1:22" ht="14.1" customHeight="1" x14ac:dyDescent="0.2">
      <c r="A418" s="252">
        <v>15</v>
      </c>
      <c r="B418" s="269"/>
      <c r="C418" s="269">
        <v>37300</v>
      </c>
      <c r="D418" s="252" t="s">
        <v>257</v>
      </c>
      <c r="F418" s="313">
        <v>5.4</v>
      </c>
      <c r="G418" s="260"/>
      <c r="H418" s="655">
        <v>308501732.66999972</v>
      </c>
      <c r="I418" s="656"/>
      <c r="J418" s="655">
        <v>30670241.299999997</v>
      </c>
      <c r="K418" s="603"/>
      <c r="L418" s="655">
        <v>-19924977.929999996</v>
      </c>
      <c r="M418" s="603"/>
      <c r="N418" s="655">
        <v>0</v>
      </c>
      <c r="O418" s="603"/>
      <c r="P418" s="655">
        <v>319246996.03999972</v>
      </c>
      <c r="Q418" s="603"/>
      <c r="R418" s="655">
        <v>312663177.39230758</v>
      </c>
      <c r="U418" s="283"/>
    </row>
    <row r="419" spans="1:22" ht="14.1" customHeight="1" x14ac:dyDescent="0.2">
      <c r="A419" s="252">
        <v>16</v>
      </c>
      <c r="B419" s="269"/>
      <c r="C419" s="269"/>
      <c r="F419" s="313"/>
      <c r="G419" s="260"/>
      <c r="H419" s="655"/>
      <c r="I419" s="656"/>
      <c r="J419" s="655"/>
      <c r="K419" s="603"/>
      <c r="L419" s="655"/>
      <c r="M419" s="603"/>
      <c r="N419" s="655"/>
      <c r="O419" s="603"/>
      <c r="P419" s="655"/>
      <c r="Q419" s="603"/>
      <c r="R419" s="655"/>
      <c r="U419" s="283"/>
    </row>
    <row r="420" spans="1:22" ht="14.1" customHeight="1" thickBot="1" x14ac:dyDescent="0.25">
      <c r="A420" s="252">
        <v>17</v>
      </c>
      <c r="B420" s="269"/>
      <c r="D420" s="83" t="s">
        <v>169</v>
      </c>
      <c r="E420" s="83"/>
      <c r="F420" s="315"/>
      <c r="G420" s="257"/>
      <c r="H420" s="665">
        <v>2841089077.1200004</v>
      </c>
      <c r="I420" s="674"/>
      <c r="J420" s="665">
        <v>467169963.54000002</v>
      </c>
      <c r="K420" s="674"/>
      <c r="L420" s="665">
        <v>-180635932.62201452</v>
      </c>
      <c r="M420" s="674"/>
      <c r="N420" s="665">
        <v>0</v>
      </c>
      <c r="O420" s="674"/>
      <c r="P420" s="665">
        <v>3127623108.0379868</v>
      </c>
      <c r="Q420" s="674"/>
      <c r="R420" s="665">
        <v>2956570508.4538317</v>
      </c>
      <c r="U420" s="283"/>
    </row>
    <row r="421" spans="1:22" ht="14.1" customHeight="1" thickTop="1" x14ac:dyDescent="0.2">
      <c r="A421" s="252">
        <v>18</v>
      </c>
      <c r="B421" s="269"/>
      <c r="C421" s="83"/>
      <c r="U421" s="283"/>
    </row>
    <row r="422" spans="1:22" ht="14.1" customHeight="1" x14ac:dyDescent="0.2">
      <c r="A422" s="252">
        <v>19</v>
      </c>
      <c r="B422" s="312"/>
      <c r="C422" s="83"/>
      <c r="D422" s="298" t="s">
        <v>126</v>
      </c>
      <c r="E422" s="298"/>
      <c r="F422" s="315"/>
      <c r="G422" s="83"/>
      <c r="H422" s="674"/>
      <c r="I422" s="674"/>
      <c r="J422" s="674"/>
      <c r="K422" s="674"/>
      <c r="L422" s="324"/>
      <c r="M422" s="674"/>
      <c r="N422" s="324"/>
      <c r="O422" s="674"/>
      <c r="P422" s="324"/>
      <c r="Q422" s="674"/>
      <c r="R422" s="324"/>
    </row>
    <row r="423" spans="1:22" s="83" customFormat="1" ht="14.1" customHeight="1" x14ac:dyDescent="0.2">
      <c r="A423" s="252">
        <v>20</v>
      </c>
      <c r="B423" s="299"/>
      <c r="C423" s="269">
        <v>39000</v>
      </c>
      <c r="D423" s="682" t="s">
        <v>243</v>
      </c>
      <c r="E423" s="252"/>
      <c r="F423" s="313">
        <v>2.2999999999999998</v>
      </c>
      <c r="G423" s="260"/>
      <c r="H423" s="655">
        <v>126440073.92999999</v>
      </c>
      <c r="I423" s="656"/>
      <c r="J423" s="655">
        <v>14834620.399999999</v>
      </c>
      <c r="K423" s="603"/>
      <c r="L423" s="655">
        <v>-2476874.380680454</v>
      </c>
      <c r="M423" s="603"/>
      <c r="N423" s="655">
        <v>0</v>
      </c>
      <c r="O423" s="603"/>
      <c r="P423" s="655">
        <v>138797819.94931954</v>
      </c>
      <c r="Q423" s="603"/>
      <c r="R423" s="655">
        <v>133555806.86055586</v>
      </c>
      <c r="U423" s="297"/>
    </row>
    <row r="424" spans="1:22" ht="14.1" customHeight="1" x14ac:dyDescent="0.2">
      <c r="A424" s="252">
        <v>21</v>
      </c>
      <c r="B424" s="269"/>
      <c r="C424" s="269">
        <v>39101</v>
      </c>
      <c r="D424" s="682" t="s">
        <v>258</v>
      </c>
      <c r="F424" s="313">
        <v>14.299999999999999</v>
      </c>
      <c r="G424" s="260"/>
      <c r="H424" s="655">
        <v>5746457.2000000011</v>
      </c>
      <c r="I424" s="656"/>
      <c r="J424" s="655">
        <v>27000.02</v>
      </c>
      <c r="K424" s="603"/>
      <c r="L424" s="655">
        <v>-103699.06</v>
      </c>
      <c r="M424" s="603"/>
      <c r="N424" s="655">
        <v>0</v>
      </c>
      <c r="O424" s="603"/>
      <c r="P424" s="655">
        <v>5669758.1600000011</v>
      </c>
      <c r="Q424" s="603"/>
      <c r="R424" s="655">
        <v>5742957.7669230793</v>
      </c>
      <c r="U424" s="283"/>
    </row>
    <row r="425" spans="1:22" ht="14.1" customHeight="1" x14ac:dyDescent="0.2">
      <c r="A425" s="252">
        <v>22</v>
      </c>
      <c r="B425" s="269"/>
      <c r="C425" s="269">
        <v>39102</v>
      </c>
      <c r="D425" s="682" t="s">
        <v>259</v>
      </c>
      <c r="F425" s="313">
        <v>25</v>
      </c>
      <c r="G425" s="260"/>
      <c r="H425" s="655">
        <v>2272264.3400000008</v>
      </c>
      <c r="I425" s="656"/>
      <c r="J425" s="655">
        <v>12757602.16</v>
      </c>
      <c r="K425" s="603"/>
      <c r="L425" s="655">
        <v>-515913.18</v>
      </c>
      <c r="M425" s="603"/>
      <c r="N425" s="655">
        <v>0</v>
      </c>
      <c r="O425" s="603"/>
      <c r="P425" s="655">
        <v>14513953.32</v>
      </c>
      <c r="Q425" s="603"/>
      <c r="R425" s="655">
        <v>6292126.0384615371</v>
      </c>
      <c r="U425" s="283"/>
    </row>
    <row r="426" spans="1:22" ht="14.1" customHeight="1" x14ac:dyDescent="0.2">
      <c r="A426" s="252">
        <v>23</v>
      </c>
      <c r="B426" s="269"/>
      <c r="C426" s="269">
        <v>39103</v>
      </c>
      <c r="D426" s="682" t="s">
        <v>260</v>
      </c>
      <c r="F426" s="313">
        <v>14.299999999999999</v>
      </c>
      <c r="G426" s="260"/>
      <c r="H426" s="655">
        <v>0</v>
      </c>
      <c r="I426" s="656"/>
      <c r="J426" s="655">
        <v>0</v>
      </c>
      <c r="K426" s="603"/>
      <c r="L426" s="655">
        <v>0</v>
      </c>
      <c r="M426" s="603"/>
      <c r="N426" s="655">
        <v>0</v>
      </c>
      <c r="O426" s="603"/>
      <c r="P426" s="655">
        <v>0</v>
      </c>
      <c r="Q426" s="603"/>
      <c r="R426" s="655">
        <v>0</v>
      </c>
      <c r="U426" s="283"/>
    </row>
    <row r="427" spans="1:22" ht="14.1" customHeight="1" x14ac:dyDescent="0.2">
      <c r="A427" s="252">
        <v>24</v>
      </c>
      <c r="B427" s="269"/>
      <c r="C427" s="269">
        <v>39104</v>
      </c>
      <c r="D427" s="682" t="s">
        <v>261</v>
      </c>
      <c r="F427" s="313">
        <v>20</v>
      </c>
      <c r="G427" s="260"/>
      <c r="H427" s="655">
        <v>37950534.850000009</v>
      </c>
      <c r="I427" s="656"/>
      <c r="J427" s="655">
        <v>0</v>
      </c>
      <c r="K427" s="603"/>
      <c r="L427" s="655">
        <v>0</v>
      </c>
      <c r="M427" s="603"/>
      <c r="N427" s="655">
        <v>0</v>
      </c>
      <c r="O427" s="603"/>
      <c r="P427" s="655">
        <v>37950534.850000009</v>
      </c>
      <c r="Q427" s="603"/>
      <c r="R427" s="655">
        <v>37950534.850000016</v>
      </c>
      <c r="U427" s="283"/>
    </row>
    <row r="428" spans="1:22" ht="14.1" customHeight="1" x14ac:dyDescent="0.2">
      <c r="A428" s="252">
        <v>25</v>
      </c>
      <c r="B428" s="269"/>
      <c r="C428" s="269">
        <v>39202</v>
      </c>
      <c r="D428" s="683" t="s">
        <v>262</v>
      </c>
      <c r="F428" s="313">
        <v>5.2</v>
      </c>
      <c r="G428" s="260"/>
      <c r="H428" s="655">
        <v>14049063.580000008</v>
      </c>
      <c r="I428" s="656"/>
      <c r="J428" s="655">
        <v>13864892.049999999</v>
      </c>
      <c r="K428" s="603"/>
      <c r="L428" s="655">
        <v>-4159467.6149999993</v>
      </c>
      <c r="M428" s="603"/>
      <c r="N428" s="655">
        <v>0</v>
      </c>
      <c r="O428" s="603"/>
      <c r="P428" s="655">
        <v>23754488.015000008</v>
      </c>
      <c r="Q428" s="603"/>
      <c r="R428" s="655">
        <v>20154944.758384619</v>
      </c>
      <c r="U428" s="283"/>
    </row>
    <row r="429" spans="1:22" ht="14.1" customHeight="1" x14ac:dyDescent="0.2">
      <c r="A429" s="252">
        <v>26</v>
      </c>
      <c r="B429" s="269"/>
      <c r="C429" s="269">
        <v>39203</v>
      </c>
      <c r="D429" s="683" t="s">
        <v>263</v>
      </c>
      <c r="F429" s="313">
        <v>5.0999999999999996</v>
      </c>
      <c r="G429" s="260"/>
      <c r="H429" s="655">
        <v>53939825.770000018</v>
      </c>
      <c r="I429" s="656"/>
      <c r="J429" s="655">
        <v>0</v>
      </c>
      <c r="K429" s="603"/>
      <c r="L429" s="655">
        <v>0</v>
      </c>
      <c r="M429" s="603"/>
      <c r="N429" s="655">
        <v>0</v>
      </c>
      <c r="O429" s="603"/>
      <c r="P429" s="655">
        <v>53939825.770000018</v>
      </c>
      <c r="Q429" s="603"/>
      <c r="R429" s="655">
        <v>53939825.770000018</v>
      </c>
      <c r="U429" s="283"/>
    </row>
    <row r="430" spans="1:22" ht="14.1" customHeight="1" x14ac:dyDescent="0.2">
      <c r="A430" s="252">
        <v>27</v>
      </c>
      <c r="B430" s="269"/>
      <c r="C430" s="269">
        <v>39204</v>
      </c>
      <c r="D430" s="684" t="s">
        <v>264</v>
      </c>
      <c r="E430" s="282"/>
      <c r="F430" s="313">
        <v>6.6000000000000005</v>
      </c>
      <c r="G430" s="260"/>
      <c r="H430" s="655">
        <v>0</v>
      </c>
      <c r="I430" s="656"/>
      <c r="J430" s="655">
        <v>0</v>
      </c>
      <c r="K430" s="603"/>
      <c r="L430" s="655">
        <v>0</v>
      </c>
      <c r="M430" s="603"/>
      <c r="N430" s="655">
        <v>0</v>
      </c>
      <c r="O430" s="603"/>
      <c r="P430" s="655">
        <v>0</v>
      </c>
      <c r="Q430" s="603"/>
      <c r="R430" s="655">
        <v>0</v>
      </c>
      <c r="U430" s="283"/>
      <c r="V430" s="283"/>
    </row>
    <row r="431" spans="1:22" ht="14.1" customHeight="1" x14ac:dyDescent="0.2">
      <c r="A431" s="252">
        <v>28</v>
      </c>
      <c r="B431" s="269"/>
      <c r="C431" s="269">
        <v>39212</v>
      </c>
      <c r="D431" s="682" t="s">
        <v>265</v>
      </c>
      <c r="F431" s="313">
        <v>6.6000000000000005</v>
      </c>
      <c r="G431" s="260"/>
      <c r="H431" s="655">
        <v>2861318.5800000015</v>
      </c>
      <c r="I431" s="656"/>
      <c r="J431" s="655">
        <v>1000000</v>
      </c>
      <c r="K431" s="603"/>
      <c r="L431" s="655">
        <v>-300000</v>
      </c>
      <c r="M431" s="603"/>
      <c r="N431" s="655">
        <v>0</v>
      </c>
      <c r="O431" s="603"/>
      <c r="P431" s="655">
        <v>3561318.5800000015</v>
      </c>
      <c r="Q431" s="603"/>
      <c r="R431" s="655">
        <v>3157472.426153847</v>
      </c>
      <c r="U431" s="283"/>
    </row>
    <row r="432" spans="1:22" s="83" customFormat="1" ht="14.1" customHeight="1" x14ac:dyDescent="0.2">
      <c r="A432" s="252">
        <v>29</v>
      </c>
      <c r="B432" s="328"/>
      <c r="C432" s="269">
        <v>39213</v>
      </c>
      <c r="D432" s="682" t="s">
        <v>266</v>
      </c>
      <c r="E432" s="252"/>
      <c r="F432" s="313">
        <v>3.7000000000000006</v>
      </c>
      <c r="G432" s="260"/>
      <c r="H432" s="655">
        <v>741738.85999999987</v>
      </c>
      <c r="I432" s="656"/>
      <c r="J432" s="655">
        <v>0</v>
      </c>
      <c r="K432" s="603"/>
      <c r="L432" s="655">
        <v>0</v>
      </c>
      <c r="M432" s="603"/>
      <c r="N432" s="655">
        <v>0</v>
      </c>
      <c r="O432" s="603"/>
      <c r="P432" s="655">
        <v>741738.85999999987</v>
      </c>
      <c r="Q432" s="603"/>
      <c r="R432" s="655">
        <v>741738.85999999964</v>
      </c>
      <c r="U432" s="297"/>
    </row>
    <row r="433" spans="1:21" ht="14.1" customHeight="1" x14ac:dyDescent="0.2">
      <c r="A433" s="252">
        <v>30</v>
      </c>
      <c r="B433" s="312"/>
      <c r="C433" s="269">
        <v>39214</v>
      </c>
      <c r="D433" s="685" t="s">
        <v>267</v>
      </c>
      <c r="E433" s="282"/>
      <c r="F433" s="313">
        <v>3.3000000000000003</v>
      </c>
      <c r="G433" s="260"/>
      <c r="H433" s="655">
        <v>0</v>
      </c>
      <c r="I433" s="656"/>
      <c r="J433" s="655">
        <v>0</v>
      </c>
      <c r="K433" s="603"/>
      <c r="L433" s="655">
        <v>0</v>
      </c>
      <c r="M433" s="603"/>
      <c r="N433" s="655">
        <v>0</v>
      </c>
      <c r="O433" s="603"/>
      <c r="P433" s="655">
        <v>0</v>
      </c>
      <c r="Q433" s="603"/>
      <c r="R433" s="655">
        <v>0</v>
      </c>
      <c r="U433" s="283"/>
    </row>
    <row r="434" spans="1:21" s="83" customFormat="1" ht="14.1" customHeight="1" x14ac:dyDescent="0.2">
      <c r="A434" s="252">
        <v>31</v>
      </c>
      <c r="B434" s="328"/>
      <c r="C434" s="269">
        <v>39300</v>
      </c>
      <c r="D434" s="685" t="s">
        <v>268</v>
      </c>
      <c r="E434" s="282"/>
      <c r="F434" s="313">
        <v>14.299999999999999</v>
      </c>
      <c r="G434" s="260"/>
      <c r="H434" s="655">
        <v>0</v>
      </c>
      <c r="I434" s="656"/>
      <c r="J434" s="655">
        <v>0</v>
      </c>
      <c r="K434" s="603"/>
      <c r="L434" s="655">
        <v>0</v>
      </c>
      <c r="M434" s="603"/>
      <c r="N434" s="655">
        <v>0</v>
      </c>
      <c r="O434" s="603"/>
      <c r="P434" s="655">
        <v>0</v>
      </c>
      <c r="Q434" s="603"/>
      <c r="R434" s="655">
        <v>0</v>
      </c>
      <c r="U434" s="297"/>
    </row>
    <row r="435" spans="1:21" ht="14.1" customHeight="1" x14ac:dyDescent="0.2">
      <c r="A435" s="252">
        <v>32</v>
      </c>
      <c r="B435" s="312"/>
      <c r="C435" s="269">
        <v>39400</v>
      </c>
      <c r="D435" s="282" t="s">
        <v>269</v>
      </c>
      <c r="E435" s="282"/>
      <c r="F435" s="313">
        <v>14.299999999999999</v>
      </c>
      <c r="G435" s="260"/>
      <c r="H435" s="655">
        <v>13449099.499999996</v>
      </c>
      <c r="I435" s="656"/>
      <c r="J435" s="655">
        <v>3169083.77</v>
      </c>
      <c r="K435" s="603"/>
      <c r="L435" s="655">
        <v>-309651.98</v>
      </c>
      <c r="M435" s="603"/>
      <c r="N435" s="655">
        <v>0</v>
      </c>
      <c r="O435" s="603"/>
      <c r="P435" s="655">
        <v>16308531.289999995</v>
      </c>
      <c r="Q435" s="603"/>
      <c r="R435" s="655">
        <v>14358620.819230765</v>
      </c>
      <c r="U435" s="283"/>
    </row>
    <row r="436" spans="1:21" ht="14.1" customHeight="1" x14ac:dyDescent="0.2">
      <c r="A436" s="252">
        <v>33</v>
      </c>
      <c r="B436" s="312"/>
      <c r="C436" s="269">
        <v>39401</v>
      </c>
      <c r="D436" s="685" t="s">
        <v>1384</v>
      </c>
      <c r="F436" s="313">
        <v>20</v>
      </c>
      <c r="H436" s="655">
        <v>0</v>
      </c>
      <c r="I436" s="656"/>
      <c r="J436" s="655">
        <v>4500000.13</v>
      </c>
      <c r="K436" s="603"/>
      <c r="L436" s="655">
        <v>0</v>
      </c>
      <c r="M436" s="603"/>
      <c r="N436" s="655">
        <v>0</v>
      </c>
      <c r="O436" s="603"/>
      <c r="P436" s="655">
        <v>4500000.13</v>
      </c>
      <c r="Q436" s="603"/>
      <c r="R436" s="655">
        <v>2757692.3876923076</v>
      </c>
      <c r="U436" s="283"/>
    </row>
    <row r="437" spans="1:21" ht="14.1" customHeight="1" x14ac:dyDescent="0.2">
      <c r="A437" s="252">
        <v>34</v>
      </c>
      <c r="B437" s="312"/>
      <c r="C437" s="269">
        <v>39500</v>
      </c>
      <c r="D437" s="252" t="s">
        <v>270</v>
      </c>
      <c r="F437" s="313">
        <v>14.299999999999999</v>
      </c>
      <c r="G437" s="260"/>
      <c r="H437" s="655">
        <v>2100973.33</v>
      </c>
      <c r="I437" s="656"/>
      <c r="J437" s="655">
        <v>815363.06000000029</v>
      </c>
      <c r="K437" s="603"/>
      <c r="L437" s="655">
        <v>-63590.82</v>
      </c>
      <c r="M437" s="603"/>
      <c r="N437" s="655">
        <v>0</v>
      </c>
      <c r="O437" s="603"/>
      <c r="P437" s="655">
        <v>2852745.5700000008</v>
      </c>
      <c r="Q437" s="603"/>
      <c r="R437" s="655">
        <v>2518147.6638461538</v>
      </c>
      <c r="U437" s="283"/>
    </row>
    <row r="438" spans="1:21" ht="14.1" customHeight="1" x14ac:dyDescent="0.2">
      <c r="A438" s="252">
        <v>35</v>
      </c>
      <c r="B438" s="312"/>
      <c r="C438" s="269">
        <v>39600</v>
      </c>
      <c r="D438" s="252" t="s">
        <v>271</v>
      </c>
      <c r="F438" s="313">
        <v>14.299999999999999</v>
      </c>
      <c r="G438" s="260"/>
      <c r="H438" s="655">
        <v>0</v>
      </c>
      <c r="I438" s="656"/>
      <c r="J438" s="655">
        <v>0</v>
      </c>
      <c r="K438" s="603"/>
      <c r="L438" s="655">
        <v>0</v>
      </c>
      <c r="M438" s="603"/>
      <c r="N438" s="655">
        <v>0</v>
      </c>
      <c r="O438" s="603"/>
      <c r="P438" s="655">
        <v>0</v>
      </c>
      <c r="Q438" s="603"/>
      <c r="R438" s="655">
        <v>0</v>
      </c>
      <c r="U438" s="283"/>
    </row>
    <row r="439" spans="1:21" ht="14.1" customHeight="1" x14ac:dyDescent="0.2">
      <c r="A439" s="252">
        <v>36</v>
      </c>
      <c r="B439" s="312"/>
      <c r="C439" s="269">
        <v>39700</v>
      </c>
      <c r="D439" s="282" t="s">
        <v>272</v>
      </c>
      <c r="E439" s="282"/>
      <c r="F439" s="313">
        <v>14.299999999999999</v>
      </c>
      <c r="G439" s="260"/>
      <c r="H439" s="655">
        <v>38166745.080000006</v>
      </c>
      <c r="I439" s="656"/>
      <c r="J439" s="655">
        <v>12176307.050000001</v>
      </c>
      <c r="K439" s="603"/>
      <c r="L439" s="655">
        <v>-1356834.4899999998</v>
      </c>
      <c r="M439" s="603"/>
      <c r="N439" s="655">
        <v>0</v>
      </c>
      <c r="O439" s="603"/>
      <c r="P439" s="655">
        <v>48986217.640000008</v>
      </c>
      <c r="Q439" s="603"/>
      <c r="R439" s="655">
        <v>40688259.879230775</v>
      </c>
      <c r="U439" s="283"/>
    </row>
    <row r="440" spans="1:21" ht="14.1" customHeight="1" x14ac:dyDescent="0.2">
      <c r="A440" s="252">
        <v>37</v>
      </c>
      <c r="B440" s="312"/>
      <c r="C440" s="267">
        <v>39725</v>
      </c>
      <c r="D440" s="282" t="s">
        <v>273</v>
      </c>
      <c r="E440" s="282"/>
      <c r="F440" s="313">
        <v>5.3</v>
      </c>
      <c r="G440" s="260"/>
      <c r="H440" s="655">
        <v>33886194.679999992</v>
      </c>
      <c r="I440" s="656"/>
      <c r="J440" s="655">
        <v>2016185.7799999998</v>
      </c>
      <c r="K440" s="603"/>
      <c r="L440" s="655">
        <v>-100809.289</v>
      </c>
      <c r="M440" s="603"/>
      <c r="N440" s="655">
        <v>0</v>
      </c>
      <c r="O440" s="603"/>
      <c r="P440" s="655">
        <v>35801571.170999996</v>
      </c>
      <c r="Q440" s="603"/>
      <c r="R440" s="655">
        <v>34832752.145999998</v>
      </c>
      <c r="U440" s="283"/>
    </row>
    <row r="441" spans="1:21" ht="14.1" customHeight="1" x14ac:dyDescent="0.2">
      <c r="A441" s="252">
        <v>38</v>
      </c>
      <c r="B441" s="312"/>
      <c r="C441" s="267">
        <v>39800</v>
      </c>
      <c r="D441" s="282" t="s">
        <v>274</v>
      </c>
      <c r="E441" s="282"/>
      <c r="F441" s="313">
        <v>14.299999999999999</v>
      </c>
      <c r="G441" s="260"/>
      <c r="H441" s="655">
        <v>2806055.8700000006</v>
      </c>
      <c r="I441" s="656"/>
      <c r="J441" s="655">
        <v>0</v>
      </c>
      <c r="K441" s="603"/>
      <c r="L441" s="655">
        <v>0</v>
      </c>
      <c r="M441" s="603"/>
      <c r="N441" s="655">
        <v>0</v>
      </c>
      <c r="O441" s="603"/>
      <c r="P441" s="655">
        <v>2806055.8700000006</v>
      </c>
      <c r="Q441" s="603"/>
      <c r="R441" s="655">
        <v>2806055.87</v>
      </c>
      <c r="U441" s="283"/>
    </row>
    <row r="442" spans="1:21" ht="14.1" customHeight="1" x14ac:dyDescent="0.2">
      <c r="A442" s="252">
        <v>39</v>
      </c>
      <c r="B442" s="312"/>
      <c r="C442" s="267"/>
      <c r="F442" s="313"/>
      <c r="H442" s="655"/>
      <c r="J442" s="655"/>
      <c r="L442" s="655"/>
      <c r="N442" s="655"/>
      <c r="P442" s="655"/>
      <c r="R442" s="655"/>
      <c r="U442" s="283"/>
    </row>
    <row r="443" spans="1:21" ht="14.1" customHeight="1" thickBot="1" x14ac:dyDescent="0.25">
      <c r="A443" s="252">
        <v>40</v>
      </c>
      <c r="B443" s="312"/>
      <c r="C443" s="284"/>
      <c r="D443" s="300" t="s">
        <v>171</v>
      </c>
      <c r="E443" s="300"/>
      <c r="F443" s="83"/>
      <c r="G443" s="83"/>
      <c r="H443" s="665">
        <v>334410345.57000005</v>
      </c>
      <c r="I443" s="674"/>
      <c r="J443" s="665">
        <v>65161054.420000002</v>
      </c>
      <c r="K443" s="674"/>
      <c r="L443" s="665">
        <v>-9386840.8146804553</v>
      </c>
      <c r="M443" s="674"/>
      <c r="N443" s="665">
        <v>0</v>
      </c>
      <c r="O443" s="674"/>
      <c r="P443" s="665">
        <v>390184559.17531955</v>
      </c>
      <c r="Q443" s="674"/>
      <c r="R443" s="665">
        <v>359496936.09647894</v>
      </c>
      <c r="U443" s="283"/>
    </row>
    <row r="444" spans="1:21" ht="14.1" customHeight="1" thickTop="1" x14ac:dyDescent="0.2">
      <c r="A444" s="252">
        <v>41</v>
      </c>
      <c r="B444" s="312"/>
      <c r="C444" s="322"/>
      <c r="H444" s="253"/>
      <c r="I444" s="661"/>
      <c r="J444" s="253"/>
      <c r="K444" s="661"/>
      <c r="L444" s="253"/>
      <c r="M444" s="661"/>
      <c r="N444" s="253"/>
      <c r="O444" s="661"/>
      <c r="P444" s="253"/>
      <c r="Q444" s="661"/>
      <c r="R444" s="253"/>
      <c r="U444" s="283"/>
    </row>
    <row r="445" spans="1:21" ht="14.1" customHeight="1" thickBot="1" x14ac:dyDescent="0.25">
      <c r="A445" s="252">
        <v>42</v>
      </c>
      <c r="B445" s="312"/>
      <c r="D445" s="302" t="s">
        <v>172</v>
      </c>
      <c r="E445" s="300"/>
      <c r="F445" s="325"/>
      <c r="G445" s="325"/>
      <c r="H445" s="326">
        <v>9711821811.8400002</v>
      </c>
      <c r="I445" s="686"/>
      <c r="J445" s="326">
        <v>1479514441.8699999</v>
      </c>
      <c r="K445" s="686"/>
      <c r="L445" s="326">
        <v>-1198090186.8320749</v>
      </c>
      <c r="M445" s="686"/>
      <c r="N445" s="326">
        <v>0</v>
      </c>
      <c r="O445" s="686"/>
      <c r="P445" s="326">
        <v>9993246066.8779259</v>
      </c>
      <c r="Q445" s="686"/>
      <c r="R445" s="326">
        <v>10011382738.800722</v>
      </c>
      <c r="U445" s="283"/>
    </row>
    <row r="446" spans="1:21" s="83" customFormat="1" ht="14.1" customHeight="1" thickTop="1" x14ac:dyDescent="0.2">
      <c r="A446" s="252">
        <v>43</v>
      </c>
      <c r="B446" s="328"/>
      <c r="U446" s="297"/>
    </row>
    <row r="447" spans="1:21" ht="14.1" customHeight="1" thickBot="1" x14ac:dyDescent="0.25">
      <c r="A447" s="252">
        <v>44</v>
      </c>
      <c r="B447" s="667" t="s">
        <v>186</v>
      </c>
      <c r="C447" s="264"/>
      <c r="D447" s="264"/>
      <c r="E447" s="264"/>
      <c r="F447" s="264"/>
      <c r="G447" s="264"/>
      <c r="H447" s="264"/>
      <c r="I447" s="264"/>
      <c r="J447" s="264"/>
      <c r="K447" s="264"/>
      <c r="L447" s="264"/>
      <c r="M447" s="264"/>
      <c r="N447" s="264"/>
      <c r="O447" s="264"/>
      <c r="P447" s="264"/>
      <c r="Q447" s="264"/>
      <c r="R447" s="264"/>
      <c r="U447" s="283"/>
    </row>
    <row r="448" spans="1:21" ht="14.1" customHeight="1" x14ac:dyDescent="0.2">
      <c r="A448" s="252" t="s">
        <v>60</v>
      </c>
      <c r="P448" s="252" t="s">
        <v>60</v>
      </c>
      <c r="U448" s="283"/>
    </row>
    <row r="449" spans="1:21" ht="14.1" customHeight="1" thickBot="1" x14ac:dyDescent="0.25">
      <c r="A449" s="264" t="s">
        <v>127</v>
      </c>
      <c r="B449" s="264"/>
      <c r="C449" s="264"/>
      <c r="D449" s="264"/>
      <c r="E449" s="264"/>
      <c r="F449" s="264"/>
      <c r="G449" s="264" t="s">
        <v>128</v>
      </c>
      <c r="H449" s="264"/>
      <c r="I449" s="264"/>
      <c r="J449" s="264"/>
      <c r="K449" s="264"/>
      <c r="L449" s="264"/>
      <c r="M449" s="264"/>
      <c r="N449" s="264"/>
      <c r="O449" s="264"/>
      <c r="P449" s="264"/>
      <c r="Q449" s="264"/>
      <c r="R449" s="264" t="s">
        <v>331</v>
      </c>
      <c r="U449" s="283"/>
    </row>
    <row r="450" spans="1:21" ht="14.1" customHeight="1" x14ac:dyDescent="0.2">
      <c r="A450" s="252" t="s">
        <v>129</v>
      </c>
      <c r="B450" s="285"/>
      <c r="E450" s="260" t="s">
        <v>130</v>
      </c>
      <c r="F450" s="252" t="s">
        <v>131</v>
      </c>
      <c r="J450" s="286"/>
      <c r="K450" s="286"/>
      <c r="M450" s="286"/>
      <c r="N450" s="286"/>
      <c r="O450" s="286" t="s">
        <v>187</v>
      </c>
      <c r="R450" s="261"/>
      <c r="U450" s="283"/>
    </row>
    <row r="451" spans="1:21" ht="14.1" customHeight="1" x14ac:dyDescent="0.2">
      <c r="B451" s="285"/>
      <c r="F451" s="252" t="s">
        <v>133</v>
      </c>
      <c r="J451" s="260"/>
      <c r="K451" s="261"/>
      <c r="N451" s="260"/>
      <c r="O451" s="260" t="s">
        <v>123</v>
      </c>
      <c r="P451" s="261" t="s">
        <v>1361</v>
      </c>
      <c r="R451" s="260"/>
      <c r="U451" s="283"/>
    </row>
    <row r="452" spans="1:21" ht="14.1" customHeight="1" x14ac:dyDescent="0.2">
      <c r="A452" s="252" t="s">
        <v>134</v>
      </c>
      <c r="B452" s="285"/>
      <c r="F452" s="252" t="s">
        <v>123</v>
      </c>
      <c r="J452" s="260"/>
      <c r="K452" s="261"/>
      <c r="L452" s="260"/>
      <c r="O452" s="260" t="s">
        <v>123</v>
      </c>
      <c r="P452" s="261">
        <v>0</v>
      </c>
      <c r="R452" s="260"/>
      <c r="U452" s="283"/>
    </row>
    <row r="453" spans="1:21" ht="14.1" customHeight="1" x14ac:dyDescent="0.2">
      <c r="B453" s="285"/>
      <c r="F453" s="252" t="s">
        <v>123</v>
      </c>
      <c r="J453" s="260"/>
      <c r="K453" s="261"/>
      <c r="L453" s="260"/>
      <c r="O453" s="260" t="s">
        <v>123</v>
      </c>
      <c r="P453" s="261"/>
      <c r="R453" s="260"/>
      <c r="U453" s="283"/>
    </row>
    <row r="454" spans="1:21" ht="14.1" customHeight="1" thickBot="1" x14ac:dyDescent="0.25">
      <c r="A454" s="264" t="s">
        <v>135</v>
      </c>
      <c r="B454" s="287"/>
      <c r="C454" s="264"/>
      <c r="D454" s="264"/>
      <c r="E454" s="264"/>
      <c r="F454" s="264" t="s">
        <v>123</v>
      </c>
      <c r="G454" s="264"/>
      <c r="H454" s="266"/>
      <c r="I454" s="264"/>
      <c r="J454" s="264"/>
      <c r="K454" s="264"/>
      <c r="L454" s="264"/>
      <c r="M454" s="264"/>
      <c r="N454" s="264"/>
      <c r="O454" s="264"/>
      <c r="P454" s="288"/>
      <c r="Q454" s="264"/>
      <c r="R454" s="264"/>
      <c r="U454" s="283"/>
    </row>
    <row r="455" spans="1:21" ht="14.1" customHeight="1" x14ac:dyDescent="0.2"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U455" s="283"/>
    </row>
    <row r="456" spans="1:21" ht="14.1" customHeight="1" x14ac:dyDescent="0.2">
      <c r="C456" s="267" t="s">
        <v>136</v>
      </c>
      <c r="D456" s="267" t="s">
        <v>137</v>
      </c>
      <c r="E456" s="267"/>
      <c r="F456" s="267" t="s">
        <v>138</v>
      </c>
      <c r="G456" s="267"/>
      <c r="H456" s="267" t="s">
        <v>139</v>
      </c>
      <c r="I456" s="267"/>
      <c r="J456" s="269" t="s">
        <v>140</v>
      </c>
      <c r="K456" s="269"/>
      <c r="L456" s="267" t="s">
        <v>141</v>
      </c>
      <c r="M456" s="267"/>
      <c r="N456" s="267" t="s">
        <v>142</v>
      </c>
      <c r="O456" s="267"/>
      <c r="P456" s="267" t="s">
        <v>143</v>
      </c>
      <c r="Q456" s="267"/>
      <c r="R456" s="267" t="s">
        <v>144</v>
      </c>
      <c r="U456" s="283"/>
    </row>
    <row r="457" spans="1:21" ht="14.1" customHeight="1" x14ac:dyDescent="0.2">
      <c r="C457" s="269" t="s">
        <v>145</v>
      </c>
      <c r="D457" s="269" t="s">
        <v>145</v>
      </c>
      <c r="F457" s="269" t="s">
        <v>6</v>
      </c>
      <c r="G457" s="269"/>
      <c r="H457" s="267" t="s">
        <v>48</v>
      </c>
      <c r="I457" s="269"/>
      <c r="J457" s="267" t="s">
        <v>40</v>
      </c>
      <c r="K457" s="269"/>
      <c r="L457" s="269" t="s">
        <v>40</v>
      </c>
      <c r="M457" s="269"/>
      <c r="P457" s="269" t="s">
        <v>48</v>
      </c>
      <c r="R457" s="269"/>
      <c r="U457" s="283"/>
    </row>
    <row r="458" spans="1:21" ht="14.1" customHeight="1" x14ac:dyDescent="0.2">
      <c r="A458" s="252" t="s">
        <v>146</v>
      </c>
      <c r="B458" s="269"/>
      <c r="C458" s="269" t="s">
        <v>147</v>
      </c>
      <c r="D458" s="269" t="s">
        <v>147</v>
      </c>
      <c r="E458" s="267"/>
      <c r="F458" s="269" t="s">
        <v>148</v>
      </c>
      <c r="G458" s="269"/>
      <c r="H458" s="269" t="s">
        <v>149</v>
      </c>
      <c r="I458" s="269"/>
      <c r="J458" s="269" t="s">
        <v>48</v>
      </c>
      <c r="K458" s="267"/>
      <c r="L458" s="269" t="s">
        <v>48</v>
      </c>
      <c r="M458" s="261"/>
      <c r="N458" s="269" t="s">
        <v>150</v>
      </c>
      <c r="O458" s="267"/>
      <c r="P458" s="267" t="s">
        <v>149</v>
      </c>
      <c r="Q458" s="267"/>
      <c r="R458" s="269" t="s">
        <v>151</v>
      </c>
      <c r="U458" s="283"/>
    </row>
    <row r="459" spans="1:21" ht="14.1" customHeight="1" thickBot="1" x14ac:dyDescent="0.25">
      <c r="A459" s="264" t="s">
        <v>152</v>
      </c>
      <c r="B459" s="266"/>
      <c r="C459" s="266" t="s">
        <v>52</v>
      </c>
      <c r="D459" s="266" t="s">
        <v>153</v>
      </c>
      <c r="E459" s="266"/>
      <c r="F459" s="270" t="s">
        <v>57</v>
      </c>
      <c r="G459" s="270"/>
      <c r="H459" s="270" t="s">
        <v>154</v>
      </c>
      <c r="I459" s="271"/>
      <c r="J459" s="270" t="s">
        <v>155</v>
      </c>
      <c r="K459" s="271"/>
      <c r="L459" s="271" t="s">
        <v>156</v>
      </c>
      <c r="M459" s="272"/>
      <c r="N459" s="272" t="s">
        <v>157</v>
      </c>
      <c r="O459" s="272"/>
      <c r="P459" s="272" t="s">
        <v>158</v>
      </c>
      <c r="Q459" s="272"/>
      <c r="R459" s="272" t="s">
        <v>3</v>
      </c>
      <c r="U459" s="283"/>
    </row>
    <row r="460" spans="1:21" ht="14.1" customHeight="1" x14ac:dyDescent="0.2">
      <c r="A460" s="252">
        <v>1</v>
      </c>
      <c r="B460" s="312"/>
      <c r="U460" s="283"/>
    </row>
    <row r="461" spans="1:21" s="83" customFormat="1" ht="14.1" customHeight="1" x14ac:dyDescent="0.2">
      <c r="A461" s="83">
        <v>2</v>
      </c>
      <c r="B461" s="328"/>
      <c r="C461" s="284"/>
      <c r="D461" s="83" t="s">
        <v>275</v>
      </c>
      <c r="E461" s="252"/>
      <c r="F461" s="252"/>
      <c r="G461" s="252"/>
      <c r="H461" s="327"/>
      <c r="I461" s="327"/>
      <c r="J461" s="327"/>
      <c r="K461" s="327"/>
      <c r="L461" s="327"/>
      <c r="M461" s="327"/>
      <c r="N461" s="327"/>
      <c r="O461" s="327"/>
      <c r="P461" s="327"/>
      <c r="Q461" s="327"/>
      <c r="R461" s="327"/>
      <c r="U461" s="297"/>
    </row>
    <row r="462" spans="1:21" ht="14.1" customHeight="1" x14ac:dyDescent="0.2">
      <c r="A462" s="252">
        <v>3</v>
      </c>
      <c r="B462" s="312"/>
      <c r="C462" s="269" t="s">
        <v>276</v>
      </c>
      <c r="D462" s="687" t="s">
        <v>277</v>
      </c>
      <c r="E462" s="653"/>
      <c r="F462" s="313">
        <v>0</v>
      </c>
      <c r="G462" s="260"/>
      <c r="H462" s="655">
        <v>6923628.5099999998</v>
      </c>
      <c r="I462" s="661"/>
      <c r="J462" s="655">
        <v>0</v>
      </c>
      <c r="K462" s="661"/>
      <c r="L462" s="655">
        <v>0</v>
      </c>
      <c r="M462" s="661"/>
      <c r="N462" s="655">
        <v>0</v>
      </c>
      <c r="O462" s="661"/>
      <c r="P462" s="655">
        <v>6923628.5099999998</v>
      </c>
      <c r="Q462" s="661"/>
      <c r="R462" s="655">
        <v>6923628.5100000007</v>
      </c>
      <c r="U462" s="283"/>
    </row>
    <row r="463" spans="1:21" ht="14.1" customHeight="1" x14ac:dyDescent="0.2">
      <c r="A463" s="252">
        <v>4</v>
      </c>
      <c r="B463" s="312"/>
      <c r="C463" s="269" t="s">
        <v>278</v>
      </c>
      <c r="D463" s="688" t="s">
        <v>279</v>
      </c>
      <c r="E463" s="689"/>
      <c r="F463" s="313">
        <v>0</v>
      </c>
      <c r="G463" s="260"/>
      <c r="H463" s="655">
        <v>101218524.03999999</v>
      </c>
      <c r="I463" s="661"/>
      <c r="J463" s="655">
        <v>23816063.770000003</v>
      </c>
      <c r="K463" s="661"/>
      <c r="L463" s="655">
        <v>0</v>
      </c>
      <c r="M463" s="661"/>
      <c r="N463" s="655">
        <v>0</v>
      </c>
      <c r="O463" s="661"/>
      <c r="P463" s="655">
        <v>125034587.80999999</v>
      </c>
      <c r="Q463" s="661"/>
      <c r="R463" s="655">
        <v>109877094.28692305</v>
      </c>
      <c r="U463" s="283"/>
    </row>
    <row r="464" spans="1:21" ht="14.1" customHeight="1" x14ac:dyDescent="0.2">
      <c r="A464" s="252">
        <v>5</v>
      </c>
      <c r="B464" s="312"/>
      <c r="C464" s="269">
        <v>35000</v>
      </c>
      <c r="D464" s="589" t="s">
        <v>280</v>
      </c>
      <c r="E464" s="690"/>
      <c r="F464" s="313">
        <v>0</v>
      </c>
      <c r="G464" s="260"/>
      <c r="H464" s="655">
        <v>17478517.299999997</v>
      </c>
      <c r="I464" s="656"/>
      <c r="J464" s="655">
        <v>0</v>
      </c>
      <c r="K464" s="603"/>
      <c r="L464" s="655">
        <v>0</v>
      </c>
      <c r="M464" s="603"/>
      <c r="N464" s="655">
        <v>0</v>
      </c>
      <c r="O464" s="603"/>
      <c r="P464" s="655">
        <v>17478517.299999997</v>
      </c>
      <c r="Q464" s="603"/>
      <c r="R464" s="655">
        <v>17478517.300000004</v>
      </c>
      <c r="U464" s="283"/>
    </row>
    <row r="465" spans="1:21" ht="14.1" customHeight="1" x14ac:dyDescent="0.2">
      <c r="A465" s="252">
        <v>6</v>
      </c>
      <c r="B465" s="312"/>
      <c r="C465" s="269">
        <v>36000</v>
      </c>
      <c r="D465" s="589" t="s">
        <v>281</v>
      </c>
      <c r="E465" s="690"/>
      <c r="F465" s="313">
        <v>0</v>
      </c>
      <c r="G465" s="260"/>
      <c r="H465" s="655">
        <v>10119782.539999999</v>
      </c>
      <c r="I465" s="656"/>
      <c r="J465" s="655">
        <v>0</v>
      </c>
      <c r="K465" s="603"/>
      <c r="L465" s="655">
        <v>0</v>
      </c>
      <c r="M465" s="603"/>
      <c r="N465" s="655">
        <v>0</v>
      </c>
      <c r="O465" s="603"/>
      <c r="P465" s="655">
        <v>10119782.539999999</v>
      </c>
      <c r="Q465" s="603"/>
      <c r="R465" s="655">
        <v>10119782.539999995</v>
      </c>
      <c r="U465" s="283"/>
    </row>
    <row r="466" spans="1:21" ht="14.1" customHeight="1" x14ac:dyDescent="0.2">
      <c r="A466" s="252">
        <v>7</v>
      </c>
      <c r="B466" s="312"/>
      <c r="C466" s="269">
        <v>38900</v>
      </c>
      <c r="D466" s="589" t="s">
        <v>282</v>
      </c>
      <c r="E466" s="690"/>
      <c r="F466" s="313">
        <v>0</v>
      </c>
      <c r="G466" s="260"/>
      <c r="H466" s="655">
        <v>3286630.42</v>
      </c>
      <c r="I466" s="656"/>
      <c r="J466" s="655">
        <v>0</v>
      </c>
      <c r="K466" s="603"/>
      <c r="L466" s="655">
        <v>0</v>
      </c>
      <c r="M466" s="603"/>
      <c r="N466" s="655">
        <v>0</v>
      </c>
      <c r="O466" s="603"/>
      <c r="P466" s="655">
        <v>3286630.42</v>
      </c>
      <c r="Q466" s="603"/>
      <c r="R466" s="655">
        <v>3286630.4200000009</v>
      </c>
      <c r="U466" s="283"/>
    </row>
    <row r="467" spans="1:21" ht="14.1" customHeight="1" x14ac:dyDescent="0.2">
      <c r="A467" s="252">
        <v>8</v>
      </c>
      <c r="B467" s="312"/>
      <c r="C467" s="269"/>
      <c r="D467" s="688" t="s">
        <v>173</v>
      </c>
      <c r="E467" s="689"/>
      <c r="F467" s="689"/>
      <c r="G467" s="689"/>
      <c r="H467" s="658">
        <v>139027082.80999997</v>
      </c>
      <c r="I467" s="661"/>
      <c r="J467" s="658">
        <v>23816063.770000003</v>
      </c>
      <c r="K467" s="661"/>
      <c r="L467" s="658">
        <v>0</v>
      </c>
      <c r="M467" s="661"/>
      <c r="N467" s="658">
        <v>0</v>
      </c>
      <c r="O467" s="661"/>
      <c r="P467" s="658">
        <v>162843146.57999998</v>
      </c>
      <c r="Q467" s="661"/>
      <c r="R467" s="658">
        <v>147685653.05692303</v>
      </c>
      <c r="U467" s="283"/>
    </row>
    <row r="468" spans="1:21" ht="14.1" customHeight="1" x14ac:dyDescent="0.2">
      <c r="A468" s="252">
        <v>9</v>
      </c>
      <c r="B468" s="312"/>
      <c r="U468" s="283"/>
    </row>
    <row r="469" spans="1:21" ht="14.1" customHeight="1" x14ac:dyDescent="0.2">
      <c r="A469" s="252">
        <v>10</v>
      </c>
      <c r="B469" s="312"/>
      <c r="C469" s="269"/>
      <c r="D469" s="691" t="s">
        <v>283</v>
      </c>
      <c r="E469" s="653"/>
      <c r="F469" s="653"/>
      <c r="G469" s="653"/>
      <c r="H469" s="661"/>
      <c r="I469" s="661"/>
      <c r="J469" s="253"/>
      <c r="K469" s="661"/>
      <c r="L469" s="253"/>
      <c r="M469" s="661"/>
      <c r="N469" s="253"/>
      <c r="O469" s="661"/>
      <c r="P469" s="253"/>
      <c r="Q469" s="661"/>
      <c r="R469" s="253"/>
      <c r="U469" s="283"/>
    </row>
    <row r="470" spans="1:21" ht="14.1" customHeight="1" x14ac:dyDescent="0.2">
      <c r="A470" s="252">
        <v>11</v>
      </c>
      <c r="B470" s="312"/>
      <c r="C470" s="269">
        <v>30300</v>
      </c>
      <c r="D470" s="663" t="s">
        <v>1385</v>
      </c>
      <c r="E470" s="689"/>
      <c r="F470" s="313">
        <v>10</v>
      </c>
      <c r="G470" s="260"/>
      <c r="H470" s="655">
        <v>0</v>
      </c>
      <c r="I470" s="656"/>
      <c r="J470" s="655">
        <v>0</v>
      </c>
      <c r="K470" s="603"/>
      <c r="L470" s="655">
        <v>0</v>
      </c>
      <c r="M470" s="603"/>
      <c r="N470" s="655">
        <v>0</v>
      </c>
      <c r="O470" s="603"/>
      <c r="P470" s="655">
        <v>0</v>
      </c>
      <c r="Q470" s="603"/>
      <c r="R470" s="655">
        <v>0</v>
      </c>
      <c r="U470" s="283"/>
    </row>
    <row r="471" spans="1:21" ht="14.1" customHeight="1" x14ac:dyDescent="0.2">
      <c r="A471" s="252">
        <v>12</v>
      </c>
      <c r="B471" s="312"/>
      <c r="C471" s="269">
        <v>30301</v>
      </c>
      <c r="D471" s="663" t="s">
        <v>1386</v>
      </c>
      <c r="E471" s="689"/>
      <c r="F471" s="313">
        <v>20</v>
      </c>
      <c r="G471" s="260"/>
      <c r="H471" s="655">
        <v>0</v>
      </c>
      <c r="I471" s="656"/>
      <c r="J471" s="655">
        <v>0</v>
      </c>
      <c r="K471" s="603"/>
      <c r="L471" s="655">
        <v>0</v>
      </c>
      <c r="M471" s="603"/>
      <c r="N471" s="655">
        <v>0</v>
      </c>
      <c r="O471" s="603"/>
      <c r="P471" s="655">
        <v>0</v>
      </c>
      <c r="Q471" s="603"/>
      <c r="R471" s="655">
        <v>0</v>
      </c>
      <c r="U471" s="283"/>
    </row>
    <row r="472" spans="1:21" ht="14.1" customHeight="1" x14ac:dyDescent="0.2">
      <c r="A472" s="252">
        <v>13</v>
      </c>
      <c r="B472" s="312"/>
      <c r="C472" s="269">
        <v>30315</v>
      </c>
      <c r="D472" s="663" t="s">
        <v>284</v>
      </c>
      <c r="F472" s="313">
        <v>6.67</v>
      </c>
      <c r="H472" s="655">
        <v>251460145.26999995</v>
      </c>
      <c r="J472" s="655">
        <v>181957518.14999998</v>
      </c>
      <c r="K472" s="603"/>
      <c r="L472" s="655">
        <v>0</v>
      </c>
      <c r="M472" s="603"/>
      <c r="N472" s="655">
        <v>0</v>
      </c>
      <c r="O472" s="603"/>
      <c r="P472" s="655">
        <v>433417663.41999996</v>
      </c>
      <c r="Q472" s="603"/>
      <c r="R472" s="655">
        <v>282508109.61846149</v>
      </c>
      <c r="U472" s="283"/>
    </row>
    <row r="473" spans="1:21" ht="14.1" customHeight="1" x14ac:dyDescent="0.2">
      <c r="A473" s="252">
        <v>14</v>
      </c>
      <c r="C473" s="269">
        <v>30302</v>
      </c>
      <c r="D473" s="252" t="s">
        <v>1387</v>
      </c>
      <c r="F473" s="313">
        <v>0</v>
      </c>
      <c r="G473" s="260"/>
      <c r="H473" s="655">
        <v>0</v>
      </c>
      <c r="I473" s="656"/>
      <c r="J473" s="655">
        <v>0</v>
      </c>
      <c r="K473" s="603"/>
      <c r="L473" s="655">
        <v>0</v>
      </c>
      <c r="M473" s="603"/>
      <c r="N473" s="655">
        <v>0</v>
      </c>
      <c r="O473" s="603"/>
      <c r="P473" s="655">
        <v>0</v>
      </c>
      <c r="Q473" s="603"/>
      <c r="R473" s="655">
        <v>0</v>
      </c>
      <c r="U473" s="283"/>
    </row>
    <row r="474" spans="1:21" ht="14.1" customHeight="1" x14ac:dyDescent="0.2">
      <c r="A474" s="252">
        <v>15</v>
      </c>
      <c r="C474" s="269">
        <v>30399</v>
      </c>
      <c r="D474" s="252" t="s">
        <v>1388</v>
      </c>
      <c r="F474" s="313">
        <v>3.3300000000000005</v>
      </c>
      <c r="H474" s="655">
        <v>415159.12</v>
      </c>
      <c r="J474" s="655">
        <v>0</v>
      </c>
      <c r="K474" s="603"/>
      <c r="L474" s="655">
        <v>0</v>
      </c>
      <c r="M474" s="603"/>
      <c r="N474" s="655">
        <v>0</v>
      </c>
      <c r="O474" s="603"/>
      <c r="P474" s="655">
        <v>415159.12</v>
      </c>
      <c r="Q474" s="603"/>
      <c r="R474" s="655">
        <v>415159.12000000005</v>
      </c>
      <c r="U474" s="283"/>
    </row>
    <row r="475" spans="1:21" s="83" customFormat="1" ht="14.1" customHeight="1" x14ac:dyDescent="0.2">
      <c r="A475" s="83">
        <v>16</v>
      </c>
      <c r="C475" s="252"/>
      <c r="D475" s="688" t="s">
        <v>175</v>
      </c>
      <c r="E475" s="692"/>
      <c r="F475" s="692"/>
      <c r="G475" s="692"/>
      <c r="H475" s="658">
        <v>251875304.38999996</v>
      </c>
      <c r="I475" s="661"/>
      <c r="J475" s="658">
        <v>181957518.14999998</v>
      </c>
      <c r="K475" s="661"/>
      <c r="L475" s="658">
        <v>0</v>
      </c>
      <c r="M475" s="661"/>
      <c r="N475" s="658">
        <v>0</v>
      </c>
      <c r="O475" s="661"/>
      <c r="P475" s="658">
        <v>433832822.53999996</v>
      </c>
      <c r="Q475" s="661"/>
      <c r="R475" s="658">
        <v>282923268.73846149</v>
      </c>
      <c r="U475" s="297"/>
    </row>
    <row r="476" spans="1:21" ht="14.1" customHeight="1" x14ac:dyDescent="0.2">
      <c r="A476" s="252">
        <v>17</v>
      </c>
      <c r="U476" s="283"/>
    </row>
    <row r="477" spans="1:21" s="83" customFormat="1" ht="14.1" customHeight="1" x14ac:dyDescent="0.2">
      <c r="A477" s="83">
        <v>18</v>
      </c>
      <c r="D477" s="693" t="s">
        <v>286</v>
      </c>
      <c r="U477" s="297"/>
    </row>
    <row r="478" spans="1:21" ht="14.1" customHeight="1" x14ac:dyDescent="0.2">
      <c r="A478" s="252">
        <v>19</v>
      </c>
      <c r="B478" s="312"/>
      <c r="C478" s="269">
        <v>31700</v>
      </c>
      <c r="D478" s="252" t="s">
        <v>1389</v>
      </c>
      <c r="F478" s="313">
        <v>16.69336319204297</v>
      </c>
      <c r="H478" s="655">
        <v>30036948.829999991</v>
      </c>
      <c r="I478" s="656"/>
      <c r="J478" s="655">
        <v>0</v>
      </c>
      <c r="K478" s="603"/>
      <c r="L478" s="655">
        <v>0</v>
      </c>
      <c r="M478" s="603"/>
      <c r="N478" s="655">
        <v>0</v>
      </c>
      <c r="O478" s="603"/>
      <c r="P478" s="655">
        <v>30036948.829999991</v>
      </c>
      <c r="Q478" s="603"/>
      <c r="R478" s="655">
        <v>30036948.829999987</v>
      </c>
      <c r="U478" s="283"/>
    </row>
    <row r="479" spans="1:21" ht="14.1" customHeight="1" x14ac:dyDescent="0.2">
      <c r="A479" s="252">
        <v>20</v>
      </c>
      <c r="B479" s="312"/>
      <c r="C479" s="269">
        <v>34700</v>
      </c>
      <c r="D479" s="252" t="s">
        <v>1390</v>
      </c>
      <c r="F479" s="313">
        <v>3.3947042200327737</v>
      </c>
      <c r="H479" s="655">
        <v>9476131.6199999992</v>
      </c>
      <c r="I479" s="656"/>
      <c r="J479" s="655">
        <v>0</v>
      </c>
      <c r="K479" s="603"/>
      <c r="L479" s="655">
        <v>0</v>
      </c>
      <c r="M479" s="603"/>
      <c r="N479" s="655">
        <v>0</v>
      </c>
      <c r="O479" s="603"/>
      <c r="P479" s="655">
        <v>9476131.6199999992</v>
      </c>
      <c r="Q479" s="603"/>
      <c r="R479" s="655">
        <v>9476131.620000001</v>
      </c>
      <c r="U479" s="283"/>
    </row>
    <row r="480" spans="1:21" ht="14.1" customHeight="1" x14ac:dyDescent="0.2">
      <c r="A480" s="252">
        <v>21</v>
      </c>
      <c r="B480" s="312"/>
      <c r="C480" s="269">
        <v>37400</v>
      </c>
      <c r="D480" s="252" t="s">
        <v>1391</v>
      </c>
      <c r="F480" s="313">
        <v>1.844437079399637</v>
      </c>
      <c r="H480" s="655">
        <v>7970080.5</v>
      </c>
      <c r="I480" s="656"/>
      <c r="J480" s="655">
        <v>0</v>
      </c>
      <c r="K480" s="603"/>
      <c r="L480" s="655">
        <v>0</v>
      </c>
      <c r="M480" s="603"/>
      <c r="N480" s="655">
        <v>0</v>
      </c>
      <c r="O480" s="603"/>
      <c r="P480" s="655">
        <v>7970080.5</v>
      </c>
      <c r="Q480" s="603"/>
      <c r="R480" s="655">
        <v>7970080.5</v>
      </c>
      <c r="U480" s="283"/>
    </row>
    <row r="481" spans="1:21" ht="14.1" customHeight="1" x14ac:dyDescent="0.2">
      <c r="A481" s="252">
        <v>22</v>
      </c>
      <c r="B481" s="312"/>
      <c r="C481" s="269">
        <v>39910</v>
      </c>
      <c r="D481" s="252" t="s">
        <v>1392</v>
      </c>
      <c r="F481" s="313">
        <v>5.3641117150124016</v>
      </c>
      <c r="H481" s="99">
        <v>197239.74</v>
      </c>
      <c r="I481" s="694"/>
      <c r="J481" s="99">
        <v>0</v>
      </c>
      <c r="K481" s="334"/>
      <c r="L481" s="99">
        <v>0</v>
      </c>
      <c r="M481" s="334"/>
      <c r="N481" s="99">
        <v>0</v>
      </c>
      <c r="O481" s="334"/>
      <c r="P481" s="99">
        <v>197239.74</v>
      </c>
      <c r="Q481" s="334"/>
      <c r="R481" s="99">
        <v>197239.74000000002</v>
      </c>
      <c r="U481" s="283"/>
    </row>
    <row r="482" spans="1:21" ht="14.1" customHeight="1" x14ac:dyDescent="0.2">
      <c r="A482" s="252">
        <v>23</v>
      </c>
      <c r="B482" s="312"/>
      <c r="D482" s="695" t="s">
        <v>177</v>
      </c>
      <c r="H482" s="283">
        <v>47680400.68999999</v>
      </c>
      <c r="J482" s="283">
        <v>0</v>
      </c>
      <c r="L482" s="283">
        <v>0</v>
      </c>
      <c r="N482" s="283">
        <v>0</v>
      </c>
      <c r="P482" s="283">
        <v>47680400.68999999</v>
      </c>
      <c r="R482" s="283">
        <v>47680400.68999999</v>
      </c>
      <c r="U482" s="283"/>
    </row>
    <row r="483" spans="1:21" ht="14.1" customHeight="1" x14ac:dyDescent="0.2">
      <c r="A483" s="252">
        <v>24</v>
      </c>
      <c r="B483" s="312"/>
      <c r="U483" s="283"/>
    </row>
    <row r="484" spans="1:21" ht="14.1" customHeight="1" x14ac:dyDescent="0.2">
      <c r="A484" s="252">
        <v>25</v>
      </c>
      <c r="B484" s="312"/>
      <c r="C484" s="269">
        <v>10112</v>
      </c>
      <c r="D484" s="252" t="s">
        <v>1393</v>
      </c>
      <c r="F484" s="313">
        <v>0</v>
      </c>
      <c r="H484" s="99">
        <v>25996942.23</v>
      </c>
      <c r="I484" s="696"/>
      <c r="J484" s="99">
        <v>-1757404.120000001</v>
      </c>
      <c r="K484" s="238"/>
      <c r="L484" s="99">
        <v>0</v>
      </c>
      <c r="M484" s="238"/>
      <c r="N484" s="99">
        <v>0</v>
      </c>
      <c r="O484" s="238"/>
      <c r="P484" s="99">
        <v>24239538.109999999</v>
      </c>
      <c r="Q484" s="238"/>
      <c r="R484" s="99">
        <v>25114129.236153848</v>
      </c>
      <c r="U484" s="283"/>
    </row>
    <row r="485" spans="1:21" ht="14.1" customHeight="1" x14ac:dyDescent="0.2">
      <c r="A485" s="252">
        <v>26</v>
      </c>
      <c r="B485" s="312"/>
      <c r="D485" s="252" t="s">
        <v>1363</v>
      </c>
      <c r="H485" s="238">
        <v>25996942.23</v>
      </c>
      <c r="J485" s="238">
        <v>-1757404.120000001</v>
      </c>
      <c r="L485" s="238">
        <v>0</v>
      </c>
      <c r="N485" s="238">
        <v>0</v>
      </c>
      <c r="P485" s="238">
        <v>24239538.109999999</v>
      </c>
      <c r="R485" s="238">
        <v>25114129.236153848</v>
      </c>
      <c r="U485" s="283"/>
    </row>
    <row r="486" spans="1:21" ht="14.1" customHeight="1" x14ac:dyDescent="0.2">
      <c r="A486" s="252">
        <v>27</v>
      </c>
      <c r="B486" s="312"/>
      <c r="U486" s="283"/>
    </row>
    <row r="487" spans="1:21" ht="14.1" customHeight="1" x14ac:dyDescent="0.2">
      <c r="A487" s="252">
        <v>28</v>
      </c>
      <c r="B487" s="312"/>
      <c r="D487" s="83" t="s">
        <v>1364</v>
      </c>
      <c r="E487" s="83"/>
      <c r="F487" s="83"/>
      <c r="G487" s="83"/>
      <c r="H487" s="672">
        <v>10176401541.960001</v>
      </c>
      <c r="I487" s="666"/>
      <c r="J487" s="672">
        <v>1683530619.6700001</v>
      </c>
      <c r="K487" s="666"/>
      <c r="L487" s="672">
        <v>-1198090186.8320749</v>
      </c>
      <c r="M487" s="666"/>
      <c r="N487" s="672">
        <v>0</v>
      </c>
      <c r="O487" s="666"/>
      <c r="P487" s="672">
        <v>10661841974.797926</v>
      </c>
      <c r="Q487" s="666"/>
      <c r="R487" s="672">
        <v>10514786190.522263</v>
      </c>
      <c r="U487" s="283"/>
    </row>
    <row r="488" spans="1:21" ht="14.1" customHeight="1" x14ac:dyDescent="0.2">
      <c r="A488" s="252">
        <v>29</v>
      </c>
      <c r="B488" s="312"/>
      <c r="U488" s="283"/>
    </row>
    <row r="489" spans="1:21" ht="14.1" customHeight="1" x14ac:dyDescent="0.2">
      <c r="A489" s="252">
        <v>30</v>
      </c>
      <c r="B489" s="312"/>
      <c r="D489" s="258" t="s">
        <v>291</v>
      </c>
      <c r="U489" s="283"/>
    </row>
    <row r="490" spans="1:21" ht="14.1" customHeight="1" x14ac:dyDescent="0.2">
      <c r="A490" s="252">
        <v>31</v>
      </c>
      <c r="B490" s="312"/>
      <c r="C490" s="269">
        <v>11401</v>
      </c>
      <c r="D490" s="279" t="s">
        <v>292</v>
      </c>
      <c r="F490" s="313">
        <v>3.0042864005201513</v>
      </c>
      <c r="G490" s="260"/>
      <c r="H490" s="68">
        <v>6182810</v>
      </c>
      <c r="I490" s="694"/>
      <c r="J490" s="68">
        <v>0</v>
      </c>
      <c r="K490" s="334"/>
      <c r="L490" s="68">
        <v>0</v>
      </c>
      <c r="M490" s="334"/>
      <c r="N490" s="68">
        <v>0</v>
      </c>
      <c r="O490" s="334"/>
      <c r="P490" s="68">
        <v>6182810</v>
      </c>
      <c r="Q490" s="334"/>
      <c r="R490" s="68">
        <v>6182810</v>
      </c>
      <c r="U490" s="283"/>
    </row>
    <row r="491" spans="1:21" ht="14.1" customHeight="1" x14ac:dyDescent="0.2">
      <c r="A491" s="252">
        <v>32</v>
      </c>
      <c r="B491" s="312"/>
      <c r="C491" s="269">
        <v>11402</v>
      </c>
      <c r="D491" s="279" t="s">
        <v>293</v>
      </c>
      <c r="F491" s="313">
        <v>4.3644641465684257</v>
      </c>
      <c r="G491" s="260"/>
      <c r="H491" s="68">
        <v>960040.88</v>
      </c>
      <c r="I491" s="694"/>
      <c r="J491" s="68">
        <v>0</v>
      </c>
      <c r="K491" s="334"/>
      <c r="L491" s="68">
        <v>0</v>
      </c>
      <c r="M491" s="334"/>
      <c r="N491" s="68">
        <v>0</v>
      </c>
      <c r="O491" s="334"/>
      <c r="P491" s="68">
        <v>960040.88</v>
      </c>
      <c r="Q491" s="334"/>
      <c r="R491" s="68">
        <v>960040.88000000024</v>
      </c>
      <c r="U491" s="283"/>
    </row>
    <row r="492" spans="1:21" ht="14.1" customHeight="1" x14ac:dyDescent="0.2">
      <c r="A492" s="252">
        <v>33</v>
      </c>
      <c r="B492" s="312"/>
      <c r="C492" s="269">
        <v>11403</v>
      </c>
      <c r="D492" s="252" t="s">
        <v>294</v>
      </c>
      <c r="F492" s="313">
        <v>2.6489897356472691</v>
      </c>
      <c r="G492" s="260"/>
      <c r="H492" s="68">
        <v>341971.88</v>
      </c>
      <c r="I492" s="694"/>
      <c r="J492" s="68">
        <v>0</v>
      </c>
      <c r="K492" s="334"/>
      <c r="L492" s="68">
        <v>0</v>
      </c>
      <c r="M492" s="334"/>
      <c r="N492" s="68">
        <v>0</v>
      </c>
      <c r="O492" s="334"/>
      <c r="P492" s="68">
        <v>341971.88</v>
      </c>
      <c r="Q492" s="334"/>
      <c r="R492" s="68">
        <v>341971.87999999995</v>
      </c>
      <c r="U492" s="283"/>
    </row>
    <row r="493" spans="1:21" ht="14.1" customHeight="1" x14ac:dyDescent="0.2">
      <c r="A493" s="252">
        <v>34</v>
      </c>
      <c r="B493" s="312"/>
      <c r="D493" s="279" t="s">
        <v>179</v>
      </c>
      <c r="H493" s="90">
        <v>7484822.7599999998</v>
      </c>
      <c r="I493" s="697"/>
      <c r="J493" s="90">
        <v>0</v>
      </c>
      <c r="K493" s="697"/>
      <c r="L493" s="90">
        <v>0</v>
      </c>
      <c r="M493" s="697"/>
      <c r="N493" s="90">
        <v>0</v>
      </c>
      <c r="O493" s="697"/>
      <c r="P493" s="90">
        <v>7484822.7599999998</v>
      </c>
      <c r="Q493" s="697"/>
      <c r="R493" s="90">
        <v>7484822.7599999998</v>
      </c>
      <c r="U493" s="283"/>
    </row>
    <row r="494" spans="1:21" ht="14.1" customHeight="1" x14ac:dyDescent="0.2">
      <c r="A494" s="252">
        <v>35</v>
      </c>
      <c r="B494" s="312"/>
      <c r="U494" s="283"/>
    </row>
    <row r="495" spans="1:21" ht="14.1" customHeight="1" x14ac:dyDescent="0.2">
      <c r="A495" s="252">
        <v>36</v>
      </c>
      <c r="B495" s="312"/>
      <c r="U495" s="283"/>
    </row>
    <row r="496" spans="1:21" ht="14.1" customHeight="1" x14ac:dyDescent="0.2">
      <c r="A496" s="83">
        <v>37</v>
      </c>
      <c r="B496" s="312"/>
      <c r="U496" s="283"/>
    </row>
    <row r="497" spans="1:23" s="83" customFormat="1" ht="14.1" customHeight="1" x14ac:dyDescent="0.2">
      <c r="A497" s="83">
        <v>38</v>
      </c>
      <c r="B497" s="328"/>
      <c r="C497" s="269">
        <v>10200</v>
      </c>
      <c r="D497" s="663" t="s">
        <v>181</v>
      </c>
      <c r="E497" s="252"/>
      <c r="F497" s="313">
        <v>0</v>
      </c>
      <c r="G497" s="260"/>
      <c r="H497" s="68">
        <v>0</v>
      </c>
      <c r="I497" s="694"/>
      <c r="J497" s="68">
        <v>0</v>
      </c>
      <c r="K497" s="334"/>
      <c r="L497" s="68">
        <v>0</v>
      </c>
      <c r="M497" s="334"/>
      <c r="N497" s="68">
        <v>0</v>
      </c>
      <c r="O497" s="334"/>
      <c r="P497" s="68">
        <v>0</v>
      </c>
      <c r="Q497" s="334"/>
      <c r="R497" s="68">
        <v>0</v>
      </c>
      <c r="U497" s="297"/>
    </row>
    <row r="498" spans="1:23" ht="14.1" customHeight="1" x14ac:dyDescent="0.2">
      <c r="A498" s="83">
        <v>39</v>
      </c>
      <c r="B498" s="312"/>
      <c r="U498" s="283"/>
    </row>
    <row r="499" spans="1:23" s="83" customFormat="1" ht="14.1" customHeight="1" x14ac:dyDescent="0.2">
      <c r="A499" s="83">
        <v>40</v>
      </c>
      <c r="B499" s="698"/>
      <c r="U499" s="297"/>
    </row>
    <row r="500" spans="1:23" s="83" customFormat="1" ht="14.1" customHeight="1" x14ac:dyDescent="0.2">
      <c r="A500" s="83">
        <v>41</v>
      </c>
      <c r="B500" s="698"/>
      <c r="C500" s="269">
        <v>10501</v>
      </c>
      <c r="D500" s="699" t="s">
        <v>183</v>
      </c>
      <c r="E500" s="252"/>
      <c r="F500" s="313">
        <v>0</v>
      </c>
      <c r="G500" s="260"/>
      <c r="H500" s="68">
        <v>54537442.12000002</v>
      </c>
      <c r="I500" s="694"/>
      <c r="J500" s="68">
        <v>6733602.7200000007</v>
      </c>
      <c r="K500" s="334"/>
      <c r="L500" s="68">
        <v>0</v>
      </c>
      <c r="M500" s="334"/>
      <c r="N500" s="68">
        <v>0</v>
      </c>
      <c r="O500" s="334"/>
      <c r="P500" s="68">
        <v>61271044.840000018</v>
      </c>
      <c r="Q500" s="334"/>
      <c r="R500" s="68">
        <v>55171031.121538483</v>
      </c>
      <c r="U500" s="297"/>
    </row>
    <row r="501" spans="1:23" s="83" customFormat="1" ht="14.1" customHeight="1" x14ac:dyDescent="0.2">
      <c r="A501" s="83">
        <v>42</v>
      </c>
      <c r="B501" s="698"/>
      <c r="C501" s="252"/>
      <c r="U501" s="297"/>
    </row>
    <row r="502" spans="1:23" s="83" customFormat="1" ht="14.1" customHeight="1" thickBot="1" x14ac:dyDescent="0.25">
      <c r="A502" s="83">
        <v>43</v>
      </c>
      <c r="B502" s="698"/>
      <c r="D502" s="298" t="s">
        <v>184</v>
      </c>
      <c r="E502" s="298"/>
      <c r="H502" s="326">
        <v>10238423806.84</v>
      </c>
      <c r="I502" s="326"/>
      <c r="J502" s="326">
        <v>1690264222.3900001</v>
      </c>
      <c r="K502" s="672"/>
      <c r="L502" s="326">
        <v>-1198090186.8320749</v>
      </c>
      <c r="M502" s="672"/>
      <c r="N502" s="326">
        <v>0</v>
      </c>
      <c r="O502" s="672"/>
      <c r="P502" s="326">
        <v>10730597842.397926</v>
      </c>
      <c r="Q502" s="672"/>
      <c r="R502" s="326">
        <v>10577442044.403801</v>
      </c>
      <c r="U502" s="297"/>
    </row>
    <row r="503" spans="1:23" ht="14.1" customHeight="1" thickTop="1" thickBot="1" x14ac:dyDescent="0.25">
      <c r="A503" s="83">
        <v>44</v>
      </c>
      <c r="B503" s="667" t="s">
        <v>186</v>
      </c>
      <c r="C503" s="264"/>
      <c r="D503" s="264"/>
      <c r="E503" s="264"/>
      <c r="F503" s="264"/>
      <c r="G503" s="264"/>
      <c r="H503" s="264"/>
      <c r="I503" s="264"/>
      <c r="J503" s="264"/>
      <c r="K503" s="264"/>
      <c r="L503" s="264"/>
      <c r="M503" s="264"/>
      <c r="N503" s="264"/>
      <c r="O503" s="264"/>
      <c r="P503" s="264"/>
      <c r="Q503" s="264"/>
      <c r="R503" s="264"/>
      <c r="U503" s="283"/>
    </row>
    <row r="504" spans="1:23" ht="14.1" customHeight="1" x14ac:dyDescent="0.2">
      <c r="A504" s="252" t="s">
        <v>60</v>
      </c>
      <c r="P504" s="252" t="s">
        <v>60</v>
      </c>
      <c r="U504" s="283"/>
    </row>
    <row r="505" spans="1:23" ht="14.1" customHeight="1" x14ac:dyDescent="0.2">
      <c r="V505" s="283"/>
      <c r="W505" s="283"/>
    </row>
    <row r="506" spans="1:23" ht="14.1" customHeight="1" x14ac:dyDescent="0.2">
      <c r="D506" s="252" t="s">
        <v>296</v>
      </c>
      <c r="H506" s="283">
        <v>10102724199.039999</v>
      </c>
      <c r="I506" s="283"/>
      <c r="J506" s="283">
        <v>1685288023.79</v>
      </c>
      <c r="K506" s="283"/>
      <c r="L506" s="283">
        <v>-1198090186.8320746</v>
      </c>
      <c r="M506" s="283"/>
      <c r="N506" s="283">
        <v>0</v>
      </c>
      <c r="O506" s="283"/>
      <c r="P506" s="283">
        <v>10589922035.997925</v>
      </c>
      <c r="Q506" s="283"/>
      <c r="R506" s="283">
        <v>10441991660.596104</v>
      </c>
      <c r="U506" s="283">
        <v>0</v>
      </c>
      <c r="V506" s="283"/>
      <c r="W506" s="283"/>
    </row>
    <row r="507" spans="1:23" ht="14.1" customHeight="1" x14ac:dyDescent="0.2">
      <c r="D507" s="252" t="s">
        <v>1394</v>
      </c>
      <c r="H507" s="283">
        <v>25996942.23</v>
      </c>
      <c r="I507" s="283"/>
      <c r="J507" s="283">
        <v>-1757404.120000001</v>
      </c>
      <c r="K507" s="283"/>
      <c r="L507" s="283">
        <v>0</v>
      </c>
      <c r="M507" s="283"/>
      <c r="N507" s="283">
        <v>0</v>
      </c>
      <c r="O507" s="283"/>
      <c r="P507" s="283">
        <v>24239538.109999999</v>
      </c>
      <c r="Q507" s="283"/>
      <c r="R507" s="283">
        <v>25114129.236153848</v>
      </c>
      <c r="U507" s="283"/>
      <c r="V507" s="283"/>
      <c r="W507" s="283"/>
    </row>
    <row r="508" spans="1:23" ht="14.1" customHeight="1" x14ac:dyDescent="0.2">
      <c r="D508" s="252" t="s">
        <v>1153</v>
      </c>
      <c r="H508" s="283">
        <v>47680400.690000296</v>
      </c>
      <c r="I508" s="283"/>
      <c r="J508" s="283">
        <v>0</v>
      </c>
      <c r="K508" s="283"/>
      <c r="L508" s="283">
        <v>0</v>
      </c>
      <c r="M508" s="283"/>
      <c r="N508" s="283">
        <v>0</v>
      </c>
      <c r="O508" s="283"/>
      <c r="P508" s="283">
        <v>47680400.690000296</v>
      </c>
      <c r="Q508" s="283"/>
      <c r="R508" s="283">
        <v>47680400.690000296</v>
      </c>
      <c r="U508" s="283">
        <v>0</v>
      </c>
      <c r="V508" s="283"/>
    </row>
    <row r="509" spans="1:23" ht="14.1" customHeight="1" x14ac:dyDescent="0.2">
      <c r="D509" s="252" t="s">
        <v>298</v>
      </c>
      <c r="H509" s="283">
        <v>54537442.120000005</v>
      </c>
      <c r="I509" s="283"/>
      <c r="J509" s="283">
        <v>6733602.7200000007</v>
      </c>
      <c r="K509" s="283"/>
      <c r="L509" s="283">
        <v>0</v>
      </c>
      <c r="M509" s="283"/>
      <c r="N509" s="283">
        <v>0</v>
      </c>
      <c r="O509" s="283"/>
      <c r="P509" s="283">
        <v>61271044.840000004</v>
      </c>
      <c r="Q509" s="283"/>
      <c r="R509" s="283">
        <v>55171031.121538468</v>
      </c>
      <c r="U509" s="283">
        <v>0</v>
      </c>
    </row>
    <row r="510" spans="1:23" ht="14.1" customHeight="1" x14ac:dyDescent="0.2">
      <c r="D510" s="252" t="s">
        <v>299</v>
      </c>
      <c r="H510" s="283">
        <v>7484822.759999997</v>
      </c>
      <c r="I510" s="283"/>
      <c r="J510" s="283">
        <v>0</v>
      </c>
      <c r="K510" s="283"/>
      <c r="L510" s="283">
        <v>0</v>
      </c>
      <c r="M510" s="283"/>
      <c r="N510" s="283">
        <v>0</v>
      </c>
      <c r="O510" s="283"/>
      <c r="P510" s="283">
        <v>7484822.759999997</v>
      </c>
      <c r="Q510" s="283"/>
      <c r="R510" s="283">
        <v>7484822.7599999905</v>
      </c>
      <c r="U510" s="283">
        <v>0</v>
      </c>
    </row>
    <row r="511" spans="1:23" ht="14.1" customHeight="1" x14ac:dyDescent="0.2">
      <c r="H511" s="283">
        <v>10238423806.84</v>
      </c>
      <c r="J511" s="283">
        <v>1690264222.3900001</v>
      </c>
      <c r="K511" s="283"/>
      <c r="L511" s="283">
        <v>-1198090186.8320746</v>
      </c>
      <c r="M511" s="283"/>
      <c r="N511" s="283">
        <v>0</v>
      </c>
      <c r="O511" s="283"/>
      <c r="P511" s="283">
        <v>10730597842.397926</v>
      </c>
      <c r="Q511" s="283"/>
      <c r="R511" s="283">
        <v>10577442044.403797</v>
      </c>
      <c r="U511" s="283">
        <v>0</v>
      </c>
      <c r="V511" s="283"/>
    </row>
    <row r="512" spans="1:23" ht="14.1" customHeight="1" x14ac:dyDescent="0.2">
      <c r="H512" s="283">
        <v>0</v>
      </c>
      <c r="J512" s="283">
        <v>0</v>
      </c>
      <c r="K512" s="283"/>
      <c r="L512" s="283">
        <v>0</v>
      </c>
      <c r="M512" s="283"/>
      <c r="N512" s="283">
        <v>0</v>
      </c>
      <c r="O512" s="283"/>
      <c r="P512" s="283">
        <v>0</v>
      </c>
      <c r="Q512" s="283"/>
      <c r="R512" s="283">
        <v>0</v>
      </c>
    </row>
    <row r="513" spans="3:18" ht="14.1" customHeight="1" x14ac:dyDescent="0.2">
      <c r="D513" s="252" t="s">
        <v>1395</v>
      </c>
    </row>
    <row r="514" spans="3:18" ht="14.1" customHeight="1" x14ac:dyDescent="0.2">
      <c r="D514" s="252" t="s">
        <v>1396</v>
      </c>
      <c r="F514" s="283"/>
      <c r="H514" s="283">
        <v>-4.5821070671081543E-7</v>
      </c>
      <c r="J514" s="283"/>
      <c r="L514" s="283"/>
      <c r="N514" s="283"/>
      <c r="P514" s="283">
        <v>6.1094760894775391E-7</v>
      </c>
      <c r="R514" s="283">
        <v>2.6151537895202637E-6</v>
      </c>
    </row>
    <row r="517" spans="3:18" ht="14.1" customHeight="1" x14ac:dyDescent="0.2">
      <c r="D517" s="252" t="s">
        <v>1397</v>
      </c>
      <c r="H517" s="283">
        <v>-25996942.23</v>
      </c>
      <c r="J517" s="283">
        <v>1757404.120000001</v>
      </c>
      <c r="L517" s="283">
        <v>0</v>
      </c>
      <c r="N517" s="283">
        <v>0</v>
      </c>
      <c r="P517" s="283">
        <v>-24239538.109999999</v>
      </c>
      <c r="R517" s="283">
        <v>-25114129.236153848</v>
      </c>
    </row>
    <row r="518" spans="3:18" ht="14.1" customHeight="1" x14ac:dyDescent="0.2">
      <c r="C518" s="252" t="s">
        <v>399</v>
      </c>
      <c r="D518" s="252" t="s">
        <v>400</v>
      </c>
      <c r="H518" s="283">
        <v>13664907.149999999</v>
      </c>
      <c r="J518" s="283">
        <v>1299999.9699999997</v>
      </c>
      <c r="L518" s="283">
        <v>0</v>
      </c>
      <c r="N518" s="283">
        <v>0</v>
      </c>
      <c r="P518" s="283">
        <v>14964907.119999997</v>
      </c>
      <c r="R518" s="283">
        <v>14313435.652307691</v>
      </c>
    </row>
    <row r="519" spans="3:18" ht="14.1" customHeight="1" x14ac:dyDescent="0.2">
      <c r="H519" s="283">
        <v>10226091771.76</v>
      </c>
      <c r="J519" s="283">
        <v>1693321626.48</v>
      </c>
      <c r="L519" s="283">
        <v>-1198090186.8320746</v>
      </c>
      <c r="N519" s="283">
        <v>0</v>
      </c>
      <c r="P519" s="283">
        <v>10721323211.407927</v>
      </c>
      <c r="R519" s="283">
        <v>10566641350.81995</v>
      </c>
    </row>
    <row r="520" spans="3:18" ht="14.1" customHeight="1" x14ac:dyDescent="0.2">
      <c r="J520" s="283"/>
      <c r="L520" s="283"/>
      <c r="N520" s="307"/>
      <c r="P520" s="283"/>
    </row>
    <row r="521" spans="3:18" ht="14.1" customHeight="1" x14ac:dyDescent="0.2">
      <c r="D521" s="252" t="s">
        <v>1398</v>
      </c>
      <c r="H521" s="283">
        <v>0</v>
      </c>
      <c r="J521" s="283">
        <v>0</v>
      </c>
      <c r="L521" s="283">
        <v>0</v>
      </c>
      <c r="N521" s="283">
        <v>0</v>
      </c>
      <c r="P521" s="283">
        <v>0</v>
      </c>
      <c r="R521" s="283">
        <v>0</v>
      </c>
    </row>
  </sheetData>
  <printOptions horizontalCentered="1"/>
  <pageMargins left="0.5" right="0.5" top="1" bottom="0.5" header="0.5" footer="0.25"/>
  <pageSetup scale="67" fitToHeight="11" orientation="landscape" blackAndWhite="1" r:id="rId1"/>
  <headerFooter alignWithMargins="0"/>
  <rowBreaks count="9" manualBreakCount="9">
    <brk id="52" max="17" man="1"/>
    <brk id="105" max="17" man="1"/>
    <brk id="158" max="17" man="1"/>
    <brk id="209" max="17" man="1"/>
    <brk id="260" max="17" man="1"/>
    <brk id="311" max="17" man="1"/>
    <brk id="362" max="17" man="1"/>
    <brk id="417" max="17" man="1"/>
    <brk id="470" max="17" man="1"/>
  </rowBreaks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3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28515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29</v>
      </c>
      <c r="D6" s="71"/>
      <c r="E6" s="29"/>
      <c r="G6" s="6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9"/>
      <c r="C12" s="231" t="s">
        <v>1187</v>
      </c>
      <c r="E12" s="50"/>
      <c r="P12" s="18"/>
      <c r="Q12" s="18"/>
      <c r="R12" s="48"/>
    </row>
    <row r="13" spans="1:22" ht="15.95" customHeight="1" x14ac:dyDescent="0.2">
      <c r="A13" s="49" t="s">
        <v>421</v>
      </c>
      <c r="B13" s="499">
        <f>IFERROR(VLOOKUP($A13,'PP DS Query'!$C$1:$R$1005,5,FALSE),0)</f>
        <v>2045</v>
      </c>
      <c r="C13" s="33">
        <f>IFERROR(VLOOKUP($A13,'PP DS Query'!$C$1:$R$1005,3,FALSE),0)</f>
        <v>60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60172316.5</v>
      </c>
      <c r="G13" s="523">
        <f>IFERROR(VLOOKUP($A13,'PP DS Query'!$C$1:$R$1005,7,FALSE),0)</f>
        <v>33.593144639999998</v>
      </c>
      <c r="H13" s="358">
        <f>IFERROR(VLOOKUP($A13,'PP DS Query'!$C$1:$R$1005,8,FALSE),0)</f>
        <v>2021377331.55</v>
      </c>
      <c r="I13" s="523">
        <f>IFERROR(VLOOKUP($A13,'PP DS Query'!$C$1:$R$1005,9,FALSE),0)</f>
        <v>58.34</v>
      </c>
      <c r="J13" s="358">
        <f>IFERROR(VLOOKUP($A13,'PP DS Query'!$C$1:$R$1005,10,FALSE),0)</f>
        <v>3510452944.6100001</v>
      </c>
      <c r="K13" s="523">
        <f>IFERROR(VLOOKUP($A13,'PP DS Query'!$C$1:$R$1005,11,FALSE),0)</f>
        <v>25.5</v>
      </c>
      <c r="L13" s="358">
        <f>IFERROR(VLOOKUP($A13,'PP DS Query'!$C$1:$R$1005,12,FALSE),0)</f>
        <v>1534394070.75</v>
      </c>
      <c r="M13" s="19">
        <f>IFERROR(VLOOKUP($A13,'PP DS Query'!$C$1:$R$1005,13,FALSE),0)</f>
        <v>0.57418835999999995</v>
      </c>
      <c r="N13" s="358">
        <f>IFERROR(VLOOKUP($A13,'PP DS Query'!$C$1:$R$1005,14,FALSE),0)</f>
        <v>34550243.640000001</v>
      </c>
      <c r="O13" s="56">
        <f>IFERROR(VLOOKUP($A13,'PP DS Query'!$C$1:$R$1005,4,FALSE),0)</f>
        <v>-0.02</v>
      </c>
      <c r="P13" s="358">
        <f>-IFERROR(VLOOKUP($A13,'PP DS Query'!$C$1:$R$1005,15,FALSE),0)</f>
        <v>1203446.33</v>
      </c>
      <c r="Q13" s="358">
        <f>IFERROR(VLOOKUP($A13,'PP DS Query'!$C$1:$R$1005,16,FALSE),0)</f>
        <v>33142644.670000002</v>
      </c>
      <c r="R13" s="48"/>
      <c r="S13" s="472">
        <f>IFERROR(ROUND(LEFT(A13,7)*100,0),0)</f>
        <v>31144</v>
      </c>
      <c r="T13" s="472" t="s">
        <v>962</v>
      </c>
      <c r="U13" s="474">
        <f>IFERROR(VLOOKUP($S13,#REF!,6,FALSE),0)</f>
        <v>0</v>
      </c>
      <c r="V13" s="473">
        <f>U13-F13</f>
        <v>-60172316.5</v>
      </c>
    </row>
    <row r="14" spans="1:22" ht="15.95" customHeight="1" x14ac:dyDescent="0.2">
      <c r="A14" s="49" t="s">
        <v>422</v>
      </c>
      <c r="B14" s="499">
        <f>IFERROR(VLOOKUP($A14,'PP DS Query'!$C$1:$R$1005,5,FALSE),0)</f>
        <v>2045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2747937.15</v>
      </c>
      <c r="G14" s="523">
        <f>IFERROR(VLOOKUP($A14,'PP DS Query'!$C$1:$R$1005,7,FALSE),0)</f>
        <v>21.474254630000001</v>
      </c>
      <c r="H14" s="358">
        <f>IFERROR(VLOOKUP($A14,'PP DS Query'!$C$1:$R$1005,8,FALSE),0)</f>
        <v>59009902.060000002</v>
      </c>
      <c r="I14" s="523">
        <f>IFERROR(VLOOKUP($A14,'PP DS Query'!$C$1:$R$1005,9,FALSE),0)</f>
        <v>34.1</v>
      </c>
      <c r="J14" s="358">
        <f>IFERROR(VLOOKUP($A14,'PP DS Query'!$C$1:$R$1005,10,FALSE),0)</f>
        <v>93704656.819999993</v>
      </c>
      <c r="K14" s="523">
        <f>IFERROR(VLOOKUP($A14,'PP DS Query'!$C$1:$R$1005,11,FALSE),0)</f>
        <v>14.726637999999999</v>
      </c>
      <c r="L14" s="358">
        <f>IFERROR(VLOOKUP($A14,'PP DS Query'!$C$1:$R$1005,12,FALSE),0)</f>
        <v>40467875.649999999</v>
      </c>
      <c r="M14" s="19">
        <f>IFERROR(VLOOKUP($A14,'PP DS Query'!$C$1:$R$1005,13,FALSE),0)</f>
        <v>0.57943323999999996</v>
      </c>
      <c r="N14" s="358">
        <f>IFERROR(VLOOKUP($A14,'PP DS Query'!$C$1:$R$1005,14,FALSE),0)</f>
        <v>1592246.12</v>
      </c>
      <c r="O14" s="56">
        <f>IFERROR(VLOOKUP($A14,'PP DS Query'!$C$1:$R$1005,4,FALSE),0)</f>
        <v>-0.02</v>
      </c>
      <c r="P14" s="358">
        <f>-IFERROR(VLOOKUP($A14,'PP DS Query'!$C$1:$R$1005,15,FALSE),0)</f>
        <v>54958.74</v>
      </c>
      <c r="Q14" s="358">
        <f>IFERROR(VLOOKUP($A14,'PP DS Query'!$C$1:$R$1005,16,FALSE),0)</f>
        <v>1527377</v>
      </c>
      <c r="R14" s="48"/>
      <c r="S14" s="472">
        <f t="shared" ref="S14:S15" si="0">IFERROR(ROUND(LEFT(A14,7)*100,0),0)</f>
        <v>31144</v>
      </c>
      <c r="T14" s="472" t="s">
        <v>963</v>
      </c>
      <c r="U14" s="474">
        <f>IFERROR(VLOOKUP($S14,#REF!,7,FALSE),0)</f>
        <v>0</v>
      </c>
      <c r="V14" s="473">
        <f t="shared" ref="V14:V15" si="1">U14-F14</f>
        <v>-2747937.15</v>
      </c>
    </row>
    <row r="15" spans="1:22" ht="15.95" customHeight="1" thickBot="1" x14ac:dyDescent="0.25">
      <c r="A15" s="49" t="s">
        <v>423</v>
      </c>
      <c r="B15" s="499">
        <f>IFERROR(VLOOKUP($A15,'PP DS Query'!$C$1:$R$1005,5,FALSE),0)</f>
        <v>2045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443092.01</v>
      </c>
      <c r="G15" s="524">
        <f>IFERROR(VLOOKUP($A15,'PP DS Query'!$C$1:$R$1005,7,FALSE),0)</f>
        <v>33.765260169999998</v>
      </c>
      <c r="H15" s="250">
        <f>IFERROR(VLOOKUP($A15,'PP DS Query'!$C$1:$R$1005,8,FALSE),0)</f>
        <v>14961117</v>
      </c>
      <c r="I15" s="524">
        <f>IFERROR(VLOOKUP($A15,'PP DS Query'!$C$1:$R$1005,9,FALSE),0)</f>
        <v>20</v>
      </c>
      <c r="J15" s="250">
        <f>IFERROR(VLOOKUP($A15,'PP DS Query'!$C$1:$R$1005,10,FALSE),0)</f>
        <v>8861840.1999999993</v>
      </c>
      <c r="K15" s="524">
        <f>IFERROR(VLOOKUP($A15,'PP DS Query'!$C$1:$R$1005,11,FALSE),0)</f>
        <v>0.87643000000000004</v>
      </c>
      <c r="L15" s="250">
        <f>IFERROR(VLOOKUP($A15,'PP DS Query'!$C$1:$R$1005,12,FALSE),0)</f>
        <v>388339.13</v>
      </c>
      <c r="M15" s="21">
        <f>IFERROR(VLOOKUP($A15,'PP DS Query'!$C$1:$R$1005,13,FALSE),0)</f>
        <v>0.97530205999999997</v>
      </c>
      <c r="N15" s="250">
        <f>IFERROR(VLOOKUP($A15,'PP DS Query'!$C$1:$R$1005,14,FALSE),0)</f>
        <v>432148.55</v>
      </c>
      <c r="O15" s="57">
        <f>IFERROR(VLOOKUP($A15,'PP DS Query'!$C$1:$R$1005,4,FALSE),0)</f>
        <v>-0.02</v>
      </c>
      <c r="P15" s="250">
        <f>-IFERROR(VLOOKUP($A15,'PP DS Query'!$C$1:$R$1005,15,FALSE),0)</f>
        <v>8861.84</v>
      </c>
      <c r="Q15" s="250">
        <f>IFERROR(VLOOKUP($A15,'PP DS Query'!$C$1:$R$1005,16,FALSE),0)</f>
        <v>414542.54</v>
      </c>
      <c r="R15" s="48"/>
      <c r="S15" s="472">
        <f t="shared" si="0"/>
        <v>31144</v>
      </c>
      <c r="T15" s="472" t="s">
        <v>964</v>
      </c>
      <c r="U15" s="475">
        <f>IFERROR(VLOOKUP($S15,#REF!,8,FALSE),0)</f>
        <v>0</v>
      </c>
      <c r="V15" s="476">
        <f t="shared" si="1"/>
        <v>-443092.01</v>
      </c>
    </row>
    <row r="16" spans="1:22" ht="15.95" customHeight="1" x14ac:dyDescent="0.2">
      <c r="A16" s="49" t="s">
        <v>424</v>
      </c>
      <c r="B16" s="499">
        <f>IFERROR(VLOOKUP($A16,'PP DS Query'!$C$1:$R$1005,5,FALSE),0)</f>
        <v>2045</v>
      </c>
      <c r="C16" s="33"/>
      <c r="D16" s="34"/>
      <c r="E16" s="15"/>
      <c r="F16" s="443">
        <f>IFERROR(VLOOKUP($A16,'PP DS Query'!$C$1:$R$1005,6,FALSE),0)</f>
        <v>63363345.659999996</v>
      </c>
      <c r="G16" s="525">
        <f>IFERROR(VLOOKUP($A16,'PP DS Query'!$C$1:$R$1005,7,FALSE),0)</f>
        <v>33.068777050000001</v>
      </c>
      <c r="H16" s="443">
        <f>IFERROR(VLOOKUP($A16,'PP DS Query'!$C$1:$R$1005,8,FALSE),0)</f>
        <v>2095348350.6099999</v>
      </c>
      <c r="I16" s="525">
        <f>IFERROR(VLOOKUP($A16,'PP DS Query'!$C$1:$R$1005,9,FALSE),0)</f>
        <v>57.02065451</v>
      </c>
      <c r="J16" s="443">
        <f>IFERROR(VLOOKUP($A16,'PP DS Query'!$C$1:$R$1005,10,FALSE),0)</f>
        <v>3613019441.6300001</v>
      </c>
      <c r="K16" s="525">
        <f>IFERROR(VLOOKUP($A16,'PP DS Query'!$C$1:$R$1005,11,FALSE),0)</f>
        <v>24.860592019999999</v>
      </c>
      <c r="L16" s="443">
        <f>IFERROR(VLOOKUP($A16,'PP DS Query'!$C$1:$R$1005,12,FALSE),0)</f>
        <v>1575250285.54</v>
      </c>
      <c r="M16" s="445">
        <f>IFERROR(VLOOKUP($A16,'PP DS Query'!$C$1:$R$1005,13,FALSE),0)</f>
        <v>0.57722076</v>
      </c>
      <c r="N16" s="443">
        <f>IFERROR(VLOOKUP($A16,'PP DS Query'!$C$1:$R$1005,14,FALSE),0)</f>
        <v>36574638.310000002</v>
      </c>
      <c r="O16" s="446">
        <f>IFERROR(VLOOKUP($A16,'PP DS Query'!$C$1:$R$1005,4,FALSE),0)</f>
        <v>-0.02</v>
      </c>
      <c r="P16" s="443">
        <f>-IFERROR(VLOOKUP($A16,'PP DS Query'!$C$1:$R$1005,15,FALSE),0)</f>
        <v>1267266.9099999999</v>
      </c>
      <c r="Q16" s="443">
        <f>IFERROR(VLOOKUP($A16,'PP DS Query'!$C$1:$R$1005,16,FALSE),0)</f>
        <v>35084564.210000001</v>
      </c>
      <c r="R16" s="48"/>
      <c r="U16" s="473">
        <f>SUM(U13:U15)</f>
        <v>0</v>
      </c>
      <c r="V16" s="473">
        <f>SUM(V13:V15)</f>
        <v>-63363345.659999996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1188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465</v>
      </c>
      <c r="B19" s="499">
        <f>IFERROR(VLOOKUP($A19,'PP DS Query'!$C$1:$R$1005,5,FALSE),0)</f>
        <v>2045</v>
      </c>
      <c r="C19" s="33">
        <f>IFERROR(VLOOKUP($A19,'PP DS Query'!$C$1:$R$1005,3,FALSE),0)</f>
        <v>60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111468195.62</v>
      </c>
      <c r="G19" s="523">
        <f>IFERROR(VLOOKUP($A19,'PP DS Query'!$C$1:$R$1005,7,FALSE),0)</f>
        <v>29.280081599999999</v>
      </c>
      <c r="H19" s="358">
        <f>IFERROR(VLOOKUP($A19,'PP DS Query'!$C$1:$R$1005,8,FALSE),0)</f>
        <v>3263797863.9299998</v>
      </c>
      <c r="I19" s="523">
        <f>IFERROR(VLOOKUP($A19,'PP DS Query'!$C$1:$R$1005,9,FALSE),0)</f>
        <v>51.68</v>
      </c>
      <c r="J19" s="358">
        <f>IFERROR(VLOOKUP($A19,'PP DS Query'!$C$1:$R$1005,10,FALSE),0)</f>
        <v>5760676349.6400003</v>
      </c>
      <c r="K19" s="523">
        <f>IFERROR(VLOOKUP($A19,'PP DS Query'!$C$1:$R$1005,11,FALSE),0)</f>
        <v>25.5</v>
      </c>
      <c r="L19" s="358">
        <f>IFERROR(VLOOKUP($A19,'PP DS Query'!$C$1:$R$1005,12,FALSE),0)</f>
        <v>2842438988.3099999</v>
      </c>
      <c r="M19" s="19">
        <f>IFERROR(VLOOKUP($A19,'PP DS Query'!$C$1:$R$1005,13,FALSE),0)</f>
        <v>0.53186023999999998</v>
      </c>
      <c r="N19" s="358">
        <f>IFERROR(VLOOKUP($A19,'PP DS Query'!$C$1:$R$1005,14,FALSE),0)</f>
        <v>59285500.990000002</v>
      </c>
      <c r="O19" s="56">
        <f>IFERROR(VLOOKUP($A19,'PP DS Query'!$C$1:$R$1005,4,FALSE),0)</f>
        <v>-0.05</v>
      </c>
      <c r="P19" s="358">
        <f>-IFERROR(VLOOKUP($A19,'PP DS Query'!$C$1:$R$1005,15,FALSE),0)</f>
        <v>5573409.7800000003</v>
      </c>
      <c r="Q19" s="358">
        <f>IFERROR(VLOOKUP($A19,'PP DS Query'!$C$1:$R$1005,16,FALSE),0)</f>
        <v>45188022.780000001</v>
      </c>
      <c r="R19" s="48"/>
      <c r="S19" s="472">
        <f>IFERROR(ROUND(LEFT(A19,7)*100,0),0)</f>
        <v>31244</v>
      </c>
      <c r="T19" s="472" t="s">
        <v>962</v>
      </c>
      <c r="U19" s="474">
        <f>IFERROR(VLOOKUP($S19,#REF!,6,FALSE),0)</f>
        <v>0</v>
      </c>
      <c r="V19" s="473">
        <f>U19-F19</f>
        <v>-111468195.62</v>
      </c>
    </row>
    <row r="20" spans="1:22" ht="15.95" customHeight="1" x14ac:dyDescent="0.2">
      <c r="A20" s="49" t="s">
        <v>466</v>
      </c>
      <c r="B20" s="499">
        <f>IFERROR(VLOOKUP($A20,'PP DS Query'!$C$1:$R$1005,5,FALSE),0)</f>
        <v>2045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131021870.31</v>
      </c>
      <c r="G20" s="523">
        <f>IFERROR(VLOOKUP($A20,'PP DS Query'!$C$1:$R$1005,7,FALSE),0)</f>
        <v>21.286121080000001</v>
      </c>
      <c r="H20" s="358">
        <f>IFERROR(VLOOKUP($A20,'PP DS Query'!$C$1:$R$1005,8,FALSE),0)</f>
        <v>2788947395.8099999</v>
      </c>
      <c r="I20" s="523">
        <f>IFERROR(VLOOKUP($A20,'PP DS Query'!$C$1:$R$1005,9,FALSE),0)</f>
        <v>33.33</v>
      </c>
      <c r="J20" s="358">
        <f>IFERROR(VLOOKUP($A20,'PP DS Query'!$C$1:$R$1005,10,FALSE),0)</f>
        <v>4366958937.4300003</v>
      </c>
      <c r="K20" s="523">
        <f>IFERROR(VLOOKUP($A20,'PP DS Query'!$C$1:$R$1005,11,FALSE),0)</f>
        <v>14.74933</v>
      </c>
      <c r="L20" s="358">
        <f>IFERROR(VLOOKUP($A20,'PP DS Query'!$C$1:$R$1005,12,FALSE),0)</f>
        <v>1932484802.4200001</v>
      </c>
      <c r="M20" s="19">
        <f>IFERROR(VLOOKUP($A20,'PP DS Query'!$C$1:$R$1005,13,FALSE),0)</f>
        <v>0.58531200000000005</v>
      </c>
      <c r="N20" s="358">
        <f>IFERROR(VLOOKUP($A20,'PP DS Query'!$C$1:$R$1005,14,FALSE),0)</f>
        <v>76688673.560000002</v>
      </c>
      <c r="O20" s="56">
        <f>IFERROR(VLOOKUP($A20,'PP DS Query'!$C$1:$R$1005,4,FALSE),0)</f>
        <v>-0.05</v>
      </c>
      <c r="P20" s="358">
        <f>-IFERROR(VLOOKUP($A20,'PP DS Query'!$C$1:$R$1005,15,FALSE),0)</f>
        <v>6551093.5199999996</v>
      </c>
      <c r="Q20" s="358">
        <f>IFERROR(VLOOKUP($A20,'PP DS Query'!$C$1:$R$1005,16,FALSE),0)</f>
        <v>58452901.119999997</v>
      </c>
      <c r="R20" s="48"/>
      <c r="S20" s="472">
        <f t="shared" ref="S20:S21" si="2">IFERROR(ROUND(LEFT(A20,7)*100,0),0)</f>
        <v>31244</v>
      </c>
      <c r="T20" s="472" t="s">
        <v>963</v>
      </c>
      <c r="U20" s="474">
        <f>IFERROR(VLOOKUP($S20,#REF!,7,FALSE),0)</f>
        <v>0</v>
      </c>
      <c r="V20" s="473">
        <f t="shared" ref="V20:V21" si="3">U20-F20</f>
        <v>-131021870.31</v>
      </c>
    </row>
    <row r="21" spans="1:22" ht="15.95" customHeight="1" thickBot="1" x14ac:dyDescent="0.25">
      <c r="A21" s="49" t="s">
        <v>467</v>
      </c>
      <c r="B21" s="499">
        <f>IFERROR(VLOOKUP($A21,'PP DS Query'!$C$1:$R$1005,5,FALSE),0)</f>
        <v>2045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13859191.02</v>
      </c>
      <c r="G21" s="524">
        <f>IFERROR(VLOOKUP($A21,'PP DS Query'!$C$1:$R$1005,7,FALSE),0)</f>
        <v>9.5507807200000006</v>
      </c>
      <c r="H21" s="250">
        <f>IFERROR(VLOOKUP($A21,'PP DS Query'!$C$1:$R$1005,8,FALSE),0)</f>
        <v>132366094.43000001</v>
      </c>
      <c r="I21" s="524">
        <f>IFERROR(VLOOKUP($A21,'PP DS Query'!$C$1:$R$1005,9,FALSE),0)</f>
        <v>20</v>
      </c>
      <c r="J21" s="250">
        <f>IFERROR(VLOOKUP($A21,'PP DS Query'!$C$1:$R$1005,10,FALSE),0)</f>
        <v>277183820.39999998</v>
      </c>
      <c r="K21" s="524">
        <f>IFERROR(VLOOKUP($A21,'PP DS Query'!$C$1:$R$1005,11,FALSE),0)</f>
        <v>12.350726</v>
      </c>
      <c r="L21" s="250">
        <f>IFERROR(VLOOKUP($A21,'PP DS Query'!$C$1:$R$1005,12,FALSE),0)</f>
        <v>171171070.87</v>
      </c>
      <c r="M21" s="21">
        <f>IFERROR(VLOOKUP($A21,'PP DS Query'!$C$1:$R$1005,13,FALSE),0)</f>
        <v>0.40158685999999999</v>
      </c>
      <c r="N21" s="250">
        <f>IFERROR(VLOOKUP($A21,'PP DS Query'!$C$1:$R$1005,14,FALSE),0)</f>
        <v>5565669.0300000003</v>
      </c>
      <c r="O21" s="57">
        <f>IFERROR(VLOOKUP($A21,'PP DS Query'!$C$1:$R$1005,4,FALSE),0)</f>
        <v>-0.05</v>
      </c>
      <c r="P21" s="250">
        <f>-IFERROR(VLOOKUP($A21,'PP DS Query'!$C$1:$R$1005,15,FALSE),0)</f>
        <v>692959.55</v>
      </c>
      <c r="Q21" s="250">
        <f>IFERROR(VLOOKUP($A21,'PP DS Query'!$C$1:$R$1005,16,FALSE),0)</f>
        <v>4242210.57</v>
      </c>
      <c r="R21" s="48"/>
      <c r="S21" s="472">
        <f t="shared" si="2"/>
        <v>31244</v>
      </c>
      <c r="T21" s="472" t="s">
        <v>964</v>
      </c>
      <c r="U21" s="475">
        <f>IFERROR(VLOOKUP($S21,#REF!,8,FALSE),0)</f>
        <v>0</v>
      </c>
      <c r="V21" s="476">
        <f t="shared" si="3"/>
        <v>-13859191.02</v>
      </c>
    </row>
    <row r="22" spans="1:22" ht="15.95" customHeight="1" x14ac:dyDescent="0.2">
      <c r="A22" s="49" t="s">
        <v>468</v>
      </c>
      <c r="B22" s="499">
        <f>IFERROR(VLOOKUP($A22,'PP DS Query'!$C$1:$R$1005,5,FALSE),0)</f>
        <v>2045</v>
      </c>
      <c r="C22" s="33"/>
      <c r="D22" s="34"/>
      <c r="E22" s="15"/>
      <c r="F22" s="443">
        <f>IFERROR(VLOOKUP($A22,'PP DS Query'!$C$1:$R$1005,6,FALSE),0)</f>
        <v>256349256.94999999</v>
      </c>
      <c r="G22" s="525">
        <f>IFERROR(VLOOKUP($A22,'PP DS Query'!$C$1:$R$1005,7,FALSE),0)</f>
        <v>24.127674200000001</v>
      </c>
      <c r="H22" s="443">
        <f>IFERROR(VLOOKUP($A22,'PP DS Query'!$C$1:$R$1005,8,FALSE),0)</f>
        <v>6185111354.1599998</v>
      </c>
      <c r="I22" s="525">
        <f>IFERROR(VLOOKUP($A22,'PP DS Query'!$C$1:$R$1005,9,FALSE),0)</f>
        <v>40.588450430000002</v>
      </c>
      <c r="J22" s="443">
        <f>IFERROR(VLOOKUP($A22,'PP DS Query'!$C$1:$R$1005,10,FALSE),0)</f>
        <v>10404819107.469999</v>
      </c>
      <c r="K22" s="525">
        <f>IFERROR(VLOOKUP($A22,'PP DS Query'!$C$1:$R$1005,11,FALSE),0)</f>
        <v>19.294360050000002</v>
      </c>
      <c r="L22" s="443">
        <f>IFERROR(VLOOKUP($A22,'PP DS Query'!$C$1:$R$1005,12,FALSE),0)</f>
        <v>4946094861.6000004</v>
      </c>
      <c r="M22" s="445">
        <f>IFERROR(VLOOKUP($A22,'PP DS Query'!$C$1:$R$1005,13,FALSE),0)</f>
        <v>0.55213674000000001</v>
      </c>
      <c r="N22" s="443">
        <f>IFERROR(VLOOKUP($A22,'PP DS Query'!$C$1:$R$1005,14,FALSE),0)</f>
        <v>141539843.58000001</v>
      </c>
      <c r="O22" s="446">
        <f>IFERROR(VLOOKUP($A22,'PP DS Query'!$C$1:$R$1005,4,FALSE),0)</f>
        <v>-0.05</v>
      </c>
      <c r="P22" s="443">
        <f>-IFERROR(VLOOKUP($A22,'PP DS Query'!$C$1:$R$1005,15,FALSE),0)</f>
        <v>12817462.85</v>
      </c>
      <c r="Q22" s="443">
        <f>IFERROR(VLOOKUP($A22,'PP DS Query'!$C$1:$R$1005,16,FALSE),0)</f>
        <v>107883134.47</v>
      </c>
      <c r="R22" s="48"/>
      <c r="U22" s="473">
        <f>SUM(U19:U21)</f>
        <v>0</v>
      </c>
      <c r="V22" s="473">
        <f>SUM(V19:V21)</f>
        <v>-256349256.95000002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1189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49" t="s">
        <v>509</v>
      </c>
      <c r="B25" s="499">
        <f>IFERROR(VLOOKUP($A25,'PP DS Query'!$C$1:$R$1005,5,FALSE),0)</f>
        <v>2045</v>
      </c>
      <c r="C25" s="33">
        <f>IFERROR(VLOOKUP($A25,'PP DS Query'!$C$1:$R$1005,3,FALSE),0)</f>
        <v>60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42120171.659999996</v>
      </c>
      <c r="G25" s="523">
        <f>IFERROR(VLOOKUP($A25,'PP DS Query'!$C$1:$R$1005,7,FALSE),0)</f>
        <v>32.84296904</v>
      </c>
      <c r="H25" s="358">
        <f>IFERROR(VLOOKUP($A25,'PP DS Query'!$C$1:$R$1005,8,FALSE),0)</f>
        <v>1383351493.77</v>
      </c>
      <c r="I25" s="523">
        <f>IFERROR(VLOOKUP($A25,'PP DS Query'!$C$1:$R$1005,9,FALSE),0)</f>
        <v>57.03</v>
      </c>
      <c r="J25" s="358">
        <f>IFERROR(VLOOKUP($A25,'PP DS Query'!$C$1:$R$1005,10,FALSE),0)</f>
        <v>2402113389.77</v>
      </c>
      <c r="K25" s="523">
        <f>IFERROR(VLOOKUP($A25,'PP DS Query'!$C$1:$R$1005,11,FALSE),0)</f>
        <v>25.5</v>
      </c>
      <c r="L25" s="358">
        <f>IFERROR(VLOOKUP($A25,'PP DS Query'!$C$1:$R$1005,12,FALSE),0)</f>
        <v>1074064377.3299999</v>
      </c>
      <c r="M25" s="19">
        <f>IFERROR(VLOOKUP($A25,'PP DS Query'!$C$1:$R$1005,13,FALSE),0)</f>
        <v>0.58601665999999997</v>
      </c>
      <c r="N25" s="358">
        <f>IFERROR(VLOOKUP($A25,'PP DS Query'!$C$1:$R$1005,14,FALSE),0)</f>
        <v>24683122.34</v>
      </c>
      <c r="O25" s="56">
        <f>IFERROR(VLOOKUP($A25,'PP DS Query'!$C$1:$R$1005,4,FALSE),0)</f>
        <v>-0.06</v>
      </c>
      <c r="P25" s="358">
        <f>-IFERROR(VLOOKUP($A25,'PP DS Query'!$C$1:$R$1005,15,FALSE),0)</f>
        <v>2527210.2999999998</v>
      </c>
      <c r="Q25" s="358">
        <f>IFERROR(VLOOKUP($A25,'PP DS Query'!$C$1:$R$1005,16,FALSE),0)</f>
        <v>19345852.190000001</v>
      </c>
      <c r="R25" s="48"/>
      <c r="S25" s="472">
        <f>IFERROR(ROUND(LEFT(A25,7)*100,0),0)</f>
        <v>31444</v>
      </c>
      <c r="T25" s="472" t="s">
        <v>962</v>
      </c>
      <c r="U25" s="474">
        <f>IFERROR(VLOOKUP($S25,#REF!,6,FALSE),0)</f>
        <v>0</v>
      </c>
      <c r="V25" s="473">
        <f>U25-F25</f>
        <v>-42120171.659999996</v>
      </c>
    </row>
    <row r="26" spans="1:22" ht="15.95" customHeight="1" x14ac:dyDescent="0.2">
      <c r="A26" s="49" t="s">
        <v>510</v>
      </c>
      <c r="B26" s="499">
        <f>IFERROR(VLOOKUP($A26,'PP DS Query'!$C$1:$R$1005,5,FALSE),0)</f>
        <v>2045</v>
      </c>
      <c r="C26" s="33">
        <f>IFERROR(VLOOKUP($A26,'PP DS Query'!$C$1:$R$1005,3,FALSE),0)</f>
        <v>35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51226746.100000001</v>
      </c>
      <c r="G26" s="523">
        <f>IFERROR(VLOOKUP($A26,'PP DS Query'!$C$1:$R$1005,7,FALSE),0)</f>
        <v>23.278517999999998</v>
      </c>
      <c r="H26" s="358">
        <f>IFERROR(VLOOKUP($A26,'PP DS Query'!$C$1:$R$1005,8,FALSE),0)</f>
        <v>1192482730.9400001</v>
      </c>
      <c r="I26" s="523">
        <f>IFERROR(VLOOKUP($A26,'PP DS Query'!$C$1:$R$1005,9,FALSE),0)</f>
        <v>33.64</v>
      </c>
      <c r="J26" s="358">
        <f>IFERROR(VLOOKUP($A26,'PP DS Query'!$C$1:$R$1005,10,FALSE),0)</f>
        <v>1723267738.8</v>
      </c>
      <c r="K26" s="523">
        <f>IFERROR(VLOOKUP($A26,'PP DS Query'!$C$1:$R$1005,11,FALSE),0)</f>
        <v>13.371366</v>
      </c>
      <c r="L26" s="358">
        <f>IFERROR(VLOOKUP($A26,'PP DS Query'!$C$1:$R$1005,12,FALSE),0)</f>
        <v>684971571.09000003</v>
      </c>
      <c r="M26" s="19">
        <f>IFERROR(VLOOKUP($A26,'PP DS Query'!$C$1:$R$1005,13,FALSE),0)</f>
        <v>0.63868851999999998</v>
      </c>
      <c r="N26" s="358">
        <f>IFERROR(VLOOKUP($A26,'PP DS Query'!$C$1:$R$1005,14,FALSE),0)</f>
        <v>32717934.77</v>
      </c>
      <c r="O26" s="56">
        <f>IFERROR(VLOOKUP($A26,'PP DS Query'!$C$1:$R$1005,4,FALSE),0)</f>
        <v>-0.06</v>
      </c>
      <c r="P26" s="358">
        <f>-IFERROR(VLOOKUP($A26,'PP DS Query'!$C$1:$R$1005,15,FALSE),0)</f>
        <v>3073604.77</v>
      </c>
      <c r="Q26" s="358">
        <f>IFERROR(VLOOKUP($A26,'PP DS Query'!$C$1:$R$1005,16,FALSE),0)</f>
        <v>25643284.559999999</v>
      </c>
      <c r="R26" s="48"/>
      <c r="S26" s="472">
        <f t="shared" ref="S26:S27" si="4">IFERROR(ROUND(LEFT(A26,7)*100,0),0)</f>
        <v>31444</v>
      </c>
      <c r="T26" s="472" t="s">
        <v>963</v>
      </c>
      <c r="U26" s="474">
        <f>IFERROR(VLOOKUP($S26,#REF!,7,FALSE),0)</f>
        <v>0</v>
      </c>
      <c r="V26" s="473">
        <f t="shared" ref="V26:V27" si="5">U26-F26</f>
        <v>-51226746.100000001</v>
      </c>
    </row>
    <row r="27" spans="1:22" ht="15.95" customHeight="1" thickBot="1" x14ac:dyDescent="0.25">
      <c r="A27" s="49" t="s">
        <v>511</v>
      </c>
      <c r="B27" s="499">
        <f>IFERROR(VLOOKUP($A27,'PP DS Query'!$C$1:$R$1005,5,FALSE),0)</f>
        <v>2045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4434166.74</v>
      </c>
      <c r="G27" s="524">
        <f>IFERROR(VLOOKUP($A27,'PP DS Query'!$C$1:$R$1005,7,FALSE),0)</f>
        <v>13.455814739999999</v>
      </c>
      <c r="H27" s="250">
        <f>IFERROR(VLOOKUP($A27,'PP DS Query'!$C$1:$R$1005,8,FALSE),0)</f>
        <v>59665326.200000003</v>
      </c>
      <c r="I27" s="524">
        <f>IFERROR(VLOOKUP($A27,'PP DS Query'!$C$1:$R$1005,9,FALSE),0)</f>
        <v>20</v>
      </c>
      <c r="J27" s="250">
        <f>IFERROR(VLOOKUP($A27,'PP DS Query'!$C$1:$R$1005,10,FALSE),0)</f>
        <v>88683334.799999997</v>
      </c>
      <c r="K27" s="524">
        <f>IFERROR(VLOOKUP($A27,'PP DS Query'!$C$1:$R$1005,11,FALSE),0)</f>
        <v>10.058947</v>
      </c>
      <c r="L27" s="250">
        <f>IFERROR(VLOOKUP($A27,'PP DS Query'!$C$1:$R$1005,12,FALSE),0)</f>
        <v>44603048.229999997</v>
      </c>
      <c r="M27" s="21">
        <f>IFERROR(VLOOKUP($A27,'PP DS Query'!$C$1:$R$1005,13,FALSE),0)</f>
        <v>0.52687580000000001</v>
      </c>
      <c r="N27" s="250">
        <f>IFERROR(VLOOKUP($A27,'PP DS Query'!$C$1:$R$1005,14,FALSE),0)</f>
        <v>2336255.17</v>
      </c>
      <c r="O27" s="57">
        <f>IFERROR(VLOOKUP($A27,'PP DS Query'!$C$1:$R$1005,4,FALSE),0)</f>
        <v>-0.06</v>
      </c>
      <c r="P27" s="250">
        <f>-IFERROR(VLOOKUP($A27,'PP DS Query'!$C$1:$R$1005,15,FALSE),0)</f>
        <v>266050</v>
      </c>
      <c r="Q27" s="250">
        <f>IFERROR(VLOOKUP($A27,'PP DS Query'!$C$1:$R$1005,16,FALSE),0)</f>
        <v>1831083.06</v>
      </c>
      <c r="R27" s="48"/>
      <c r="S27" s="472">
        <f t="shared" si="4"/>
        <v>31444</v>
      </c>
      <c r="T27" s="472" t="s">
        <v>964</v>
      </c>
      <c r="U27" s="475">
        <f>IFERROR(VLOOKUP($S27,#REF!,8,FALSE),0)</f>
        <v>0</v>
      </c>
      <c r="V27" s="476">
        <f t="shared" si="5"/>
        <v>-4434166.74</v>
      </c>
    </row>
    <row r="28" spans="1:22" ht="15.95" customHeight="1" x14ac:dyDescent="0.2">
      <c r="A28" s="49" t="s">
        <v>512</v>
      </c>
      <c r="B28" s="499">
        <f>IFERROR(VLOOKUP($A28,'PP DS Query'!$C$1:$R$1005,5,FALSE),0)</f>
        <v>2045</v>
      </c>
      <c r="C28" s="33"/>
      <c r="D28" s="34"/>
      <c r="E28" s="15"/>
      <c r="F28" s="443">
        <f>IFERROR(VLOOKUP($A28,'PP DS Query'!$C$1:$R$1005,6,FALSE),0)</f>
        <v>97781084.5</v>
      </c>
      <c r="G28" s="525">
        <f>IFERROR(VLOOKUP($A28,'PP DS Query'!$C$1:$R$1005,7,FALSE),0)</f>
        <v>26.953061160000001</v>
      </c>
      <c r="H28" s="443">
        <f>IFERROR(VLOOKUP($A28,'PP DS Query'!$C$1:$R$1005,8,FALSE),0)</f>
        <v>2635499550.9099998</v>
      </c>
      <c r="I28" s="525">
        <f>IFERROR(VLOOKUP($A28,'PP DS Query'!$C$1:$R$1005,9,FALSE),0)</f>
        <v>43.096929070000002</v>
      </c>
      <c r="J28" s="443">
        <f>IFERROR(VLOOKUP($A28,'PP DS Query'!$C$1:$R$1005,10,FALSE),0)</f>
        <v>4214064463.3699999</v>
      </c>
      <c r="K28" s="525">
        <f>IFERROR(VLOOKUP($A28,'PP DS Query'!$C$1:$R$1005,11,FALSE),0)</f>
        <v>18.445684109999998</v>
      </c>
      <c r="L28" s="443">
        <f>IFERROR(VLOOKUP($A28,'PP DS Query'!$C$1:$R$1005,12,FALSE),0)</f>
        <v>1803638996.6500001</v>
      </c>
      <c r="M28" s="445">
        <f>IFERROR(VLOOKUP($A28,'PP DS Query'!$C$1:$R$1005,13,FALSE),0)</f>
        <v>0.61092911999999999</v>
      </c>
      <c r="N28" s="443">
        <f>IFERROR(VLOOKUP($A28,'PP DS Query'!$C$1:$R$1005,14,FALSE),0)</f>
        <v>59737312.280000001</v>
      </c>
      <c r="O28" s="446">
        <f>IFERROR(VLOOKUP($A28,'PP DS Query'!$C$1:$R$1005,4,FALSE),0)</f>
        <v>-0.06</v>
      </c>
      <c r="P28" s="443">
        <f>-IFERROR(VLOOKUP($A28,'PP DS Query'!$C$1:$R$1005,15,FALSE),0)</f>
        <v>5866865.0700000003</v>
      </c>
      <c r="Q28" s="443">
        <f>IFERROR(VLOOKUP($A28,'PP DS Query'!$C$1:$R$1005,16,FALSE),0)</f>
        <v>46820219.810000002</v>
      </c>
      <c r="R28" s="48"/>
      <c r="U28" s="473">
        <f>SUM(U25:U27)</f>
        <v>0</v>
      </c>
      <c r="V28" s="473">
        <f>SUM(V25:V27)</f>
        <v>-97781084.499999985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1190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529</v>
      </c>
      <c r="B31" s="499">
        <f>IFERROR(VLOOKUP($A31,'PP DS Query'!$C$1:$R$1005,5,FALSE),0)</f>
        <v>2045</v>
      </c>
      <c r="C31" s="33">
        <f>IFERROR(VLOOKUP($A31,'PP DS Query'!$C$1:$R$1005,3,FALSE),0)</f>
        <v>60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14873434.09</v>
      </c>
      <c r="G31" s="523">
        <f>IFERROR(VLOOKUP($A31,'PP DS Query'!$C$1:$R$1005,7,FALSE),0)</f>
        <v>33.742939739999997</v>
      </c>
      <c r="H31" s="358">
        <f>IFERROR(VLOOKUP($A31,'PP DS Query'!$C$1:$R$1005,8,FALSE),0)</f>
        <v>501873390.25</v>
      </c>
      <c r="I31" s="523">
        <f>IFERROR(VLOOKUP($A31,'PP DS Query'!$C$1:$R$1005,9,FALSE),0)</f>
        <v>58.63</v>
      </c>
      <c r="J31" s="358">
        <f>IFERROR(VLOOKUP($A31,'PP DS Query'!$C$1:$R$1005,10,FALSE),0)</f>
        <v>872029440.70000005</v>
      </c>
      <c r="K31" s="523">
        <f>IFERROR(VLOOKUP($A31,'PP DS Query'!$C$1:$R$1005,11,FALSE),0)</f>
        <v>25.5</v>
      </c>
      <c r="L31" s="358">
        <f>IFERROR(VLOOKUP($A31,'PP DS Query'!$C$1:$R$1005,12,FALSE),0)</f>
        <v>379272569.30000001</v>
      </c>
      <c r="M31" s="19">
        <f>IFERROR(VLOOKUP($A31,'PP DS Query'!$C$1:$R$1005,13,FALSE),0)</f>
        <v>0.59333539000000002</v>
      </c>
      <c r="N31" s="358">
        <f>IFERROR(VLOOKUP($A31,'PP DS Query'!$C$1:$R$1005,14,FALSE),0)</f>
        <v>8824934.7799999993</v>
      </c>
      <c r="O31" s="56">
        <f>IFERROR(VLOOKUP($A31,'PP DS Query'!$C$1:$R$1005,4,FALSE),0)</f>
        <v>-0.05</v>
      </c>
      <c r="P31" s="358">
        <f>-IFERROR(VLOOKUP($A31,'PP DS Query'!$C$1:$R$1005,15,FALSE),0)</f>
        <v>743671.7</v>
      </c>
      <c r="Q31" s="358">
        <f>IFERROR(VLOOKUP($A31,'PP DS Query'!$C$1:$R$1005,16,FALSE),0)</f>
        <v>8517855.9600000009</v>
      </c>
      <c r="R31" s="48"/>
      <c r="S31" s="472">
        <f>IFERROR(ROUND(LEFT(A31,7)*100,0),0)</f>
        <v>31544</v>
      </c>
      <c r="T31" s="472" t="s">
        <v>962</v>
      </c>
      <c r="U31" s="474">
        <f>IFERROR(VLOOKUP($S31,#REF!,6,FALSE),0)</f>
        <v>0</v>
      </c>
      <c r="V31" s="473">
        <f>U31-F31</f>
        <v>-14873434.09</v>
      </c>
    </row>
    <row r="32" spans="1:22" ht="15.95" customHeight="1" x14ac:dyDescent="0.2">
      <c r="A32" s="49" t="s">
        <v>530</v>
      </c>
      <c r="B32" s="499">
        <f>IFERROR(VLOOKUP($A32,'PP DS Query'!$C$1:$R$1005,5,FALSE),0)</f>
        <v>2045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15807323.529999999</v>
      </c>
      <c r="G32" s="523">
        <f>IFERROR(VLOOKUP($A32,'PP DS Query'!$C$1:$R$1005,7,FALSE),0)</f>
        <v>29.5437832</v>
      </c>
      <c r="H32" s="358">
        <f>IFERROR(VLOOKUP($A32,'PP DS Query'!$C$1:$R$1005,8,FALSE),0)</f>
        <v>467008139.29000002</v>
      </c>
      <c r="I32" s="523">
        <f>IFERROR(VLOOKUP($A32,'PP DS Query'!$C$1:$R$1005,9,FALSE),0)</f>
        <v>33.869999999999997</v>
      </c>
      <c r="J32" s="358">
        <f>IFERROR(VLOOKUP($A32,'PP DS Query'!$C$1:$R$1005,10,FALSE),0)</f>
        <v>535394047.95999998</v>
      </c>
      <c r="K32" s="523">
        <f>IFERROR(VLOOKUP($A32,'PP DS Query'!$C$1:$R$1005,11,FALSE),0)</f>
        <v>8.7894729999999992</v>
      </c>
      <c r="L32" s="358">
        <f>IFERROR(VLOOKUP($A32,'PP DS Query'!$C$1:$R$1005,12,FALSE),0)</f>
        <v>138938043.37</v>
      </c>
      <c r="M32" s="19">
        <f>IFERROR(VLOOKUP($A32,'PP DS Query'!$C$1:$R$1005,13,FALSE),0)</f>
        <v>0.77754009999999996</v>
      </c>
      <c r="N32" s="358">
        <f>IFERROR(VLOOKUP($A32,'PP DS Query'!$C$1:$R$1005,14,FALSE),0)</f>
        <v>12290827.91</v>
      </c>
      <c r="O32" s="56">
        <f>IFERROR(VLOOKUP($A32,'PP DS Query'!$C$1:$R$1005,4,FALSE),0)</f>
        <v>-0.05</v>
      </c>
      <c r="P32" s="358">
        <f>-IFERROR(VLOOKUP($A32,'PP DS Query'!$C$1:$R$1005,15,FALSE),0)</f>
        <v>790366.18</v>
      </c>
      <c r="Q32" s="358">
        <f>IFERROR(VLOOKUP($A32,'PP DS Query'!$C$1:$R$1005,16,FALSE),0)</f>
        <v>11863147.359999999</v>
      </c>
      <c r="R32" s="48"/>
      <c r="S32" s="472">
        <f t="shared" ref="S32:S33" si="6">IFERROR(ROUND(LEFT(A32,7)*100,0),0)</f>
        <v>31544</v>
      </c>
      <c r="T32" s="472" t="s">
        <v>963</v>
      </c>
      <c r="U32" s="474">
        <f>IFERROR(VLOOKUP($S32,#REF!,7,FALSE),0)</f>
        <v>0</v>
      </c>
      <c r="V32" s="473">
        <f t="shared" ref="V32:V33" si="7">U32-F32</f>
        <v>-15807323.529999999</v>
      </c>
    </row>
    <row r="33" spans="1:22" ht="15.95" customHeight="1" thickBot="1" x14ac:dyDescent="0.25">
      <c r="A33" s="49" t="s">
        <v>531</v>
      </c>
      <c r="B33" s="499">
        <f>IFERROR(VLOOKUP($A33,'PP DS Query'!$C$1:$R$1005,5,FALSE),0)</f>
        <v>2045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14048302.27</v>
      </c>
      <c r="G33" s="524">
        <f>IFERROR(VLOOKUP($A33,'PP DS Query'!$C$1:$R$1005,7,FALSE),0)</f>
        <v>11.592899340000001</v>
      </c>
      <c r="H33" s="250">
        <f>IFERROR(VLOOKUP($A33,'PP DS Query'!$C$1:$R$1005,8,FALSE),0)</f>
        <v>162860554.13</v>
      </c>
      <c r="I33" s="524">
        <f>IFERROR(VLOOKUP($A33,'PP DS Query'!$C$1:$R$1005,9,FALSE),0)</f>
        <v>20</v>
      </c>
      <c r="J33" s="250">
        <f>IFERROR(VLOOKUP($A33,'PP DS Query'!$C$1:$R$1005,10,FALSE),0)</f>
        <v>280966045.39999998</v>
      </c>
      <c r="K33" s="524">
        <f>IFERROR(VLOOKUP($A33,'PP DS Query'!$C$1:$R$1005,11,FALSE),0)</f>
        <v>9.3356279999999998</v>
      </c>
      <c r="L33" s="250">
        <f>IFERROR(VLOOKUP($A33,'PP DS Query'!$C$1:$R$1005,12,FALSE),0)</f>
        <v>131149724.02</v>
      </c>
      <c r="M33" s="21">
        <f>IFERROR(VLOOKUP($A33,'PP DS Query'!$C$1:$R$1005,13,FALSE),0)</f>
        <v>0.55987953999999995</v>
      </c>
      <c r="N33" s="250">
        <f>IFERROR(VLOOKUP($A33,'PP DS Query'!$C$1:$R$1005,14,FALSE),0)</f>
        <v>7865356.96</v>
      </c>
      <c r="O33" s="57">
        <f>IFERROR(VLOOKUP($A33,'PP DS Query'!$C$1:$R$1005,4,FALSE),0)</f>
        <v>-0.05</v>
      </c>
      <c r="P33" s="250">
        <f>-IFERROR(VLOOKUP($A33,'PP DS Query'!$C$1:$R$1005,15,FALSE),0)</f>
        <v>702415.11</v>
      </c>
      <c r="Q33" s="250">
        <f>IFERROR(VLOOKUP($A33,'PP DS Query'!$C$1:$R$1005,16,FALSE),0)</f>
        <v>7591668.2999999998</v>
      </c>
      <c r="R33" s="48"/>
      <c r="S33" s="472">
        <f t="shared" si="6"/>
        <v>31544</v>
      </c>
      <c r="T33" s="472" t="s">
        <v>964</v>
      </c>
      <c r="U33" s="475">
        <f>IFERROR(VLOOKUP($S33,#REF!,8,FALSE),0)</f>
        <v>0</v>
      </c>
      <c r="V33" s="476">
        <f t="shared" si="7"/>
        <v>-14048302.27</v>
      </c>
    </row>
    <row r="34" spans="1:22" ht="15.95" customHeight="1" x14ac:dyDescent="0.2">
      <c r="A34" s="49" t="s">
        <v>532</v>
      </c>
      <c r="B34" s="499">
        <f>IFERROR(VLOOKUP($A34,'PP DS Query'!$C$1:$R$1005,5,FALSE),0)</f>
        <v>2045</v>
      </c>
      <c r="C34" s="33"/>
      <c r="D34" s="34"/>
      <c r="E34" s="15"/>
      <c r="F34" s="443">
        <f>IFERROR(VLOOKUP($A34,'PP DS Query'!$C$1:$R$1005,6,FALSE),0)</f>
        <v>44729059.890000001</v>
      </c>
      <c r="G34" s="525">
        <f>IFERROR(VLOOKUP($A34,'PP DS Query'!$C$1:$R$1005,7,FALSE),0)</f>
        <v>25.302165670000001</v>
      </c>
      <c r="H34" s="443">
        <f>IFERROR(VLOOKUP($A34,'PP DS Query'!$C$1:$R$1005,8,FALSE),0)</f>
        <v>1131742083.6600001</v>
      </c>
      <c r="I34" s="525">
        <f>IFERROR(VLOOKUP($A34,'PP DS Query'!$C$1:$R$1005,9,FALSE),0)</f>
        <v>37.747038240000002</v>
      </c>
      <c r="J34" s="443">
        <f>IFERROR(VLOOKUP($A34,'PP DS Query'!$C$1:$R$1005,10,FALSE),0)</f>
        <v>1688389534.0599999</v>
      </c>
      <c r="K34" s="525">
        <f>IFERROR(VLOOKUP($A34,'PP DS Query'!$C$1:$R$1005,11,FALSE),0)</f>
        <v>14.517638829999999</v>
      </c>
      <c r="L34" s="443">
        <f>IFERROR(VLOOKUP($A34,'PP DS Query'!$C$1:$R$1005,12,FALSE),0)</f>
        <v>649360336.69000006</v>
      </c>
      <c r="M34" s="445">
        <f>IFERROR(VLOOKUP($A34,'PP DS Query'!$C$1:$R$1005,13,FALSE),0)</f>
        <v>0.64792596999999996</v>
      </c>
      <c r="N34" s="443">
        <f>IFERROR(VLOOKUP($A34,'PP DS Query'!$C$1:$R$1005,14,FALSE),0)</f>
        <v>28981119.649999999</v>
      </c>
      <c r="O34" s="446">
        <f>IFERROR(VLOOKUP($A34,'PP DS Query'!$C$1:$R$1005,4,FALSE),0)</f>
        <v>-0.05</v>
      </c>
      <c r="P34" s="443">
        <f>-IFERROR(VLOOKUP($A34,'PP DS Query'!$C$1:$R$1005,15,FALSE),0)</f>
        <v>2236452.9900000002</v>
      </c>
      <c r="Q34" s="443">
        <f>IFERROR(VLOOKUP($A34,'PP DS Query'!$C$1:$R$1005,16,FALSE),0)</f>
        <v>27972671.620000001</v>
      </c>
      <c r="R34" s="48"/>
      <c r="U34" s="473">
        <f>SUM(U31:U33)</f>
        <v>0</v>
      </c>
      <c r="V34" s="473">
        <f>SUM(V31:V33)</f>
        <v>-44729059.890000001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1191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396" t="s">
        <v>1052</v>
      </c>
      <c r="B37" s="499">
        <f>IFERROR(VLOOKUP($A37,'PP DS Query'!$C$1:$R$1005,5,FALSE),0)</f>
        <v>2045</v>
      </c>
      <c r="C37" s="33">
        <f>IFERROR(VLOOKUP($A37,'PP DS Query'!$C$1:$R$1005,3,FALSE),0)</f>
        <v>60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4181125.62</v>
      </c>
      <c r="G37" s="523">
        <f>IFERROR(VLOOKUP($A37,'PP DS Query'!$C$1:$R$1005,7,FALSE),0)</f>
        <v>33.41853862</v>
      </c>
      <c r="H37" s="358">
        <f>IFERROR(VLOOKUP($A37,'PP DS Query'!$C$1:$R$1005,8,FALSE),0)</f>
        <v>139727108.00999999</v>
      </c>
      <c r="I37" s="523">
        <f>IFERROR(VLOOKUP($A37,'PP DS Query'!$C$1:$R$1005,9,FALSE),0)</f>
        <v>58.18</v>
      </c>
      <c r="J37" s="358">
        <f>IFERROR(VLOOKUP($A37,'PP DS Query'!$C$1:$R$1005,10,FALSE),0)</f>
        <v>243257888.56999999</v>
      </c>
      <c r="K37" s="523">
        <f>IFERROR(VLOOKUP($A37,'PP DS Query'!$C$1:$R$1005,11,FALSE),0)</f>
        <v>25.5</v>
      </c>
      <c r="L37" s="358">
        <f>IFERROR(VLOOKUP($A37,'PP DS Query'!$C$1:$R$1005,12,FALSE),0)</f>
        <v>106618703.31</v>
      </c>
      <c r="M37" s="19">
        <f>IFERROR(VLOOKUP($A37,'PP DS Query'!$C$1:$R$1005,13,FALSE),0)</f>
        <v>0.57292008999999999</v>
      </c>
      <c r="N37" s="358">
        <f>IFERROR(VLOOKUP($A37,'PP DS Query'!$C$1:$R$1005,14,FALSE),0)</f>
        <v>2395450.85</v>
      </c>
      <c r="O37" s="56">
        <f>IFERROR(VLOOKUP($A37,'PP DS Query'!$C$1:$R$1005,4,FALSE),0)</f>
        <v>-0.02</v>
      </c>
      <c r="P37" s="358">
        <f>-IFERROR(VLOOKUP($A37,'PP DS Query'!$C$1:$R$1005,15,FALSE),0)</f>
        <v>83622.509999999995</v>
      </c>
      <c r="Q37" s="358">
        <f>IFERROR(VLOOKUP($A37,'PP DS Query'!$C$1:$R$1005,16,FALSE),0)</f>
        <v>2530902.8199999998</v>
      </c>
      <c r="R37" s="48"/>
      <c r="S37" s="472">
        <f>IFERROR(ROUND(LEFT(A37,7)*100,0),0)</f>
        <v>31644</v>
      </c>
      <c r="T37" s="472" t="s">
        <v>962</v>
      </c>
      <c r="U37" s="474">
        <f>IFERROR(VLOOKUP($S37,#REF!,6,FALSE),0)</f>
        <v>0</v>
      </c>
      <c r="V37" s="473">
        <f>U37-F37</f>
        <v>-4181125.62</v>
      </c>
    </row>
    <row r="38" spans="1:22" ht="15.95" customHeight="1" x14ac:dyDescent="0.2">
      <c r="A38" s="396" t="s">
        <v>1053</v>
      </c>
      <c r="B38" s="499">
        <f>IFERROR(VLOOKUP($A38,'PP DS Query'!$C$1:$R$1005,5,FALSE),0)</f>
        <v>2045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935957.83</v>
      </c>
      <c r="G38" s="523">
        <f>IFERROR(VLOOKUP($A38,'PP DS Query'!$C$1:$R$1005,7,FALSE),0)</f>
        <v>18.199869209999999</v>
      </c>
      <c r="H38" s="358">
        <f>IFERROR(VLOOKUP($A38,'PP DS Query'!$C$1:$R$1005,8,FALSE),0)</f>
        <v>17034310.100000001</v>
      </c>
      <c r="I38" s="523">
        <f>IFERROR(VLOOKUP($A38,'PP DS Query'!$C$1:$R$1005,9,FALSE),0)</f>
        <v>32.49</v>
      </c>
      <c r="J38" s="358">
        <f>IFERROR(VLOOKUP($A38,'PP DS Query'!$C$1:$R$1005,10,FALSE),0)</f>
        <v>30409269.899999999</v>
      </c>
      <c r="K38" s="523">
        <f>IFERROR(VLOOKUP($A38,'PP DS Query'!$C$1:$R$1005,11,FALSE),0)</f>
        <v>16.816701999999999</v>
      </c>
      <c r="L38" s="358">
        <f>IFERROR(VLOOKUP($A38,'PP DS Query'!$C$1:$R$1005,12,FALSE),0)</f>
        <v>15739723.91</v>
      </c>
      <c r="M38" s="19">
        <f>IFERROR(VLOOKUP($A38,'PP DS Query'!$C$1:$R$1005,13,FALSE),0)</f>
        <v>0.49212621000000001</v>
      </c>
      <c r="N38" s="358">
        <f>IFERROR(VLOOKUP($A38,'PP DS Query'!$C$1:$R$1005,14,FALSE),0)</f>
        <v>460609.38</v>
      </c>
      <c r="O38" s="56">
        <f>IFERROR(VLOOKUP($A38,'PP DS Query'!$C$1:$R$1005,4,FALSE),0)</f>
        <v>-0.02</v>
      </c>
      <c r="P38" s="358">
        <f>-IFERROR(VLOOKUP($A38,'PP DS Query'!$C$1:$R$1005,15,FALSE),0)</f>
        <v>18719.16</v>
      </c>
      <c r="Q38" s="358">
        <f>IFERROR(VLOOKUP($A38,'PP DS Query'!$C$1:$R$1005,16,FALSE),0)</f>
        <v>486654.77</v>
      </c>
      <c r="R38" s="48"/>
      <c r="S38" s="472">
        <f t="shared" ref="S38:S39" si="8">IFERROR(ROUND(LEFT(A38,7)*100,0),0)</f>
        <v>31644</v>
      </c>
      <c r="T38" s="472" t="s">
        <v>963</v>
      </c>
      <c r="U38" s="474">
        <f>IFERROR(VLOOKUP($S38,#REF!,7,FALSE),0)</f>
        <v>0</v>
      </c>
      <c r="V38" s="473">
        <f t="shared" ref="V38:V39" si="9">U38-F38</f>
        <v>-935957.83</v>
      </c>
    </row>
    <row r="39" spans="1:22" ht="15.95" customHeight="1" thickBot="1" x14ac:dyDescent="0.25">
      <c r="A39" s="396" t="s">
        <v>1054</v>
      </c>
      <c r="B39" s="499">
        <f>IFERROR(VLOOKUP($A39,'PP DS Query'!$C$1:$R$1005,5,FALSE),0)</f>
        <v>2045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748728.34</v>
      </c>
      <c r="G39" s="524">
        <f>IFERROR(VLOOKUP($A39,'PP DS Query'!$C$1:$R$1005,7,FALSE),0)</f>
        <v>33.944634829999998</v>
      </c>
      <c r="H39" s="250">
        <f>IFERROR(VLOOKUP($A39,'PP DS Query'!$C$1:$R$1005,8,FALSE),0)</f>
        <v>25415310.09</v>
      </c>
      <c r="I39" s="524">
        <f>IFERROR(VLOOKUP($A39,'PP DS Query'!$C$1:$R$1005,9,FALSE),0)</f>
        <v>20</v>
      </c>
      <c r="J39" s="250">
        <f>IFERROR(VLOOKUP($A39,'PP DS Query'!$C$1:$R$1005,10,FALSE),0)</f>
        <v>14974566.800000001</v>
      </c>
      <c r="K39" s="524">
        <f>IFERROR(VLOOKUP($A39,'PP DS Query'!$C$1:$R$1005,11,FALSE),0)</f>
        <v>0.86277400000000004</v>
      </c>
      <c r="L39" s="250">
        <f>IFERROR(VLOOKUP($A39,'PP DS Query'!$C$1:$R$1005,12,FALSE),0)</f>
        <v>645983.34</v>
      </c>
      <c r="M39" s="21">
        <f>IFERROR(VLOOKUP($A39,'PP DS Query'!$C$1:$R$1005,13,FALSE),0)</f>
        <v>0.97599853999999997</v>
      </c>
      <c r="N39" s="250">
        <f>IFERROR(VLOOKUP($A39,'PP DS Query'!$C$1:$R$1005,14,FALSE),0)</f>
        <v>730757.77</v>
      </c>
      <c r="O39" s="57">
        <f>IFERROR(VLOOKUP($A39,'PP DS Query'!$C$1:$R$1005,4,FALSE),0)</f>
        <v>-0.02</v>
      </c>
      <c r="P39" s="250">
        <f>-IFERROR(VLOOKUP($A39,'PP DS Query'!$C$1:$R$1005,15,FALSE),0)</f>
        <v>14974.57</v>
      </c>
      <c r="Q39" s="250">
        <f>IFERROR(VLOOKUP($A39,'PP DS Query'!$C$1:$R$1005,16,FALSE),0)</f>
        <v>772078.84</v>
      </c>
      <c r="R39" s="48"/>
      <c r="S39" s="472">
        <f t="shared" si="8"/>
        <v>31644</v>
      </c>
      <c r="T39" s="472" t="s">
        <v>964</v>
      </c>
      <c r="U39" s="475">
        <f>IFERROR(VLOOKUP($S39,#REF!,8,FALSE),0)</f>
        <v>0</v>
      </c>
      <c r="V39" s="476">
        <f t="shared" si="9"/>
        <v>-748728.34</v>
      </c>
    </row>
    <row r="40" spans="1:22" ht="15.95" customHeight="1" x14ac:dyDescent="0.2">
      <c r="A40" s="49" t="s">
        <v>573</v>
      </c>
      <c r="B40" s="499">
        <f>IFERROR(VLOOKUP($A40,'PP DS Query'!$C$1:$R$1005,5,FALSE),0)</f>
        <v>2045</v>
      </c>
      <c r="C40" s="33"/>
      <c r="D40" s="34"/>
      <c r="E40" s="15"/>
      <c r="F40" s="443">
        <f>IFERROR(VLOOKUP($A40,'PP DS Query'!$C$1:$R$1005,6,FALSE),0)</f>
        <v>5865811.79</v>
      </c>
      <c r="G40" s="525">
        <f>IFERROR(VLOOKUP($A40,'PP DS Query'!$C$1:$R$1005,7,FALSE),0)</f>
        <v>31.057376999999999</v>
      </c>
      <c r="H40" s="443">
        <f>IFERROR(VLOOKUP($A40,'PP DS Query'!$C$1:$R$1005,8,FALSE),0)</f>
        <v>182176728.19999999</v>
      </c>
      <c r="I40" s="525">
        <f>IFERROR(VLOOKUP($A40,'PP DS Query'!$C$1:$R$1005,9,FALSE),0)</f>
        <v>49.207464469999998</v>
      </c>
      <c r="J40" s="443">
        <f>IFERROR(VLOOKUP($A40,'PP DS Query'!$C$1:$R$1005,10,FALSE),0)</f>
        <v>288641725.26999998</v>
      </c>
      <c r="K40" s="525">
        <f>IFERROR(VLOOKUP($A40,'PP DS Query'!$C$1:$R$1005,11,FALSE),0)</f>
        <v>20.969716550000001</v>
      </c>
      <c r="L40" s="443">
        <f>IFERROR(VLOOKUP($A40,'PP DS Query'!$C$1:$R$1005,12,FALSE),0)</f>
        <v>123004410.56999999</v>
      </c>
      <c r="M40" s="445">
        <f>IFERROR(VLOOKUP($A40,'PP DS Query'!$C$1:$R$1005,13,FALSE),0)</f>
        <v>0.61147854000000001</v>
      </c>
      <c r="N40" s="443">
        <f>IFERROR(VLOOKUP($A40,'PP DS Query'!$C$1:$R$1005,14,FALSE),0)</f>
        <v>3586818</v>
      </c>
      <c r="O40" s="446">
        <f>IFERROR(VLOOKUP($A40,'PP DS Query'!$C$1:$R$1005,4,FALSE),0)</f>
        <v>-0.02</v>
      </c>
      <c r="P40" s="443">
        <f>-IFERROR(VLOOKUP($A40,'PP DS Query'!$C$1:$R$1005,15,FALSE),0)</f>
        <v>117316.24</v>
      </c>
      <c r="Q40" s="443">
        <f>IFERROR(VLOOKUP($A40,'PP DS Query'!$C$1:$R$1005,16,FALSE),0)</f>
        <v>3789636.43</v>
      </c>
      <c r="R40" s="48"/>
      <c r="U40" s="473">
        <f>SUM(U37:U39)</f>
        <v>0</v>
      </c>
      <c r="V40" s="473">
        <f>SUM(V37:V39)</f>
        <v>-5865811.79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Unit #4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60</v>
      </c>
      <c r="D44" s="34" t="s">
        <v>22</v>
      </c>
      <c r="E44" s="360" t="s">
        <v>359</v>
      </c>
      <c r="F44" s="358">
        <f>F13+F19+F25+F31+F37</f>
        <v>232815243.49000001</v>
      </c>
      <c r="G44" s="523">
        <f>IF($F44=0,0,H44/$F44)</f>
        <v>31.398834019319651</v>
      </c>
      <c r="H44" s="358">
        <f>H13+H19+H25+H31+H37</f>
        <v>7310127187.5100002</v>
      </c>
      <c r="I44" s="523">
        <f>IF($F44=0,0,J44/$F44)</f>
        <v>54.929951413766858</v>
      </c>
      <c r="J44" s="358">
        <f>J13+J19+J25+J31+J37</f>
        <v>12788530013.290001</v>
      </c>
      <c r="K44" s="523">
        <f>IF($F44=0,0,L44/$F44)</f>
        <v>25.500000000021476</v>
      </c>
      <c r="L44" s="358">
        <f>L13+L19+L25+L31+L37</f>
        <v>5936788709</v>
      </c>
      <c r="M44" s="19">
        <f>IF($F44=0,0,N44/$F44)</f>
        <v>0.55726270606319905</v>
      </c>
      <c r="N44" s="358">
        <f>N13+N19+N25+N31+N37</f>
        <v>129739252.59999999</v>
      </c>
      <c r="O44" s="56">
        <f>-IF($F44=0,0,P44/$F44)</f>
        <v>-4.3516740863384085E-2</v>
      </c>
      <c r="P44" s="358">
        <f t="shared" ref="P44:Q46" si="10">P13+P19+P25+P31+P37</f>
        <v>10131360.619999999</v>
      </c>
      <c r="Q44" s="358">
        <f t="shared" si="10"/>
        <v>108725278.41999999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201739834.92000002</v>
      </c>
      <c r="G45" s="523">
        <f>IF($F45=0,0,H45/$F45)</f>
        <v>22.427313276994528</v>
      </c>
      <c r="H45" s="358">
        <f>H14+H20+H26+H32+H38</f>
        <v>4524482478.2000008</v>
      </c>
      <c r="I45" s="523">
        <f>IF($F45=0,0,J45/$F45)</f>
        <v>33.457619580122135</v>
      </c>
      <c r="J45" s="358">
        <f>J14+J20+J26+J32+J38</f>
        <v>6749734650.9099998</v>
      </c>
      <c r="K45" s="523">
        <f>IF($F45=0,0,L45/$F45)</f>
        <v>13.94172855130638</v>
      </c>
      <c r="L45" s="358">
        <f>L14+L20+L26+L32+L38</f>
        <v>2812602016.4400001</v>
      </c>
      <c r="M45" s="19">
        <f>IF($F45=0,0,N45/$F45)</f>
        <v>0.61341525231778449</v>
      </c>
      <c r="N45" s="358">
        <f>N14+N20+N26+N32+N38</f>
        <v>123750291.73999999</v>
      </c>
      <c r="O45" s="56">
        <f>-IF($F45=0,0,P45/$F45)</f>
        <v>-5.1991429328567228E-2</v>
      </c>
      <c r="P45" s="358">
        <f t="shared" si="10"/>
        <v>10488742.369999999</v>
      </c>
      <c r="Q45" s="358">
        <f t="shared" si="10"/>
        <v>97973364.809999987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33533480.379999999</v>
      </c>
      <c r="G46" s="524">
        <f>IF($F46=0,0,H46/$F46)</f>
        <v>11.787276398716594</v>
      </c>
      <c r="H46" s="250">
        <f>H15+H21+H27+H33+H39</f>
        <v>395268401.84999996</v>
      </c>
      <c r="I46" s="524">
        <f>IF($F46=0,0,J46/$F46)</f>
        <v>19.999999999999996</v>
      </c>
      <c r="J46" s="250">
        <f>J15+J21+J27+J33+J39</f>
        <v>670669607.5999999</v>
      </c>
      <c r="K46" s="524">
        <f>IF($F46=0,0,L46/$F46)</f>
        <v>10.376440549771528</v>
      </c>
      <c r="L46" s="250">
        <f>L15+L21+L27+L33+L39</f>
        <v>347958165.58999997</v>
      </c>
      <c r="M46" s="21">
        <f>IF($F46=0,0,N46/$F46)</f>
        <v>0.50487415228445787</v>
      </c>
      <c r="N46" s="250">
        <f>N15+N21+N27+N33+N39</f>
        <v>16930187.48</v>
      </c>
      <c r="O46" s="57">
        <f>-IF($F46=0,0,P46/$F46)</f>
        <v>-5.025607395661566E-2</v>
      </c>
      <c r="P46" s="250">
        <f t="shared" si="10"/>
        <v>1685261.07</v>
      </c>
      <c r="Q46" s="250">
        <f t="shared" si="10"/>
        <v>14851583.309999999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468088558.79000002</v>
      </c>
      <c r="G47" s="525">
        <f>IF($F47=0,0,H47/$F47)</f>
        <v>26.127274076456818</v>
      </c>
      <c r="H47" s="443">
        <f>SUM(H44:H46)</f>
        <v>12229878067.560001</v>
      </c>
      <c r="I47" s="525">
        <f>IF($F47=0,0,J47/$F47)</f>
        <v>43.173313878979883</v>
      </c>
      <c r="J47" s="443">
        <f>SUM(J44:J46)</f>
        <v>20208934271.799999</v>
      </c>
      <c r="K47" s="525">
        <f>IF($F47=0,0,L47/$F47)</f>
        <v>19.435102012632981</v>
      </c>
      <c r="L47" s="443">
        <f>SUM(L44:L46)</f>
        <v>9097348891.0300007</v>
      </c>
      <c r="M47" s="445">
        <f>IF($F47=0,0,N47/$F47)</f>
        <v>0.57771062065483902</v>
      </c>
      <c r="N47" s="443">
        <f>SUM(N44:N46)</f>
        <v>270419731.81999999</v>
      </c>
      <c r="O47" s="446">
        <f>-IF($F47=0,0,P47/$F47)</f>
        <v>-4.7652017211569836E-2</v>
      </c>
      <c r="P47" s="443">
        <f>SUM(P44:P46)</f>
        <v>22305364.059999999</v>
      </c>
      <c r="Q47" s="443">
        <f>SUM(Q44:Q46)</f>
        <v>221550226.53999996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31144</v>
      </c>
      <c r="F50" s="352">
        <f>IFERROR(VLOOKUP(E50,'2019 B-7'!C:P,14,FALSE),0)</f>
        <v>63363345.660000004</v>
      </c>
      <c r="G50" s="353">
        <f>F50-F16</f>
        <v>0</v>
      </c>
      <c r="P50" s="260">
        <f>E50</f>
        <v>31144</v>
      </c>
      <c r="Q50" s="352">
        <f>IFERROR(VLOOKUP(P50,'2019 B-9'!C:R,16,FALSE),0)</f>
        <v>35084564.210000008</v>
      </c>
      <c r="R50" s="353">
        <f>Q50-Q16</f>
        <v>0</v>
      </c>
    </row>
    <row r="51" spans="5:18" x14ac:dyDescent="0.2">
      <c r="E51" s="260">
        <v>31244</v>
      </c>
      <c r="F51" s="352">
        <f>IFERROR(VLOOKUP(E51,'2019 B-7'!C:P,14,FALSE),0)</f>
        <v>256349256.94999993</v>
      </c>
      <c r="G51" s="353">
        <f>F51-F22</f>
        <v>0</v>
      </c>
      <c r="P51" s="260">
        <f t="shared" ref="P51:P54" si="11">E51</f>
        <v>31244</v>
      </c>
      <c r="Q51" s="352">
        <f>IFERROR(VLOOKUP(P51,'2019 B-9'!C:R,16,FALSE),0)</f>
        <v>107883134.4700001</v>
      </c>
      <c r="R51" s="353">
        <f>Q51-Q22</f>
        <v>0</v>
      </c>
    </row>
    <row r="52" spans="5:18" x14ac:dyDescent="0.2">
      <c r="E52" s="260">
        <v>31444</v>
      </c>
      <c r="F52" s="352">
        <f>IFERROR(VLOOKUP(E52,'2019 B-7'!C:P,14,FALSE),0)</f>
        <v>97781084.499999955</v>
      </c>
      <c r="G52" s="353">
        <f>F52-F28</f>
        <v>0</v>
      </c>
      <c r="P52" s="260">
        <f t="shared" si="11"/>
        <v>31444</v>
      </c>
      <c r="Q52" s="352">
        <f>IFERROR(VLOOKUP(P52,'2019 B-9'!C:R,16,FALSE),0)</f>
        <v>46820219.810000002</v>
      </c>
      <c r="R52" s="353">
        <f>Q52-Q28</f>
        <v>0</v>
      </c>
    </row>
    <row r="53" spans="5:18" x14ac:dyDescent="0.2">
      <c r="E53" s="260">
        <v>31544</v>
      </c>
      <c r="F53" s="352">
        <f>IFERROR(VLOOKUP(E53,'2019 B-7'!C:P,14,FALSE),0)</f>
        <v>44729059.890000015</v>
      </c>
      <c r="G53" s="353">
        <f>F53-F34</f>
        <v>0</v>
      </c>
      <c r="P53" s="260">
        <f t="shared" si="11"/>
        <v>31544</v>
      </c>
      <c r="Q53" s="352">
        <f>IFERROR(VLOOKUP(P53,'2019 B-9'!C:R,16,FALSE),0)</f>
        <v>27972671.619999979</v>
      </c>
      <c r="R53" s="353">
        <f>Q53-Q34</f>
        <v>0</v>
      </c>
    </row>
    <row r="54" spans="5:18" x14ac:dyDescent="0.2">
      <c r="E54" s="260">
        <v>31644</v>
      </c>
      <c r="F54" s="352">
        <f>IFERROR(VLOOKUP(E54,'2019 B-7'!C:P,14,FALSE),0)</f>
        <v>5865811.79</v>
      </c>
      <c r="G54" s="353">
        <f>F54-F40</f>
        <v>0</v>
      </c>
      <c r="P54" s="260">
        <f t="shared" si="11"/>
        <v>31644</v>
      </c>
      <c r="Q54" s="352">
        <f>IFERROR(VLOOKUP(P54,'2019 B-9'!C:R,16,FALSE),0)</f>
        <v>3789636.4299999969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468088558.7899999</v>
      </c>
      <c r="G55" s="354">
        <f>SUM(G50:G54)</f>
        <v>0</v>
      </c>
      <c r="P55" s="349" t="s">
        <v>40</v>
      </c>
      <c r="Q55" s="354">
        <f>SUM(Q50:Q54)</f>
        <v>221550226.54000011</v>
      </c>
      <c r="R55" s="354">
        <f>SUM(R50:R54)</f>
        <v>0</v>
      </c>
    </row>
    <row r="56" spans="5:18" ht="13.5" thickTop="1" x14ac:dyDescent="0.2">
      <c r="E56" s="50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0</v>
      </c>
    </row>
    <row r="57" spans="5:18" x14ac:dyDescent="0.2">
      <c r="E57" s="50"/>
      <c r="G57" s="18"/>
    </row>
    <row r="58" spans="5:18" x14ac:dyDescent="0.2">
      <c r="E58" s="50"/>
      <c r="G58" s="29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140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94</v>
      </c>
      <c r="D6" s="71"/>
      <c r="E6" s="6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231" t="s">
        <v>1197</v>
      </c>
      <c r="E12" s="50"/>
      <c r="P12" s="18"/>
      <c r="Q12" s="18"/>
      <c r="R12" s="48"/>
    </row>
    <row r="13" spans="1:22" ht="15.95" customHeight="1" x14ac:dyDescent="0.2">
      <c r="A13" s="49" t="s">
        <v>425</v>
      </c>
      <c r="B13" s="499">
        <f>IFERROR(VLOOKUP($A13,'PP DS Query'!$C$1:$R$1005,5,FALSE),0)</f>
        <v>2045</v>
      </c>
      <c r="C13" s="33">
        <f>IFERROR(VLOOKUP($A13,'PP DS Query'!$C$1:$R$1005,3,FALSE),0)</f>
        <v>60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20106937.879999999</v>
      </c>
      <c r="G13" s="523">
        <f>IFERROR(VLOOKUP($A13,'PP DS Query'!$C$1:$R$1005,7,FALSE),0)</f>
        <v>32.076694430000003</v>
      </c>
      <c r="H13" s="358">
        <f>IFERROR(VLOOKUP($A13,'PP DS Query'!$C$1:$R$1005,8,FALSE),0)</f>
        <v>644964102.34000003</v>
      </c>
      <c r="I13" s="523">
        <f>IFERROR(VLOOKUP($A13,'PP DS Query'!$C$1:$R$1005,9,FALSE),0)</f>
        <v>55.26</v>
      </c>
      <c r="J13" s="358">
        <f>IFERROR(VLOOKUP($A13,'PP DS Query'!$C$1:$R$1005,10,FALSE),0)</f>
        <v>1111109387.25</v>
      </c>
      <c r="K13" s="523">
        <f>IFERROR(VLOOKUP($A13,'PP DS Query'!$C$1:$R$1005,11,FALSE),0)</f>
        <v>25.5</v>
      </c>
      <c r="L13" s="358">
        <f>IFERROR(VLOOKUP($A13,'PP DS Query'!$C$1:$R$1005,12,FALSE),0)</f>
        <v>512726915.94</v>
      </c>
      <c r="M13" s="19">
        <f>IFERROR(VLOOKUP($A13,'PP DS Query'!$C$1:$R$1005,13,FALSE),0)</f>
        <v>0.54934943000000003</v>
      </c>
      <c r="N13" s="358">
        <f>IFERROR(VLOOKUP($A13,'PP DS Query'!$C$1:$R$1005,14,FALSE),0)</f>
        <v>11045734.890000001</v>
      </c>
      <c r="O13" s="56">
        <f>IFERROR(VLOOKUP($A13,'PP DS Query'!$C$1:$R$1005,4,FALSE),0)</f>
        <v>-0.02</v>
      </c>
      <c r="P13" s="358">
        <f>-IFERROR(VLOOKUP($A13,'PP DS Query'!$C$1:$R$1005,15,FALSE),0)</f>
        <v>402138.76</v>
      </c>
      <c r="Q13" s="358">
        <f>IFERROR(VLOOKUP($A13,'PP DS Query'!$C$1:$R$1005,16,FALSE),0)</f>
        <v>10535941.26</v>
      </c>
      <c r="R13" s="48"/>
      <c r="S13" s="472">
        <f>IFERROR(ROUND(LEFT(A13,7)*100,0),0)</f>
        <v>31145</v>
      </c>
      <c r="T13" s="472" t="s">
        <v>962</v>
      </c>
      <c r="U13" s="474">
        <f>IFERROR(VLOOKUP($S13,#REF!,6,FALSE),0)</f>
        <v>0</v>
      </c>
      <c r="V13" s="473">
        <f>U13-F13</f>
        <v>-20106937.879999999</v>
      </c>
    </row>
    <row r="14" spans="1:22" ht="15.95" customHeight="1" x14ac:dyDescent="0.2">
      <c r="A14" s="49" t="s">
        <v>426</v>
      </c>
      <c r="B14" s="499">
        <f>IFERROR(VLOOKUP($A14,'PP DS Query'!$C$1:$R$1005,5,FALSE),0)</f>
        <v>2045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2906395.05</v>
      </c>
      <c r="G14" s="523">
        <f>IFERROR(VLOOKUP($A14,'PP DS Query'!$C$1:$R$1005,7,FALSE),0)</f>
        <v>17.037244879999999</v>
      </c>
      <c r="H14" s="358">
        <f>IFERROR(VLOOKUP($A14,'PP DS Query'!$C$1:$R$1005,8,FALSE),0)</f>
        <v>49516964.170000002</v>
      </c>
      <c r="I14" s="523">
        <f>IFERROR(VLOOKUP($A14,'PP DS Query'!$C$1:$R$1005,9,FALSE),0)</f>
        <v>31.87</v>
      </c>
      <c r="J14" s="358">
        <f>IFERROR(VLOOKUP($A14,'PP DS Query'!$C$1:$R$1005,10,FALSE),0)</f>
        <v>92626810.239999995</v>
      </c>
      <c r="K14" s="523">
        <f>IFERROR(VLOOKUP($A14,'PP DS Query'!$C$1:$R$1005,11,FALSE),0)</f>
        <v>17.417062999999999</v>
      </c>
      <c r="L14" s="358">
        <f>IFERROR(VLOOKUP($A14,'PP DS Query'!$C$1:$R$1005,12,FALSE),0)</f>
        <v>50620865.689999998</v>
      </c>
      <c r="M14" s="19">
        <f>IFERROR(VLOOKUP($A14,'PP DS Query'!$C$1:$R$1005,13,FALSE),0)</f>
        <v>0.46258253999999999</v>
      </c>
      <c r="N14" s="358">
        <f>IFERROR(VLOOKUP($A14,'PP DS Query'!$C$1:$R$1005,14,FALSE),0)</f>
        <v>1344447.61</v>
      </c>
      <c r="O14" s="56">
        <f>IFERROR(VLOOKUP($A14,'PP DS Query'!$C$1:$R$1005,4,FALSE),0)</f>
        <v>-0.02</v>
      </c>
      <c r="P14" s="358">
        <f>-IFERROR(VLOOKUP($A14,'PP DS Query'!$C$1:$R$1005,15,FALSE),0)</f>
        <v>58127.9</v>
      </c>
      <c r="Q14" s="358">
        <f>IFERROR(VLOOKUP($A14,'PP DS Query'!$C$1:$R$1005,16,FALSE),0)</f>
        <v>1282397.3400000001</v>
      </c>
      <c r="R14" s="48"/>
      <c r="S14" s="472">
        <f t="shared" ref="S14:S15" si="0">IFERROR(ROUND(LEFT(A14,7)*100,0),0)</f>
        <v>31145</v>
      </c>
      <c r="T14" s="472" t="s">
        <v>963</v>
      </c>
      <c r="U14" s="474">
        <f>IFERROR(VLOOKUP($S14,#REF!,7,FALSE),0)</f>
        <v>0</v>
      </c>
      <c r="V14" s="473">
        <f t="shared" ref="V14:V15" si="1">U14-F14</f>
        <v>-2906395.05</v>
      </c>
    </row>
    <row r="15" spans="1:22" ht="15.95" customHeight="1" thickBot="1" x14ac:dyDescent="0.25">
      <c r="A15" s="49" t="s">
        <v>427</v>
      </c>
      <c r="B15" s="499">
        <f>IFERROR(VLOOKUP($A15,'PP DS Query'!$C$1:$R$1005,5,FALSE),0)</f>
        <v>2045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898585.8</v>
      </c>
      <c r="G15" s="524">
        <f>IFERROR(VLOOKUP($A15,'PP DS Query'!$C$1:$R$1005,7,FALSE),0)</f>
        <v>20.422842339999999</v>
      </c>
      <c r="H15" s="250">
        <f>IFERROR(VLOOKUP($A15,'PP DS Query'!$C$1:$R$1005,8,FALSE),0)</f>
        <v>18351676.120000001</v>
      </c>
      <c r="I15" s="524">
        <f>IFERROR(VLOOKUP($A15,'PP DS Query'!$C$1:$R$1005,9,FALSE),0)</f>
        <v>20</v>
      </c>
      <c r="J15" s="250">
        <f>IFERROR(VLOOKUP($A15,'PP DS Query'!$C$1:$R$1005,10,FALSE),0)</f>
        <v>17971716</v>
      </c>
      <c r="K15" s="524">
        <f>IFERROR(VLOOKUP($A15,'PP DS Query'!$C$1:$R$1005,11,FALSE),0)</f>
        <v>6.0229929999999996</v>
      </c>
      <c r="L15" s="250">
        <f>IFERROR(VLOOKUP($A15,'PP DS Query'!$C$1:$R$1005,12,FALSE),0)</f>
        <v>5412175.9800000004</v>
      </c>
      <c r="M15" s="21">
        <f>IFERROR(VLOOKUP($A15,'PP DS Query'!$C$1:$R$1005,13,FALSE),0)</f>
        <v>0.71282736000000002</v>
      </c>
      <c r="N15" s="250">
        <f>IFERROR(VLOOKUP($A15,'PP DS Query'!$C$1:$R$1005,14,FALSE),0)</f>
        <v>640536.54</v>
      </c>
      <c r="O15" s="57">
        <f>IFERROR(VLOOKUP($A15,'PP DS Query'!$C$1:$R$1005,4,FALSE),0)</f>
        <v>-0.02</v>
      </c>
      <c r="P15" s="250">
        <f>-IFERROR(VLOOKUP($A15,'PP DS Query'!$C$1:$R$1005,15,FALSE),0)</f>
        <v>17971.72</v>
      </c>
      <c r="Q15" s="250">
        <f>IFERROR(VLOOKUP($A15,'PP DS Query'!$C$1:$R$1005,16,FALSE),0)</f>
        <v>610973.87</v>
      </c>
      <c r="R15" s="48"/>
      <c r="S15" s="472">
        <f t="shared" si="0"/>
        <v>31145</v>
      </c>
      <c r="T15" s="472" t="s">
        <v>964</v>
      </c>
      <c r="U15" s="475">
        <f>IFERROR(VLOOKUP($S15,#REF!,8,FALSE),0)</f>
        <v>0</v>
      </c>
      <c r="V15" s="476">
        <f t="shared" si="1"/>
        <v>-898585.8</v>
      </c>
    </row>
    <row r="16" spans="1:22" ht="15.95" customHeight="1" x14ac:dyDescent="0.2">
      <c r="A16" s="49" t="s">
        <v>428</v>
      </c>
      <c r="B16" s="499">
        <f>IFERROR(VLOOKUP($A16,'PP DS Query'!$C$1:$R$1005,5,FALSE),0)</f>
        <v>2045</v>
      </c>
      <c r="C16" s="33"/>
      <c r="D16" s="34"/>
      <c r="E16" s="15"/>
      <c r="F16" s="443">
        <f>IFERROR(VLOOKUP($A16,'PP DS Query'!$C$1:$R$1005,6,FALSE),0)</f>
        <v>23911918.73</v>
      </c>
      <c r="G16" s="525">
        <f>IFERROR(VLOOKUP($A16,'PP DS Query'!$C$1:$R$1005,7,FALSE),0)</f>
        <v>29.810771379999998</v>
      </c>
      <c r="H16" s="443">
        <f>IFERROR(VLOOKUP($A16,'PP DS Query'!$C$1:$R$1005,8,FALSE),0)</f>
        <v>712832742.63999999</v>
      </c>
      <c r="I16" s="525">
        <f>IFERROR(VLOOKUP($A16,'PP DS Query'!$C$1:$R$1005,9,FALSE),0)</f>
        <v>51.092006759999997</v>
      </c>
      <c r="J16" s="443">
        <f>IFERROR(VLOOKUP($A16,'PP DS Query'!$C$1:$R$1005,10,FALSE),0)</f>
        <v>1221707913.49</v>
      </c>
      <c r="K16" s="525">
        <f>IFERROR(VLOOKUP($A16,'PP DS Query'!$C$1:$R$1005,11,FALSE),0)</f>
        <v>23.785626069999999</v>
      </c>
      <c r="L16" s="443">
        <f>IFERROR(VLOOKUP($A16,'PP DS Query'!$C$1:$R$1005,12,FALSE),0)</f>
        <v>568759957.61000001</v>
      </c>
      <c r="M16" s="445">
        <f>IFERROR(VLOOKUP($A16,'PP DS Query'!$C$1:$R$1005,13,FALSE),0)</f>
        <v>0.54494661</v>
      </c>
      <c r="N16" s="443">
        <f>IFERROR(VLOOKUP($A16,'PP DS Query'!$C$1:$R$1005,14,FALSE),0)</f>
        <v>13030719.039999999</v>
      </c>
      <c r="O16" s="446">
        <f>IFERROR(VLOOKUP($A16,'PP DS Query'!$C$1:$R$1005,4,FALSE),0)</f>
        <v>-0.02</v>
      </c>
      <c r="P16" s="443">
        <f>-IFERROR(VLOOKUP($A16,'PP DS Query'!$C$1:$R$1005,15,FALSE),0)</f>
        <v>478238.37</v>
      </c>
      <c r="Q16" s="443">
        <f>IFERROR(VLOOKUP($A16,'PP DS Query'!$C$1:$R$1005,16,FALSE),0)</f>
        <v>12429312.470000001</v>
      </c>
      <c r="R16" s="48"/>
      <c r="U16" s="473">
        <f>SUM(U13:U15)</f>
        <v>0</v>
      </c>
      <c r="V16" s="473">
        <f>SUM(V13:V15)</f>
        <v>-23911918.73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1198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396" t="s">
        <v>469</v>
      </c>
      <c r="B19" s="499">
        <f>IFERROR(VLOOKUP($A19,'PP DS Query'!$C$1:$R$1005,5,FALSE),0)</f>
        <v>2045</v>
      </c>
      <c r="C19" s="33">
        <f>IFERROR(VLOOKUP($A19,'PP DS Query'!$C$1:$R$1005,3,FALSE),0)</f>
        <v>60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95071409.140000001</v>
      </c>
      <c r="G19" s="523">
        <f>IFERROR(VLOOKUP($A19,'PP DS Query'!$C$1:$R$1005,7,FALSE),0)</f>
        <v>27.79670827</v>
      </c>
      <c r="H19" s="358">
        <f>IFERROR(VLOOKUP($A19,'PP DS Query'!$C$1:$R$1005,8,FALSE),0)</f>
        <v>2642672224.5599999</v>
      </c>
      <c r="I19" s="523">
        <f>IFERROR(VLOOKUP($A19,'PP DS Query'!$C$1:$R$1005,9,FALSE),0)</f>
        <v>49.76</v>
      </c>
      <c r="J19" s="358">
        <f>IFERROR(VLOOKUP($A19,'PP DS Query'!$C$1:$R$1005,10,FALSE),0)</f>
        <v>4730753318.8100004</v>
      </c>
      <c r="K19" s="523">
        <f>IFERROR(VLOOKUP($A19,'PP DS Query'!$C$1:$R$1005,11,FALSE),0)</f>
        <v>25.5</v>
      </c>
      <c r="L19" s="358">
        <f>IFERROR(VLOOKUP($A19,'PP DS Query'!$C$1:$R$1005,12,FALSE),0)</f>
        <v>2424320933.0700002</v>
      </c>
      <c r="M19" s="19">
        <f>IFERROR(VLOOKUP($A19,'PP DS Query'!$C$1:$R$1005,13,FALSE),0)</f>
        <v>0.51191405000000001</v>
      </c>
      <c r="N19" s="358">
        <f>IFERROR(VLOOKUP($A19,'PP DS Query'!$C$1:$R$1005,14,FALSE),0)</f>
        <v>48668390.009999998</v>
      </c>
      <c r="O19" s="56">
        <f>IFERROR(VLOOKUP($A19,'PP DS Query'!$C$1:$R$1005,4,FALSE),0)</f>
        <v>-0.05</v>
      </c>
      <c r="P19" s="358">
        <f>-IFERROR(VLOOKUP($A19,'PP DS Query'!$C$1:$R$1005,15,FALSE),0)</f>
        <v>4753570.46</v>
      </c>
      <c r="Q19" s="358">
        <f>IFERROR(VLOOKUP($A19,'PP DS Query'!$C$1:$R$1005,16,FALSE),0)</f>
        <v>36138403.710000001</v>
      </c>
      <c r="R19" s="48"/>
      <c r="S19" s="472">
        <f>IFERROR(ROUND(LEFT(A19,7)*100,0),0)</f>
        <v>31245</v>
      </c>
      <c r="T19" s="472" t="s">
        <v>962</v>
      </c>
      <c r="U19" s="474">
        <f>IFERROR(VLOOKUP($S19,#REF!,6,FALSE),0)</f>
        <v>0</v>
      </c>
      <c r="V19" s="473">
        <f>U19-F19</f>
        <v>-95071409.140000001</v>
      </c>
    </row>
    <row r="20" spans="1:22" ht="15.95" customHeight="1" x14ac:dyDescent="0.2">
      <c r="A20" s="49" t="s">
        <v>470</v>
      </c>
      <c r="B20" s="499">
        <f>IFERROR(VLOOKUP($A20,'PP DS Query'!$C$1:$R$1005,5,FALSE),0)</f>
        <v>2045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58266298.219999999</v>
      </c>
      <c r="G20" s="523">
        <f>IFERROR(VLOOKUP($A20,'PP DS Query'!$C$1:$R$1005,7,FALSE),0)</f>
        <v>16.929876409999999</v>
      </c>
      <c r="H20" s="358">
        <f>IFERROR(VLOOKUP($A20,'PP DS Query'!$C$1:$R$1005,8,FALSE),0)</f>
        <v>986441227.90999997</v>
      </c>
      <c r="I20" s="523">
        <f>IFERROR(VLOOKUP($A20,'PP DS Query'!$C$1:$R$1005,9,FALSE),0)</f>
        <v>32.46</v>
      </c>
      <c r="J20" s="358">
        <f>IFERROR(VLOOKUP($A20,'PP DS Query'!$C$1:$R$1005,10,FALSE),0)</f>
        <v>1891324040.22</v>
      </c>
      <c r="K20" s="523">
        <f>IFERROR(VLOOKUP($A20,'PP DS Query'!$C$1:$R$1005,11,FALSE),0)</f>
        <v>17.651633</v>
      </c>
      <c r="L20" s="358">
        <f>IFERROR(VLOOKUP($A20,'PP DS Query'!$C$1:$R$1005,12,FALSE),0)</f>
        <v>1028495312.45</v>
      </c>
      <c r="M20" s="19">
        <f>IFERROR(VLOOKUP($A20,'PP DS Query'!$C$1:$R$1005,13,FALSE),0)</f>
        <v>0.47903498999999999</v>
      </c>
      <c r="N20" s="358">
        <f>IFERROR(VLOOKUP($A20,'PP DS Query'!$C$1:$R$1005,14,FALSE),0)</f>
        <v>27911595.600000001</v>
      </c>
      <c r="O20" s="56">
        <f>IFERROR(VLOOKUP($A20,'PP DS Query'!$C$1:$R$1005,4,FALSE),0)</f>
        <v>-0.05</v>
      </c>
      <c r="P20" s="358">
        <f>-IFERROR(VLOOKUP($A20,'PP DS Query'!$C$1:$R$1005,15,FALSE),0)</f>
        <v>2913314.91</v>
      </c>
      <c r="Q20" s="358">
        <f>IFERROR(VLOOKUP($A20,'PP DS Query'!$C$1:$R$1005,16,FALSE),0)</f>
        <v>20725577.93</v>
      </c>
      <c r="R20" s="48"/>
      <c r="S20" s="472">
        <f t="shared" ref="S20:S21" si="2">IFERROR(ROUND(LEFT(A20,7)*100,0),0)</f>
        <v>31245</v>
      </c>
      <c r="T20" s="472" t="s">
        <v>963</v>
      </c>
      <c r="U20" s="474">
        <f>IFERROR(VLOOKUP($S20,#REF!,7,FALSE),0)</f>
        <v>0</v>
      </c>
      <c r="V20" s="473">
        <f t="shared" ref="V20:V21" si="3">U20-F20</f>
        <v>-58266298.219999999</v>
      </c>
    </row>
    <row r="21" spans="1:22" ht="15.95" customHeight="1" thickBot="1" x14ac:dyDescent="0.25">
      <c r="A21" s="49" t="s">
        <v>471</v>
      </c>
      <c r="B21" s="499">
        <f>IFERROR(VLOOKUP($A21,'PP DS Query'!$C$1:$R$1005,5,FALSE),0)</f>
        <v>2045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5863354.1399999997</v>
      </c>
      <c r="G21" s="524">
        <f>IFERROR(VLOOKUP($A21,'PP DS Query'!$C$1:$R$1005,7,FALSE),0)</f>
        <v>17.658179149999999</v>
      </c>
      <c r="H21" s="250">
        <f>IFERROR(VLOOKUP($A21,'PP DS Query'!$C$1:$R$1005,8,FALSE),0)</f>
        <v>103536157.84999999</v>
      </c>
      <c r="I21" s="524">
        <f>IFERROR(VLOOKUP($A21,'PP DS Query'!$C$1:$R$1005,9,FALSE),0)</f>
        <v>20</v>
      </c>
      <c r="J21" s="250">
        <f>IFERROR(VLOOKUP($A21,'PP DS Query'!$C$1:$R$1005,10,FALSE),0)</f>
        <v>117267082.8</v>
      </c>
      <c r="K21" s="524">
        <f>IFERROR(VLOOKUP($A21,'PP DS Query'!$C$1:$R$1005,11,FALSE),0)</f>
        <v>6.5289929999999998</v>
      </c>
      <c r="L21" s="250">
        <f>IFERROR(VLOOKUP($A21,'PP DS Query'!$C$1:$R$1005,12,FALSE),0)</f>
        <v>38281798.140000001</v>
      </c>
      <c r="M21" s="21">
        <f>IFERROR(VLOOKUP($A21,'PP DS Query'!$C$1:$R$1005,13,FALSE),0)</f>
        <v>0.70722788000000003</v>
      </c>
      <c r="N21" s="250">
        <f>IFERROR(VLOOKUP($A21,'PP DS Query'!$C$1:$R$1005,14,FALSE),0)</f>
        <v>4146727.5</v>
      </c>
      <c r="O21" s="57">
        <f>IFERROR(VLOOKUP($A21,'PP DS Query'!$C$1:$R$1005,4,FALSE),0)</f>
        <v>-0.05</v>
      </c>
      <c r="P21" s="250">
        <f>-IFERROR(VLOOKUP($A21,'PP DS Query'!$C$1:$R$1005,15,FALSE),0)</f>
        <v>293167.71000000002</v>
      </c>
      <c r="Q21" s="250">
        <f>IFERROR(VLOOKUP($A21,'PP DS Query'!$C$1:$R$1005,16,FALSE),0)</f>
        <v>3079126.15</v>
      </c>
      <c r="R21" s="48"/>
      <c r="S21" s="472">
        <f t="shared" si="2"/>
        <v>31245</v>
      </c>
      <c r="T21" s="472" t="s">
        <v>964</v>
      </c>
      <c r="U21" s="475">
        <f>IFERROR(VLOOKUP($S21,#REF!,8,FALSE),0)</f>
        <v>0</v>
      </c>
      <c r="V21" s="476">
        <f t="shared" si="3"/>
        <v>-5863354.1399999997</v>
      </c>
    </row>
    <row r="22" spans="1:22" ht="15.95" customHeight="1" x14ac:dyDescent="0.2">
      <c r="A22" s="49" t="s">
        <v>472</v>
      </c>
      <c r="B22" s="499">
        <f>IFERROR(VLOOKUP($A22,'PP DS Query'!$C$1:$R$1005,5,FALSE),0)</f>
        <v>2045</v>
      </c>
      <c r="C22" s="33"/>
      <c r="D22" s="34"/>
      <c r="E22" s="15"/>
      <c r="F22" s="443">
        <f>IFERROR(VLOOKUP($A22,'PP DS Query'!$C$1:$R$1005,6,FALSE),0)</f>
        <v>159201061.5</v>
      </c>
      <c r="G22" s="525">
        <f>IFERROR(VLOOKUP($A22,'PP DS Query'!$C$1:$R$1005,7,FALSE),0)</f>
        <v>23.44613519</v>
      </c>
      <c r="H22" s="443">
        <f>IFERROR(VLOOKUP($A22,'PP DS Query'!$C$1:$R$1005,8,FALSE),0)</f>
        <v>3732649610.3200002</v>
      </c>
      <c r="I22" s="525">
        <f>IFERROR(VLOOKUP($A22,'PP DS Query'!$C$1:$R$1005,9,FALSE),0)</f>
        <v>42.332283330000003</v>
      </c>
      <c r="J22" s="443">
        <f>IFERROR(VLOOKUP($A22,'PP DS Query'!$C$1:$R$1005,10,FALSE),0)</f>
        <v>6739344441.8299999</v>
      </c>
      <c r="K22" s="525">
        <f>IFERROR(VLOOKUP($A22,'PP DS Query'!$C$1:$R$1005,11,FALSE),0)</f>
        <v>21.928861600000001</v>
      </c>
      <c r="L22" s="443">
        <f>IFERROR(VLOOKUP($A22,'PP DS Query'!$C$1:$R$1005,12,FALSE),0)</f>
        <v>3491098043.6500001</v>
      </c>
      <c r="M22" s="445">
        <f>IFERROR(VLOOKUP($A22,'PP DS Query'!$C$1:$R$1005,13,FALSE),0)</f>
        <v>0.50707396000000005</v>
      </c>
      <c r="N22" s="443">
        <f>IFERROR(VLOOKUP($A22,'PP DS Query'!$C$1:$R$1005,14,FALSE),0)</f>
        <v>80726713.109999999</v>
      </c>
      <c r="O22" s="446">
        <f>IFERROR(VLOOKUP($A22,'PP DS Query'!$C$1:$R$1005,4,FALSE),0)</f>
        <v>-0.05</v>
      </c>
      <c r="P22" s="443">
        <f>-IFERROR(VLOOKUP($A22,'PP DS Query'!$C$1:$R$1005,15,FALSE),0)</f>
        <v>7960053.0800000001</v>
      </c>
      <c r="Q22" s="443">
        <f>IFERROR(VLOOKUP($A22,'PP DS Query'!$C$1:$R$1005,16,FALSE),0)</f>
        <v>59943107.789999999</v>
      </c>
      <c r="R22" s="48"/>
      <c r="U22" s="473">
        <f>SUM(U19:U21)</f>
        <v>0</v>
      </c>
      <c r="V22" s="473">
        <f>SUM(V19:V21)</f>
        <v>-159201061.5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1199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396" t="s">
        <v>1020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31445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1021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31445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1022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31445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1094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1200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533</v>
      </c>
      <c r="B31" s="499">
        <f>IFERROR(VLOOKUP($A31,'PP DS Query'!$C$1:$R$1005,5,FALSE),0)</f>
        <v>2045</v>
      </c>
      <c r="C31" s="33">
        <f>IFERROR(VLOOKUP($A31,'PP DS Query'!$C$1:$R$1005,3,FALSE),0)</f>
        <v>60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11055210.689999999</v>
      </c>
      <c r="G31" s="523">
        <f>IFERROR(VLOOKUP($A31,'PP DS Query'!$C$1:$R$1005,7,FALSE),0)</f>
        <v>32.153596630000003</v>
      </c>
      <c r="H31" s="358">
        <f>IFERROR(VLOOKUP($A31,'PP DS Query'!$C$1:$R$1005,8,FALSE),0)</f>
        <v>355464785.13999999</v>
      </c>
      <c r="I31" s="523">
        <f>IFERROR(VLOOKUP($A31,'PP DS Query'!$C$1:$R$1005,9,FALSE),0)</f>
        <v>55.59</v>
      </c>
      <c r="J31" s="358">
        <f>IFERROR(VLOOKUP($A31,'PP DS Query'!$C$1:$R$1005,10,FALSE),0)</f>
        <v>614559162.25999999</v>
      </c>
      <c r="K31" s="523">
        <f>IFERROR(VLOOKUP($A31,'PP DS Query'!$C$1:$R$1005,11,FALSE),0)</f>
        <v>25.5</v>
      </c>
      <c r="L31" s="358">
        <f>IFERROR(VLOOKUP($A31,'PP DS Query'!$C$1:$R$1005,12,FALSE),0)</f>
        <v>281907872.60000002</v>
      </c>
      <c r="M31" s="19">
        <f>IFERROR(VLOOKUP($A31,'PP DS Query'!$C$1:$R$1005,13,FALSE),0)</f>
        <v>0.56832872999999995</v>
      </c>
      <c r="N31" s="358">
        <f>IFERROR(VLOOKUP($A31,'PP DS Query'!$C$1:$R$1005,14,FALSE),0)</f>
        <v>6282993.8600000003</v>
      </c>
      <c r="O31" s="56">
        <f>IFERROR(VLOOKUP($A31,'PP DS Query'!$C$1:$R$1005,4,FALSE),0)</f>
        <v>-0.05</v>
      </c>
      <c r="P31" s="358">
        <f>-IFERROR(VLOOKUP($A31,'PP DS Query'!$C$1:$R$1005,15,FALSE),0)</f>
        <v>552760.53</v>
      </c>
      <c r="Q31" s="358">
        <f>IFERROR(VLOOKUP($A31,'PP DS Query'!$C$1:$R$1005,16,FALSE),0)</f>
        <v>6687077.4000000004</v>
      </c>
      <c r="R31" s="48"/>
      <c r="S31" s="472">
        <f>IFERROR(ROUND(LEFT(A31,7)*100,0),0)</f>
        <v>31545</v>
      </c>
      <c r="T31" s="472" t="s">
        <v>962</v>
      </c>
      <c r="U31" s="474">
        <f>IFERROR(VLOOKUP($S31,#REF!,6,FALSE),0)</f>
        <v>0</v>
      </c>
      <c r="V31" s="473">
        <f>U31-F31</f>
        <v>-11055210.689999999</v>
      </c>
    </row>
    <row r="32" spans="1:22" ht="15.95" customHeight="1" x14ac:dyDescent="0.2">
      <c r="A32" s="49" t="s">
        <v>534</v>
      </c>
      <c r="B32" s="499">
        <f>IFERROR(VLOOKUP($A32,'PP DS Query'!$C$1:$R$1005,5,FALSE),0)</f>
        <v>2045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13719480.33</v>
      </c>
      <c r="G32" s="523">
        <f>IFERROR(VLOOKUP($A32,'PP DS Query'!$C$1:$R$1005,7,FALSE),0)</f>
        <v>20.163367139999998</v>
      </c>
      <c r="H32" s="358">
        <f>IFERROR(VLOOKUP($A32,'PP DS Query'!$C$1:$R$1005,8,FALSE),0)</f>
        <v>276630918.92000002</v>
      </c>
      <c r="I32" s="523">
        <f>IFERROR(VLOOKUP($A32,'PP DS Query'!$C$1:$R$1005,9,FALSE),0)</f>
        <v>33.36</v>
      </c>
      <c r="J32" s="358">
        <f>IFERROR(VLOOKUP($A32,'PP DS Query'!$C$1:$R$1005,10,FALSE),0)</f>
        <v>457681863.81</v>
      </c>
      <c r="K32" s="523">
        <f>IFERROR(VLOOKUP($A32,'PP DS Query'!$C$1:$R$1005,11,FALSE),0)</f>
        <v>15.591085</v>
      </c>
      <c r="L32" s="358">
        <f>IFERROR(VLOOKUP($A32,'PP DS Query'!$C$1:$R$1005,12,FALSE),0)</f>
        <v>213901583.97999999</v>
      </c>
      <c r="M32" s="19">
        <f>IFERROR(VLOOKUP($A32,'PP DS Query'!$C$1:$R$1005,13,FALSE),0)</f>
        <v>0.55929775000000004</v>
      </c>
      <c r="N32" s="358">
        <f>IFERROR(VLOOKUP($A32,'PP DS Query'!$C$1:$R$1005,14,FALSE),0)</f>
        <v>7673274.5300000003</v>
      </c>
      <c r="O32" s="56">
        <f>IFERROR(VLOOKUP($A32,'PP DS Query'!$C$1:$R$1005,4,FALSE),0)</f>
        <v>-0.05</v>
      </c>
      <c r="P32" s="358">
        <f>-IFERROR(VLOOKUP($A32,'PP DS Query'!$C$1:$R$1005,15,FALSE),0)</f>
        <v>685974.02</v>
      </c>
      <c r="Q32" s="358">
        <f>IFERROR(VLOOKUP($A32,'PP DS Query'!$C$1:$R$1005,16,FALSE),0)</f>
        <v>8166772.3700000001</v>
      </c>
      <c r="R32" s="48"/>
      <c r="S32" s="472">
        <f t="shared" ref="S32:S33" si="6">IFERROR(ROUND(LEFT(A32,7)*100,0),0)</f>
        <v>31545</v>
      </c>
      <c r="T32" s="472" t="s">
        <v>963</v>
      </c>
      <c r="U32" s="474">
        <f>IFERROR(VLOOKUP($S32,#REF!,7,FALSE),0)</f>
        <v>0</v>
      </c>
      <c r="V32" s="473">
        <f t="shared" ref="V32:V33" si="7">U32-F32</f>
        <v>-13719480.33</v>
      </c>
    </row>
    <row r="33" spans="1:22" ht="15.95" customHeight="1" thickBot="1" x14ac:dyDescent="0.25">
      <c r="A33" s="49" t="s">
        <v>535</v>
      </c>
      <c r="B33" s="499">
        <f>IFERROR(VLOOKUP($A33,'PP DS Query'!$C$1:$R$1005,5,FALSE),0)</f>
        <v>2045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2153102.54</v>
      </c>
      <c r="G33" s="524">
        <f>IFERROR(VLOOKUP($A33,'PP DS Query'!$C$1:$R$1005,7,FALSE),0)</f>
        <v>7.7079563999999996</v>
      </c>
      <c r="H33" s="250">
        <f>IFERROR(VLOOKUP($A33,'PP DS Query'!$C$1:$R$1005,8,FALSE),0)</f>
        <v>16596020.5</v>
      </c>
      <c r="I33" s="524">
        <f>IFERROR(VLOOKUP($A33,'PP DS Query'!$C$1:$R$1005,9,FALSE),0)</f>
        <v>20</v>
      </c>
      <c r="J33" s="250">
        <f>IFERROR(VLOOKUP($A33,'PP DS Query'!$C$1:$R$1005,10,FALSE),0)</f>
        <v>43062050.799999997</v>
      </c>
      <c r="K33" s="524">
        <f>IFERROR(VLOOKUP($A33,'PP DS Query'!$C$1:$R$1005,11,FALSE),0)</f>
        <v>12.709194999999999</v>
      </c>
      <c r="L33" s="250">
        <f>IFERROR(VLOOKUP($A33,'PP DS Query'!$C$1:$R$1005,12,FALSE),0)</f>
        <v>27364200.039999999</v>
      </c>
      <c r="M33" s="21">
        <f>IFERROR(VLOOKUP($A33,'PP DS Query'!$C$1:$R$1005,13,FALSE),0)</f>
        <v>0.38276726</v>
      </c>
      <c r="N33" s="250">
        <f>IFERROR(VLOOKUP($A33,'PP DS Query'!$C$1:$R$1005,14,FALSE),0)</f>
        <v>824137.17</v>
      </c>
      <c r="O33" s="57">
        <f>IFERROR(VLOOKUP($A33,'PP DS Query'!$C$1:$R$1005,4,FALSE),0)</f>
        <v>-0.05</v>
      </c>
      <c r="P33" s="250">
        <f>-IFERROR(VLOOKUP($A33,'PP DS Query'!$C$1:$R$1005,15,FALSE),0)</f>
        <v>107655.13</v>
      </c>
      <c r="Q33" s="250">
        <f>IFERROR(VLOOKUP($A33,'PP DS Query'!$C$1:$R$1005,16,FALSE),0)</f>
        <v>877140.61</v>
      </c>
      <c r="R33" s="48"/>
      <c r="S33" s="472">
        <f t="shared" si="6"/>
        <v>31545</v>
      </c>
      <c r="T33" s="472" t="s">
        <v>964</v>
      </c>
      <c r="U33" s="475">
        <f>IFERROR(VLOOKUP($S33,#REF!,8,FALSE),0)</f>
        <v>0</v>
      </c>
      <c r="V33" s="476">
        <f t="shared" si="7"/>
        <v>-2153102.54</v>
      </c>
    </row>
    <row r="34" spans="1:22" ht="15.95" customHeight="1" x14ac:dyDescent="0.2">
      <c r="A34" s="49" t="s">
        <v>536</v>
      </c>
      <c r="B34" s="499">
        <f>IFERROR(VLOOKUP($A34,'PP DS Query'!$C$1:$R$1005,5,FALSE),0)</f>
        <v>2045</v>
      </c>
      <c r="C34" s="33"/>
      <c r="D34" s="34"/>
      <c r="E34" s="15"/>
      <c r="F34" s="443">
        <f>IFERROR(VLOOKUP($A34,'PP DS Query'!$C$1:$R$1005,6,FALSE),0)</f>
        <v>26927793.559999999</v>
      </c>
      <c r="G34" s="525">
        <f>IFERROR(VLOOKUP($A34,'PP DS Query'!$C$1:$R$1005,7,FALSE),0)</f>
        <v>24.090043739999999</v>
      </c>
      <c r="H34" s="443">
        <f>IFERROR(VLOOKUP($A34,'PP DS Query'!$C$1:$R$1005,8,FALSE),0)</f>
        <v>648691724.54999995</v>
      </c>
      <c r="I34" s="525">
        <f>IFERROR(VLOOKUP($A34,'PP DS Query'!$C$1:$R$1005,9,FALSE),0)</f>
        <v>41.418286809999998</v>
      </c>
      <c r="J34" s="443">
        <f>IFERROR(VLOOKUP($A34,'PP DS Query'!$C$1:$R$1005,10,FALSE),0)</f>
        <v>1115303076.8699999</v>
      </c>
      <c r="K34" s="525">
        <f>IFERROR(VLOOKUP($A34,'PP DS Query'!$C$1:$R$1005,11,FALSE),0)</f>
        <v>19.42876068</v>
      </c>
      <c r="L34" s="443">
        <f>IFERROR(VLOOKUP($A34,'PP DS Query'!$C$1:$R$1005,12,FALSE),0)</f>
        <v>523173656.61000001</v>
      </c>
      <c r="M34" s="445">
        <f>IFERROR(VLOOKUP($A34,'PP DS Query'!$C$1:$R$1005,13,FALSE),0)</f>
        <v>0.54889032999999998</v>
      </c>
      <c r="N34" s="443">
        <f>IFERROR(VLOOKUP($A34,'PP DS Query'!$C$1:$R$1005,14,FALSE),0)</f>
        <v>14780405.560000001</v>
      </c>
      <c r="O34" s="446">
        <f>IFERROR(VLOOKUP($A34,'PP DS Query'!$C$1:$R$1005,4,FALSE),0)</f>
        <v>-0.05</v>
      </c>
      <c r="P34" s="443">
        <f>-IFERROR(VLOOKUP($A34,'PP DS Query'!$C$1:$R$1005,15,FALSE),0)</f>
        <v>1346389.68</v>
      </c>
      <c r="Q34" s="443">
        <f>IFERROR(VLOOKUP($A34,'PP DS Query'!$C$1:$R$1005,16,FALSE),0)</f>
        <v>15730990.380000001</v>
      </c>
      <c r="R34" s="48"/>
      <c r="U34" s="473">
        <f>SUM(U31:U33)</f>
        <v>0</v>
      </c>
      <c r="V34" s="473">
        <f>SUM(V31:V33)</f>
        <v>-26927793.559999999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1201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574</v>
      </c>
      <c r="B37" s="499">
        <f>IFERROR(VLOOKUP($A37,'PP DS Query'!$C$1:$R$1005,5,FALSE),0)</f>
        <v>2045</v>
      </c>
      <c r="C37" s="33">
        <f>IFERROR(VLOOKUP($A37,'PP DS Query'!$C$1:$R$1005,3,FALSE),0)</f>
        <v>60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609605.34</v>
      </c>
      <c r="G37" s="523">
        <f>IFERROR(VLOOKUP($A37,'PP DS Query'!$C$1:$R$1005,7,FALSE),0)</f>
        <v>34.497700399999999</v>
      </c>
      <c r="H37" s="358">
        <f>IFERROR(VLOOKUP($A37,'PP DS Query'!$C$1:$R$1005,8,FALSE),0)</f>
        <v>21029982.379999999</v>
      </c>
      <c r="I37" s="523">
        <f>IFERROR(VLOOKUP($A37,'PP DS Query'!$C$1:$R$1005,9,FALSE),0)</f>
        <v>60</v>
      </c>
      <c r="J37" s="358">
        <f>IFERROR(VLOOKUP($A37,'PP DS Query'!$C$1:$R$1005,10,FALSE),0)</f>
        <v>36576320.399999999</v>
      </c>
      <c r="K37" s="523">
        <f>IFERROR(VLOOKUP($A37,'PP DS Query'!$C$1:$R$1005,11,FALSE),0)</f>
        <v>25.5</v>
      </c>
      <c r="L37" s="358">
        <f>IFERROR(VLOOKUP($A37,'PP DS Query'!$C$1:$R$1005,12,FALSE),0)</f>
        <v>15544936.17</v>
      </c>
      <c r="M37" s="19">
        <f>IFERROR(VLOOKUP($A37,'PP DS Query'!$C$1:$R$1005,13,FALSE),0)</f>
        <v>0.58648310000000003</v>
      </c>
      <c r="N37" s="358">
        <f>IFERROR(VLOOKUP($A37,'PP DS Query'!$C$1:$R$1005,14,FALSE),0)</f>
        <v>357523.23</v>
      </c>
      <c r="O37" s="56">
        <f>IFERROR(VLOOKUP($A37,'PP DS Query'!$C$1:$R$1005,4,FALSE),0)</f>
        <v>-0.02</v>
      </c>
      <c r="P37" s="358">
        <f>-IFERROR(VLOOKUP($A37,'PP DS Query'!$C$1:$R$1005,15,FALSE),0)</f>
        <v>12192.11</v>
      </c>
      <c r="Q37" s="358">
        <f>IFERROR(VLOOKUP($A37,'PP DS Query'!$C$1:$R$1005,16,FALSE),0)</f>
        <v>514611.42</v>
      </c>
      <c r="R37" s="48"/>
      <c r="S37" s="472">
        <f>IFERROR(ROUND(LEFT(A37,7)*100,0),0)</f>
        <v>31645</v>
      </c>
      <c r="T37" s="472" t="s">
        <v>962</v>
      </c>
      <c r="U37" s="474">
        <f>IFERROR(VLOOKUP($S37,#REF!,6,FALSE),0)</f>
        <v>0</v>
      </c>
      <c r="V37" s="473">
        <f>U37-F37</f>
        <v>-609605.34</v>
      </c>
    </row>
    <row r="38" spans="1:22" ht="15.95" customHeight="1" x14ac:dyDescent="0.2">
      <c r="A38" s="49" t="s">
        <v>575</v>
      </c>
      <c r="B38" s="499">
        <f>IFERROR(VLOOKUP($A38,'PP DS Query'!$C$1:$R$1005,5,FALSE),0)</f>
        <v>2045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32447.5</v>
      </c>
      <c r="G38" s="523">
        <f>IFERROR(VLOOKUP($A38,'PP DS Query'!$C$1:$R$1005,7,FALSE),0)</f>
        <v>28.176779100000001</v>
      </c>
      <c r="H38" s="358">
        <f>IFERROR(VLOOKUP($A38,'PP DS Query'!$C$1:$R$1005,8,FALSE),0)</f>
        <v>914266.04</v>
      </c>
      <c r="I38" s="523">
        <f>IFERROR(VLOOKUP($A38,'PP DS Query'!$C$1:$R$1005,9,FALSE),0)</f>
        <v>34.42</v>
      </c>
      <c r="J38" s="358">
        <f>IFERROR(VLOOKUP($A38,'PP DS Query'!$C$1:$R$1005,10,FALSE),0)</f>
        <v>1116842.95</v>
      </c>
      <c r="K38" s="523">
        <f>IFERROR(VLOOKUP($A38,'PP DS Query'!$C$1:$R$1005,11,FALSE),0)</f>
        <v>9.8457989999999995</v>
      </c>
      <c r="L38" s="358">
        <f>IFERROR(VLOOKUP($A38,'PP DS Query'!$C$1:$R$1005,12,FALSE),0)</f>
        <v>319471.56</v>
      </c>
      <c r="M38" s="19">
        <f>IFERROR(VLOOKUP($A38,'PP DS Query'!$C$1:$R$1005,13,FALSE),0)</f>
        <v>0.72821049000000004</v>
      </c>
      <c r="N38" s="358">
        <f>IFERROR(VLOOKUP($A38,'PP DS Query'!$C$1:$R$1005,14,FALSE),0)</f>
        <v>23628.61</v>
      </c>
      <c r="O38" s="56">
        <f>IFERROR(VLOOKUP($A38,'PP DS Query'!$C$1:$R$1005,4,FALSE),0)</f>
        <v>-0.02</v>
      </c>
      <c r="P38" s="358">
        <f>-IFERROR(VLOOKUP($A38,'PP DS Query'!$C$1:$R$1005,15,FALSE),0)</f>
        <v>648.95000000000005</v>
      </c>
      <c r="Q38" s="358">
        <f>IFERROR(VLOOKUP($A38,'PP DS Query'!$C$1:$R$1005,16,FALSE),0)</f>
        <v>34010.519999999997</v>
      </c>
      <c r="R38" s="48"/>
      <c r="S38" s="472">
        <f t="shared" ref="S38:S39" si="8">IFERROR(ROUND(LEFT(A38,7)*100,0),0)</f>
        <v>31645</v>
      </c>
      <c r="T38" s="472" t="s">
        <v>963</v>
      </c>
      <c r="U38" s="474">
        <f>IFERROR(VLOOKUP($S38,#REF!,7,FALSE),0)</f>
        <v>0</v>
      </c>
      <c r="V38" s="473">
        <f t="shared" ref="V38:V39" si="9">U38-F38</f>
        <v>-32447.5</v>
      </c>
    </row>
    <row r="39" spans="1:22" ht="15.95" customHeight="1" thickBot="1" x14ac:dyDescent="0.25">
      <c r="A39" s="49" t="s">
        <v>576</v>
      </c>
      <c r="B39" s="499">
        <f>IFERROR(VLOOKUP($A39,'PP DS Query'!$C$1:$R$1005,5,FALSE),0)</f>
        <v>2045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47360.93</v>
      </c>
      <c r="G39" s="524">
        <f>IFERROR(VLOOKUP($A39,'PP DS Query'!$C$1:$R$1005,7,FALSE),0)</f>
        <v>27.269242500000001</v>
      </c>
      <c r="H39" s="250">
        <f>IFERROR(VLOOKUP($A39,'PP DS Query'!$C$1:$R$1005,8,FALSE),0)</f>
        <v>1291496.69</v>
      </c>
      <c r="I39" s="524">
        <f>IFERROR(VLOOKUP($A39,'PP DS Query'!$C$1:$R$1005,9,FALSE),0)</f>
        <v>20</v>
      </c>
      <c r="J39" s="250">
        <f>IFERROR(VLOOKUP($A39,'PP DS Query'!$C$1:$R$1005,10,FALSE),0)</f>
        <v>947218.6</v>
      </c>
      <c r="K39" s="524">
        <f>IFERROR(VLOOKUP($A39,'PP DS Query'!$C$1:$R$1005,11,FALSE),0)</f>
        <v>2.0094379999999998</v>
      </c>
      <c r="L39" s="250">
        <f>IFERROR(VLOOKUP($A39,'PP DS Query'!$C$1:$R$1005,12,FALSE),0)</f>
        <v>95168.85</v>
      </c>
      <c r="M39" s="21">
        <f>IFERROR(VLOOKUP($A39,'PP DS Query'!$C$1:$R$1005,13,FALSE),0)</f>
        <v>0.91751872000000001</v>
      </c>
      <c r="N39" s="250">
        <f>IFERROR(VLOOKUP($A39,'PP DS Query'!$C$1:$R$1005,14,FALSE),0)</f>
        <v>43454.54</v>
      </c>
      <c r="O39" s="57">
        <f>IFERROR(VLOOKUP($A39,'PP DS Query'!$C$1:$R$1005,4,FALSE),0)</f>
        <v>-0.02</v>
      </c>
      <c r="P39" s="250">
        <f>-IFERROR(VLOOKUP($A39,'PP DS Query'!$C$1:$R$1005,15,FALSE),0)</f>
        <v>947.22</v>
      </c>
      <c r="Q39" s="250">
        <f>IFERROR(VLOOKUP($A39,'PP DS Query'!$C$1:$R$1005,16,FALSE),0)</f>
        <v>62547.55</v>
      </c>
      <c r="R39" s="48"/>
      <c r="S39" s="472">
        <f t="shared" si="8"/>
        <v>31645</v>
      </c>
      <c r="T39" s="472" t="s">
        <v>964</v>
      </c>
      <c r="U39" s="475">
        <f>IFERROR(VLOOKUP($S39,#REF!,8,FALSE),0)</f>
        <v>0</v>
      </c>
      <c r="V39" s="476">
        <f t="shared" si="9"/>
        <v>-47360.93</v>
      </c>
    </row>
    <row r="40" spans="1:22" ht="15.95" customHeight="1" x14ac:dyDescent="0.2">
      <c r="A40" s="49" t="s">
        <v>577</v>
      </c>
      <c r="B40" s="499">
        <f>IFERROR(VLOOKUP($A40,'PP DS Query'!$C$1:$R$1005,5,FALSE),0)</f>
        <v>2045</v>
      </c>
      <c r="C40" s="33"/>
      <c r="D40" s="34"/>
      <c r="E40" s="15"/>
      <c r="F40" s="443">
        <f>IFERROR(VLOOKUP($A40,'PP DS Query'!$C$1:$R$1005,6,FALSE),0)</f>
        <v>689413.77</v>
      </c>
      <c r="G40" s="525">
        <f>IFERROR(VLOOKUP($A40,'PP DS Query'!$C$1:$R$1005,7,FALSE),0)</f>
        <v>33.7036278</v>
      </c>
      <c r="H40" s="443">
        <f>IFERROR(VLOOKUP($A40,'PP DS Query'!$C$1:$R$1005,8,FALSE),0)</f>
        <v>23235745.109999999</v>
      </c>
      <c r="I40" s="525">
        <f>IFERROR(VLOOKUP($A40,'PP DS Query'!$C$1:$R$1005,9,FALSE),0)</f>
        <v>56.048172569999998</v>
      </c>
      <c r="J40" s="443">
        <f>IFERROR(VLOOKUP($A40,'PP DS Query'!$C$1:$R$1005,10,FALSE),0)</f>
        <v>38640381.950000003</v>
      </c>
      <c r="K40" s="525">
        <f>IFERROR(VLOOKUP($A40,'PP DS Query'!$C$1:$R$1005,11,FALSE),0)</f>
        <v>23.149489150000001</v>
      </c>
      <c r="L40" s="443">
        <f>IFERROR(VLOOKUP($A40,'PP DS Query'!$C$1:$R$1005,12,FALSE),0)</f>
        <v>15959576.59</v>
      </c>
      <c r="M40" s="445">
        <f>IFERROR(VLOOKUP($A40,'PP DS Query'!$C$1:$R$1005,13,FALSE),0)</f>
        <v>0.61589483</v>
      </c>
      <c r="N40" s="443">
        <f>IFERROR(VLOOKUP($A40,'PP DS Query'!$C$1:$R$1005,14,FALSE),0)</f>
        <v>424606.38</v>
      </c>
      <c r="O40" s="446">
        <f>IFERROR(VLOOKUP($A40,'PP DS Query'!$C$1:$R$1005,4,FALSE),0)</f>
        <v>-0.02</v>
      </c>
      <c r="P40" s="443">
        <f>-IFERROR(VLOOKUP($A40,'PP DS Query'!$C$1:$R$1005,15,FALSE),0)</f>
        <v>13788.28</v>
      </c>
      <c r="Q40" s="443">
        <f>IFERROR(VLOOKUP($A40,'PP DS Query'!$C$1:$R$1005,16,FALSE),0)</f>
        <v>611169.49</v>
      </c>
      <c r="R40" s="48"/>
      <c r="U40" s="473">
        <f>SUM(U37:U39)</f>
        <v>0</v>
      </c>
      <c r="V40" s="473">
        <f>SUM(V37:V39)</f>
        <v>-689413.77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3&amp;4 FGD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60</v>
      </c>
      <c r="D44" s="34" t="s">
        <v>22</v>
      </c>
      <c r="E44" s="360" t="s">
        <v>359</v>
      </c>
      <c r="F44" s="358">
        <f>F13+F19+F25+F31+F37</f>
        <v>126843163.05</v>
      </c>
      <c r="G44" s="523">
        <f>IF($F44=0,0,H44/$F44)</f>
        <v>28.887099677383834</v>
      </c>
      <c r="H44" s="358">
        <f>H13+H19+H25+H31+H37</f>
        <v>3664131094.4200001</v>
      </c>
      <c r="I44" s="523">
        <f>IF($F44=0,0,J44/$F44)</f>
        <v>51.189185389208099</v>
      </c>
      <c r="J44" s="358">
        <f>J13+J19+J25+J31+J37</f>
        <v>6492998188.7200003</v>
      </c>
      <c r="K44" s="523">
        <f>IF($F44=0,0,L44/$F44)</f>
        <v>25.500000000039421</v>
      </c>
      <c r="L44" s="358">
        <f>L13+L19+L25+L31+L37</f>
        <v>3234500657.7800002</v>
      </c>
      <c r="M44" s="19">
        <f>IF($F44=0,0,N44/$F44)</f>
        <v>0.52312352037329612</v>
      </c>
      <c r="N44" s="358">
        <f>N13+N19+N25+N31+N37</f>
        <v>66354641.989999995</v>
      </c>
      <c r="O44" s="56">
        <f>-IF($F44=0,0,P44/$F44)</f>
        <v>-4.5100277558869979E-2</v>
      </c>
      <c r="P44" s="358">
        <f t="shared" ref="P44:Q46" si="10">P13+P19+P25+P31+P37</f>
        <v>5720661.8600000003</v>
      </c>
      <c r="Q44" s="358">
        <f t="shared" si="10"/>
        <v>53876033.789999999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74924621.099999994</v>
      </c>
      <c r="G45" s="523">
        <f>IF($F45=0,0,H45/$F45)</f>
        <v>17.530997925059911</v>
      </c>
      <c r="H45" s="358">
        <f>H14+H20+H26+H32+H38</f>
        <v>1313503377.04</v>
      </c>
      <c r="I45" s="523">
        <f>IF($F45=0,0,J45/$F45)</f>
        <v>32.602761566985087</v>
      </c>
      <c r="J45" s="358">
        <f>J14+J20+J26+J32+J38</f>
        <v>2442749557.2199998</v>
      </c>
      <c r="K45" s="523">
        <f>IF($F45=0,0,L45/$F45)</f>
        <v>17.261845501411553</v>
      </c>
      <c r="L45" s="358">
        <f>L14+L20+L26+L32+L38</f>
        <v>1293337233.6800001</v>
      </c>
      <c r="M45" s="19">
        <f>IF($F45=0,0,N45/$F45)</f>
        <v>0.49320164463267474</v>
      </c>
      <c r="N45" s="358">
        <f>N14+N20+N26+N32+N38</f>
        <v>36952946.350000001</v>
      </c>
      <c r="O45" s="56">
        <f>-IF($F45=0,0,P45/$F45)</f>
        <v>-4.8823280335547808E-2</v>
      </c>
      <c r="P45" s="358">
        <f t="shared" si="10"/>
        <v>3658065.7800000003</v>
      </c>
      <c r="Q45" s="358">
        <f t="shared" si="10"/>
        <v>30208758.16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8962403.4100000001</v>
      </c>
      <c r="G46" s="524">
        <f>IF($F46=0,0,H46/$F46)</f>
        <v>15.595744217900586</v>
      </c>
      <c r="H46" s="250">
        <f>H15+H21+H27+H33+H39</f>
        <v>139775351.16</v>
      </c>
      <c r="I46" s="524">
        <f>IF($F46=0,0,J46/$F46)</f>
        <v>20</v>
      </c>
      <c r="J46" s="250">
        <f>J15+J21+J27+J33+J39</f>
        <v>179248068.20000002</v>
      </c>
      <c r="K46" s="524">
        <f>IF($F46=0,0,L46/$F46)</f>
        <v>7.9390917541838242</v>
      </c>
      <c r="L46" s="250">
        <f>L15+L21+L27+L33+L39</f>
        <v>71153343.00999999</v>
      </c>
      <c r="M46" s="21">
        <f>IF($F46=0,0,N46/$F46)</f>
        <v>0.63095304811770347</v>
      </c>
      <c r="N46" s="250">
        <f>N15+N21+N27+N33+N39</f>
        <v>5654855.75</v>
      </c>
      <c r="O46" s="57">
        <f>-IF($F46=0,0,P46/$F46)</f>
        <v>-4.6833618260439365E-2</v>
      </c>
      <c r="P46" s="250">
        <f t="shared" si="10"/>
        <v>419741.78</v>
      </c>
      <c r="Q46" s="250">
        <f t="shared" si="10"/>
        <v>4629788.18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210730187.55999997</v>
      </c>
      <c r="G47" s="525">
        <f>IF($F47=0,0,H47/$F47)</f>
        <v>24.284180078200471</v>
      </c>
      <c r="H47" s="443">
        <f>SUM(H44:H46)</f>
        <v>5117409822.6199999</v>
      </c>
      <c r="I47" s="525">
        <f>IF($F47=0,0,J47/$F47)</f>
        <v>43.254343004581351</v>
      </c>
      <c r="J47" s="443">
        <f>SUM(J44:J46)</f>
        <v>9114995814.1400013</v>
      </c>
      <c r="K47" s="525">
        <f>IF($F47=0,0,L47/$F47)</f>
        <v>21.82407412872708</v>
      </c>
      <c r="L47" s="443">
        <f>SUM(L44:L46)</f>
        <v>4598991234.4700003</v>
      </c>
      <c r="M47" s="445">
        <f>IF($F47=0,0,N47/$F47)</f>
        <v>0.51707088268488233</v>
      </c>
      <c r="N47" s="443">
        <f>SUM(N44:N46)</f>
        <v>108962444.09</v>
      </c>
      <c r="O47" s="446">
        <f>-IF($F47=0,0,P47/$F47)</f>
        <v>-4.6497701793247533E-2</v>
      </c>
      <c r="P47" s="443">
        <f>SUM(P44:P46)</f>
        <v>9798469.4199999999</v>
      </c>
      <c r="Q47" s="443">
        <f>SUM(Q44:Q46)</f>
        <v>88714580.129999995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31145</v>
      </c>
      <c r="F50" s="352">
        <f>IFERROR(VLOOKUP(E50,'2019 B-7'!C:P,14,FALSE),0)</f>
        <v>23911918.730000008</v>
      </c>
      <c r="G50" s="353">
        <f>F50-F16</f>
        <v>0</v>
      </c>
      <c r="P50" s="260">
        <f>E50</f>
        <v>31145</v>
      </c>
      <c r="Q50" s="352">
        <f>IFERROR(VLOOKUP(P50,'2019 B-9'!C:R,16,FALSE),0)</f>
        <v>12429312.470000003</v>
      </c>
      <c r="R50" s="353">
        <f>Q50-Q16</f>
        <v>0</v>
      </c>
    </row>
    <row r="51" spans="5:18" x14ac:dyDescent="0.2">
      <c r="E51" s="260">
        <v>31245</v>
      </c>
      <c r="F51" s="352">
        <f>IFERROR(VLOOKUP(E51,'2019 B-7'!C:P,14,FALSE),0)</f>
        <v>159201061.49999994</v>
      </c>
      <c r="G51" s="353">
        <f>F51-F22</f>
        <v>0</v>
      </c>
      <c r="P51" s="260">
        <f t="shared" ref="P51:P54" si="11">E51</f>
        <v>31245</v>
      </c>
      <c r="Q51" s="352">
        <f>IFERROR(VLOOKUP(P51,'2019 B-9'!C:R,16,FALSE),0)</f>
        <v>59943107.790000044</v>
      </c>
      <c r="R51" s="353">
        <f>Q51-Q22</f>
        <v>0</v>
      </c>
    </row>
    <row r="52" spans="5:18" x14ac:dyDescent="0.2">
      <c r="E52" s="260">
        <v>31445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31445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31545</v>
      </c>
      <c r="F53" s="352">
        <f>IFERROR(VLOOKUP(E53,'2019 B-7'!C:P,14,FALSE),0)</f>
        <v>26927793.559999995</v>
      </c>
      <c r="G53" s="353">
        <f>F53-F34</f>
        <v>0</v>
      </c>
      <c r="P53" s="260">
        <f t="shared" si="11"/>
        <v>31545</v>
      </c>
      <c r="Q53" s="352">
        <f>IFERROR(VLOOKUP(P53,'2019 B-9'!C:R,16,FALSE),0)</f>
        <v>15730990.379999984</v>
      </c>
      <c r="R53" s="353">
        <f>Q53-Q34</f>
        <v>-1.6763806343078613E-8</v>
      </c>
    </row>
    <row r="54" spans="5:18" x14ac:dyDescent="0.2">
      <c r="E54" s="260">
        <v>31645</v>
      </c>
      <c r="F54" s="352">
        <f>IFERROR(VLOOKUP(E54,'2019 B-7'!C:P,14,FALSE),0)</f>
        <v>689413.77</v>
      </c>
      <c r="G54" s="353">
        <f>F54-F40</f>
        <v>0</v>
      </c>
      <c r="P54" s="260">
        <f t="shared" si="11"/>
        <v>31645</v>
      </c>
      <c r="Q54" s="352">
        <f>IFERROR(VLOOKUP(P54,'2019 B-9'!C:R,16,FALSE),0)</f>
        <v>611169.49000000127</v>
      </c>
      <c r="R54" s="353">
        <f>Q54-Q40</f>
        <v>1.280568540096283E-9</v>
      </c>
    </row>
    <row r="55" spans="5:18" ht="13.5" thickBot="1" x14ac:dyDescent="0.25">
      <c r="E55" s="349" t="s">
        <v>40</v>
      </c>
      <c r="F55" s="354">
        <f>SUM(F50:F54)</f>
        <v>210730187.55999997</v>
      </c>
      <c r="G55" s="354">
        <f>SUM(G50:G54)</f>
        <v>0</v>
      </c>
      <c r="P55" s="349" t="s">
        <v>40</v>
      </c>
      <c r="Q55" s="354">
        <f>SUM(Q50:Q54)</f>
        <v>88714580.130000025</v>
      </c>
      <c r="R55" s="354">
        <f>SUM(R50:R54)</f>
        <v>-1.548323780298233E-8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-1.548323780298233E-8</v>
      </c>
    </row>
    <row r="57" spans="5:18" x14ac:dyDescent="0.2">
      <c r="E57" s="50"/>
      <c r="G57" s="18"/>
    </row>
    <row r="58" spans="5:18" x14ac:dyDescent="0.2">
      <c r="E58" s="50"/>
      <c r="G58" s="29"/>
    </row>
    <row r="59" spans="5:18" x14ac:dyDescent="0.2">
      <c r="E59" s="50"/>
      <c r="G59" s="29"/>
    </row>
    <row r="60" spans="5:18" x14ac:dyDescent="0.2">
      <c r="E60" s="50"/>
      <c r="G60" s="29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0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140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93</v>
      </c>
      <c r="D6" s="71"/>
      <c r="E6" s="6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2038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231" t="s">
        <v>1202</v>
      </c>
      <c r="E12" s="50"/>
      <c r="P12" s="18"/>
      <c r="Q12" s="18"/>
      <c r="R12" s="48"/>
    </row>
    <row r="13" spans="1:22" ht="15.95" customHeight="1" x14ac:dyDescent="0.2">
      <c r="A13" s="49" t="s">
        <v>429</v>
      </c>
      <c r="B13" s="499">
        <f>IFERROR(VLOOKUP($A13,'PP DS Query'!$C$1:$R$1005,5,FALSE),0)</f>
        <v>2038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9550465.2100000009</v>
      </c>
      <c r="G13" s="523">
        <f>IFERROR(VLOOKUP($A13,'PP DS Query'!$C$1:$R$1005,7,FALSE),0)</f>
        <v>19.85338793</v>
      </c>
      <c r="H13" s="358">
        <f>IFERROR(VLOOKUP($A13,'PP DS Query'!$C$1:$R$1005,8,FALSE),0)</f>
        <v>189609090.69</v>
      </c>
      <c r="I13" s="523">
        <f>IFERROR(VLOOKUP($A13,'PP DS Query'!$C$1:$R$1005,9,FALSE),0)</f>
        <v>38.03</v>
      </c>
      <c r="J13" s="358">
        <f>IFERROR(VLOOKUP($A13,'PP DS Query'!$C$1:$R$1005,10,FALSE),0)</f>
        <v>363204191.94</v>
      </c>
      <c r="K13" s="523">
        <f>IFERROR(VLOOKUP($A13,'PP DS Query'!$C$1:$R$1005,11,FALSE),0)</f>
        <v>18.5</v>
      </c>
      <c r="L13" s="358">
        <f>IFERROR(VLOOKUP($A13,'PP DS Query'!$C$1:$R$1005,12,FALSE),0)</f>
        <v>176683606.38999999</v>
      </c>
      <c r="M13" s="19">
        <f>IFERROR(VLOOKUP($A13,'PP DS Query'!$C$1:$R$1005,13,FALSE),0)</f>
        <v>0.52378479</v>
      </c>
      <c r="N13" s="358">
        <f>IFERROR(VLOOKUP($A13,'PP DS Query'!$C$1:$R$1005,14,FALSE),0)</f>
        <v>5002388.4400000004</v>
      </c>
      <c r="O13" s="56">
        <f>IFERROR(VLOOKUP($A13,'PP DS Query'!$C$1:$R$1005,4,FALSE),0)</f>
        <v>-0.02</v>
      </c>
      <c r="P13" s="358">
        <f>-IFERROR(VLOOKUP($A13,'PP DS Query'!$C$1:$R$1005,15,FALSE),0)</f>
        <v>191009.3</v>
      </c>
      <c r="Q13" s="358">
        <f>IFERROR(VLOOKUP($A13,'PP DS Query'!$C$1:$R$1005,16,FALSE),0)</f>
        <v>4858926.2300000004</v>
      </c>
      <c r="R13" s="48"/>
      <c r="S13" s="472">
        <f>IFERROR(ROUND(LEFT(A13,7)*100,0),0)</f>
        <v>31146</v>
      </c>
      <c r="T13" s="472" t="s">
        <v>962</v>
      </c>
      <c r="U13" s="474">
        <f>IFERROR(VLOOKUP($S13,#REF!,6,FALSE),0)</f>
        <v>0</v>
      </c>
      <c r="V13" s="473">
        <f>U13-F13</f>
        <v>-9550465.2100000009</v>
      </c>
    </row>
    <row r="14" spans="1:22" ht="15.95" customHeight="1" x14ac:dyDescent="0.2">
      <c r="A14" s="49" t="s">
        <v>430</v>
      </c>
      <c r="B14" s="499">
        <f>IFERROR(VLOOKUP($A14,'PP DS Query'!$C$1:$R$1005,5,FALSE),0)</f>
        <v>2038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1897216.16</v>
      </c>
      <c r="G14" s="523">
        <f>IFERROR(VLOOKUP($A14,'PP DS Query'!$C$1:$R$1005,7,FALSE),0)</f>
        <v>20.5</v>
      </c>
      <c r="H14" s="358">
        <f>IFERROR(VLOOKUP($A14,'PP DS Query'!$C$1:$R$1005,8,FALSE),0)</f>
        <v>38892931.280000001</v>
      </c>
      <c r="I14" s="523">
        <f>IFERROR(VLOOKUP($A14,'PP DS Query'!$C$1:$R$1005,9,FALSE),0)</f>
        <v>34.42</v>
      </c>
      <c r="J14" s="358">
        <f>IFERROR(VLOOKUP($A14,'PP DS Query'!$C$1:$R$1005,10,FALSE),0)</f>
        <v>65302180.229999997</v>
      </c>
      <c r="K14" s="523">
        <f>IFERROR(VLOOKUP($A14,'PP DS Query'!$C$1:$R$1005,11,FALSE),0)</f>
        <v>13.667028</v>
      </c>
      <c r="L14" s="358">
        <f>IFERROR(VLOOKUP($A14,'PP DS Query'!$C$1:$R$1005,12,FALSE),0)</f>
        <v>25929306.379999999</v>
      </c>
      <c r="M14" s="19">
        <f>IFERROR(VLOOKUP($A14,'PP DS Query'!$C$1:$R$1005,13,FALSE),0)</f>
        <v>0.61495129999999998</v>
      </c>
      <c r="N14" s="358">
        <f>IFERROR(VLOOKUP($A14,'PP DS Query'!$C$1:$R$1005,14,FALSE),0)</f>
        <v>1166695.54</v>
      </c>
      <c r="O14" s="56">
        <f>IFERROR(VLOOKUP($A14,'PP DS Query'!$C$1:$R$1005,4,FALSE),0)</f>
        <v>-0.02</v>
      </c>
      <c r="P14" s="358">
        <f>-IFERROR(VLOOKUP($A14,'PP DS Query'!$C$1:$R$1005,15,FALSE),0)</f>
        <v>37944.32</v>
      </c>
      <c r="Q14" s="358">
        <f>IFERROR(VLOOKUP($A14,'PP DS Query'!$C$1:$R$1005,16,FALSE),0)</f>
        <v>1133236.18</v>
      </c>
      <c r="R14" s="48"/>
      <c r="S14" s="472">
        <f t="shared" ref="S14:S15" si="0">IFERROR(ROUND(LEFT(A14,7)*100,0),0)</f>
        <v>31146</v>
      </c>
      <c r="T14" s="472" t="s">
        <v>963</v>
      </c>
      <c r="U14" s="474">
        <f>IFERROR(VLOOKUP($S14,#REF!,7,FALSE),0)</f>
        <v>0</v>
      </c>
      <c r="V14" s="473">
        <f t="shared" ref="V14:V15" si="1">U14-F14</f>
        <v>-1897216.16</v>
      </c>
    </row>
    <row r="15" spans="1:22" ht="15.95" customHeight="1" thickBot="1" x14ac:dyDescent="0.25">
      <c r="A15" s="49" t="s">
        <v>431</v>
      </c>
      <c r="B15" s="499">
        <f>IFERROR(VLOOKUP($A15,'PP DS Query'!$C$1:$R$1005,5,FALSE),0)</f>
        <v>2038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1256750.29</v>
      </c>
      <c r="G15" s="524">
        <f>IFERROR(VLOOKUP($A15,'PP DS Query'!$C$1:$R$1005,7,FALSE),0)</f>
        <v>19.60158766</v>
      </c>
      <c r="H15" s="250">
        <f>IFERROR(VLOOKUP($A15,'PP DS Query'!$C$1:$R$1005,8,FALSE),0)</f>
        <v>24634300.98</v>
      </c>
      <c r="I15" s="524">
        <f>IFERROR(VLOOKUP($A15,'PP DS Query'!$C$1:$R$1005,9,FALSE),0)</f>
        <v>19.97</v>
      </c>
      <c r="J15" s="250">
        <f>IFERROR(VLOOKUP($A15,'PP DS Query'!$C$1:$R$1005,10,FALSE),0)</f>
        <v>25097303.289999999</v>
      </c>
      <c r="K15" s="524">
        <f>IFERROR(VLOOKUP($A15,'PP DS Query'!$C$1:$R$1005,11,FALSE),0)</f>
        <v>4.3875900000000003</v>
      </c>
      <c r="L15" s="250">
        <f>IFERROR(VLOOKUP($A15,'PP DS Query'!$C$1:$R$1005,12,FALSE),0)</f>
        <v>5514105</v>
      </c>
      <c r="M15" s="21">
        <f>IFERROR(VLOOKUP($A15,'PP DS Query'!$C$1:$R$1005,13,FALSE),0)</f>
        <v>0.79590941999999998</v>
      </c>
      <c r="N15" s="250">
        <f>IFERROR(VLOOKUP($A15,'PP DS Query'!$C$1:$R$1005,14,FALSE),0)</f>
        <v>1000259.39</v>
      </c>
      <c r="O15" s="57">
        <f>IFERROR(VLOOKUP($A15,'PP DS Query'!$C$1:$R$1005,4,FALSE),0)</f>
        <v>-0.02</v>
      </c>
      <c r="P15" s="250">
        <f>-IFERROR(VLOOKUP($A15,'PP DS Query'!$C$1:$R$1005,15,FALSE),0)</f>
        <v>25135.01</v>
      </c>
      <c r="Q15" s="250">
        <f>IFERROR(VLOOKUP($A15,'PP DS Query'!$C$1:$R$1005,16,FALSE),0)</f>
        <v>971573.21</v>
      </c>
      <c r="R15" s="48"/>
      <c r="S15" s="472">
        <f t="shared" si="0"/>
        <v>31146</v>
      </c>
      <c r="T15" s="472" t="s">
        <v>964</v>
      </c>
      <c r="U15" s="475">
        <f>IFERROR(VLOOKUP($S15,#REF!,8,FALSE),0)</f>
        <v>0</v>
      </c>
      <c r="V15" s="476">
        <f t="shared" si="1"/>
        <v>-1256750.29</v>
      </c>
    </row>
    <row r="16" spans="1:22" ht="15.95" customHeight="1" x14ac:dyDescent="0.2">
      <c r="A16" s="49" t="s">
        <v>432</v>
      </c>
      <c r="B16" s="499">
        <f>IFERROR(VLOOKUP($A16,'PP DS Query'!$C$1:$R$1005,5,FALSE),0)</f>
        <v>2038</v>
      </c>
      <c r="C16" s="33"/>
      <c r="D16" s="34"/>
      <c r="E16" s="15"/>
      <c r="F16" s="443">
        <f>IFERROR(VLOOKUP($A16,'PP DS Query'!$C$1:$R$1005,6,FALSE),0)</f>
        <v>12704431.66</v>
      </c>
      <c r="G16" s="525">
        <f>IFERROR(VLOOKUP($A16,'PP DS Query'!$C$1:$R$1005,7,FALSE),0)</f>
        <v>19.925041100000001</v>
      </c>
      <c r="H16" s="443">
        <f>IFERROR(VLOOKUP($A16,'PP DS Query'!$C$1:$R$1005,8,FALSE),0)</f>
        <v>253136322.94</v>
      </c>
      <c r="I16" s="525">
        <f>IFERROR(VLOOKUP($A16,'PP DS Query'!$C$1:$R$1005,9,FALSE),0)</f>
        <v>35.704365809999999</v>
      </c>
      <c r="J16" s="443">
        <f>IFERROR(VLOOKUP($A16,'PP DS Query'!$C$1:$R$1005,10,FALSE),0)</f>
        <v>453603675.44999999</v>
      </c>
      <c r="K16" s="525">
        <f>IFERROR(VLOOKUP($A16,'PP DS Query'!$C$1:$R$1005,11,FALSE),0)</f>
        <v>16.382237580000002</v>
      </c>
      <c r="L16" s="443">
        <f>IFERROR(VLOOKUP($A16,'PP DS Query'!$C$1:$R$1005,12,FALSE),0)</f>
        <v>208127017.77000001</v>
      </c>
      <c r="M16" s="445">
        <f>IFERROR(VLOOKUP($A16,'PP DS Query'!$C$1:$R$1005,13,FALSE),0)</f>
        <v>0.56431830999999999</v>
      </c>
      <c r="N16" s="443">
        <f>IFERROR(VLOOKUP($A16,'PP DS Query'!$C$1:$R$1005,14,FALSE),0)</f>
        <v>7169343.3700000001</v>
      </c>
      <c r="O16" s="446">
        <f>IFERROR(VLOOKUP($A16,'PP DS Query'!$C$1:$R$1005,4,FALSE),0)</f>
        <v>-0.02</v>
      </c>
      <c r="P16" s="443">
        <f>-IFERROR(VLOOKUP($A16,'PP DS Query'!$C$1:$R$1005,15,FALSE),0)</f>
        <v>254088.63</v>
      </c>
      <c r="Q16" s="443">
        <f>IFERROR(VLOOKUP($A16,'PP DS Query'!$C$1:$R$1005,16,FALSE),0)</f>
        <v>6963735.6200000001</v>
      </c>
      <c r="R16" s="48"/>
      <c r="U16" s="473">
        <f>SUM(U13:U15)</f>
        <v>0</v>
      </c>
      <c r="V16" s="473">
        <f>SUM(V13:V15)</f>
        <v>-12704431.66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1203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396" t="s">
        <v>473</v>
      </c>
      <c r="B19" s="499">
        <f>IFERROR(VLOOKUP($A19,'PP DS Query'!$C$1:$R$1005,5,FALSE),0)</f>
        <v>2038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32877610.620000001</v>
      </c>
      <c r="G19" s="523">
        <f>IFERROR(VLOOKUP($A19,'PP DS Query'!$C$1:$R$1005,7,FALSE),0)</f>
        <v>19.15851997</v>
      </c>
      <c r="H19" s="358">
        <f>IFERROR(VLOOKUP($A19,'PP DS Query'!$C$1:$R$1005,8,FALSE),0)</f>
        <v>629886359.5</v>
      </c>
      <c r="I19" s="523">
        <f>IFERROR(VLOOKUP($A19,'PP DS Query'!$C$1:$R$1005,9,FALSE),0)</f>
        <v>36.97</v>
      </c>
      <c r="J19" s="358">
        <f>IFERROR(VLOOKUP($A19,'PP DS Query'!$C$1:$R$1005,10,FALSE),0)</f>
        <v>1215485264.6199999</v>
      </c>
      <c r="K19" s="523">
        <f>IFERROR(VLOOKUP($A19,'PP DS Query'!$C$1:$R$1005,11,FALSE),0)</f>
        <v>18.5</v>
      </c>
      <c r="L19" s="358">
        <f>IFERROR(VLOOKUP($A19,'PP DS Query'!$C$1:$R$1005,12,FALSE),0)</f>
        <v>608235796.47000003</v>
      </c>
      <c r="M19" s="19">
        <f>IFERROR(VLOOKUP($A19,'PP DS Query'!$C$1:$R$1005,13,FALSE),0)</f>
        <v>0.52453567999999995</v>
      </c>
      <c r="N19" s="358">
        <f>IFERROR(VLOOKUP($A19,'PP DS Query'!$C$1:$R$1005,14,FALSE),0)</f>
        <v>17245479.870000001</v>
      </c>
      <c r="O19" s="56">
        <f>IFERROR(VLOOKUP($A19,'PP DS Query'!$C$1:$R$1005,4,FALSE),0)</f>
        <v>-0.05</v>
      </c>
      <c r="P19" s="358">
        <f>-IFERROR(VLOOKUP($A19,'PP DS Query'!$C$1:$R$1005,15,FALSE),0)</f>
        <v>1643880.53</v>
      </c>
      <c r="Q19" s="358">
        <f>IFERROR(VLOOKUP($A19,'PP DS Query'!$C$1:$R$1005,16,FALSE),0)</f>
        <v>10493281.25</v>
      </c>
      <c r="R19" s="48"/>
      <c r="S19" s="472">
        <f>IFERROR(ROUND(LEFT(A19,7)*100,0),0)</f>
        <v>31246</v>
      </c>
      <c r="T19" s="472" t="s">
        <v>962</v>
      </c>
      <c r="U19" s="474">
        <f>IFERROR(VLOOKUP($S19,#REF!,6,FALSE),0)</f>
        <v>0</v>
      </c>
      <c r="V19" s="473">
        <f>U19-F19</f>
        <v>-32877610.620000001</v>
      </c>
    </row>
    <row r="20" spans="1:22" ht="15.95" customHeight="1" x14ac:dyDescent="0.2">
      <c r="A20" s="49" t="s">
        <v>474</v>
      </c>
      <c r="B20" s="499">
        <f>IFERROR(VLOOKUP($A20,'PP DS Query'!$C$1:$R$1005,5,FALSE),0)</f>
        <v>2038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18338222.829999998</v>
      </c>
      <c r="G20" s="523">
        <f>IFERROR(VLOOKUP($A20,'PP DS Query'!$C$1:$R$1005,7,FALSE),0)</f>
        <v>15.83408738</v>
      </c>
      <c r="H20" s="358">
        <f>IFERROR(VLOOKUP($A20,'PP DS Query'!$C$1:$R$1005,8,FALSE),0)</f>
        <v>290369022.67000002</v>
      </c>
      <c r="I20" s="523">
        <f>IFERROR(VLOOKUP($A20,'PP DS Query'!$C$1:$R$1005,9,FALSE),0)</f>
        <v>30.63</v>
      </c>
      <c r="J20" s="358">
        <f>IFERROR(VLOOKUP($A20,'PP DS Query'!$C$1:$R$1005,10,FALSE),0)</f>
        <v>561699765.27999997</v>
      </c>
      <c r="K20" s="523">
        <f>IFERROR(VLOOKUP($A20,'PP DS Query'!$C$1:$R$1005,11,FALSE),0)</f>
        <v>15.657339</v>
      </c>
      <c r="L20" s="358">
        <f>IFERROR(VLOOKUP($A20,'PP DS Query'!$C$1:$R$1005,12,FALSE),0)</f>
        <v>287127771.50999999</v>
      </c>
      <c r="M20" s="19">
        <f>IFERROR(VLOOKUP($A20,'PP DS Query'!$C$1:$R$1005,13,FALSE),0)</f>
        <v>0.51323711999999999</v>
      </c>
      <c r="N20" s="358">
        <f>IFERROR(VLOOKUP($A20,'PP DS Query'!$C$1:$R$1005,14,FALSE),0)</f>
        <v>9411856.6199999992</v>
      </c>
      <c r="O20" s="56">
        <f>IFERROR(VLOOKUP($A20,'PP DS Query'!$C$1:$R$1005,4,FALSE),0)</f>
        <v>-0.05</v>
      </c>
      <c r="P20" s="358">
        <f>-IFERROR(VLOOKUP($A20,'PP DS Query'!$C$1:$R$1005,15,FALSE),0)</f>
        <v>916911.14</v>
      </c>
      <c r="Q20" s="358">
        <f>IFERROR(VLOOKUP($A20,'PP DS Query'!$C$1:$R$1005,16,FALSE),0)</f>
        <v>5726790.9800000004</v>
      </c>
      <c r="R20" s="48"/>
      <c r="S20" s="472">
        <f t="shared" ref="S20:S21" si="2">IFERROR(ROUND(LEFT(A20,7)*100,0),0)</f>
        <v>31246</v>
      </c>
      <c r="T20" s="472" t="s">
        <v>963</v>
      </c>
      <c r="U20" s="474">
        <f>IFERROR(VLOOKUP($S20,#REF!,7,FALSE),0)</f>
        <v>0</v>
      </c>
      <c r="V20" s="473">
        <f t="shared" ref="V20:V21" si="3">U20-F20</f>
        <v>-18338222.829999998</v>
      </c>
    </row>
    <row r="21" spans="1:22" ht="15.95" customHeight="1" thickBot="1" x14ac:dyDescent="0.25">
      <c r="A21" s="49" t="s">
        <v>475</v>
      </c>
      <c r="B21" s="499">
        <f>IFERROR(VLOOKUP($A21,'PP DS Query'!$C$1:$R$1005,5,FALSE),0)</f>
        <v>2038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3643943.23</v>
      </c>
      <c r="G21" s="524">
        <f>IFERROR(VLOOKUP($A21,'PP DS Query'!$C$1:$R$1005,7,FALSE),0)</f>
        <v>13.60175898</v>
      </c>
      <c r="H21" s="250">
        <f>IFERROR(VLOOKUP($A21,'PP DS Query'!$C$1:$R$1005,8,FALSE),0)</f>
        <v>49564037.57</v>
      </c>
      <c r="I21" s="524">
        <f>IFERROR(VLOOKUP($A21,'PP DS Query'!$C$1:$R$1005,9,FALSE),0)</f>
        <v>19.87</v>
      </c>
      <c r="J21" s="250">
        <f>IFERROR(VLOOKUP($A21,'PP DS Query'!$C$1:$R$1005,10,FALSE),0)</f>
        <v>72405151.980000004</v>
      </c>
      <c r="K21" s="524">
        <f>IFERROR(VLOOKUP($A21,'PP DS Query'!$C$1:$R$1005,11,FALSE),0)</f>
        <v>8.4012609999999999</v>
      </c>
      <c r="L21" s="250">
        <f>IFERROR(VLOOKUP($A21,'PP DS Query'!$C$1:$R$1005,12,FALSE),0)</f>
        <v>30613718.140000001</v>
      </c>
      <c r="M21" s="21">
        <f>IFERROR(VLOOKUP($A21,'PP DS Query'!$C$1:$R$1005,13,FALSE),0)</f>
        <v>0.60602842999999995</v>
      </c>
      <c r="N21" s="250">
        <f>IFERROR(VLOOKUP($A21,'PP DS Query'!$C$1:$R$1005,14,FALSE),0)</f>
        <v>2208333.2000000002</v>
      </c>
      <c r="O21" s="57">
        <f>IFERROR(VLOOKUP($A21,'PP DS Query'!$C$1:$R$1005,4,FALSE),0)</f>
        <v>-0.05</v>
      </c>
      <c r="P21" s="250">
        <f>-IFERROR(VLOOKUP($A21,'PP DS Query'!$C$1:$R$1005,15,FALSE),0)</f>
        <v>182197.16</v>
      </c>
      <c r="Q21" s="250">
        <f>IFERROR(VLOOKUP($A21,'PP DS Query'!$C$1:$R$1005,16,FALSE),0)</f>
        <v>1343694.79</v>
      </c>
      <c r="R21" s="48"/>
      <c r="S21" s="472">
        <f t="shared" si="2"/>
        <v>31246</v>
      </c>
      <c r="T21" s="472" t="s">
        <v>964</v>
      </c>
      <c r="U21" s="475">
        <f>IFERROR(VLOOKUP($S21,#REF!,8,FALSE),0)</f>
        <v>0</v>
      </c>
      <c r="V21" s="476">
        <f t="shared" si="3"/>
        <v>-3643943.23</v>
      </c>
    </row>
    <row r="22" spans="1:22" ht="15.95" customHeight="1" x14ac:dyDescent="0.2">
      <c r="A22" s="49" t="s">
        <v>476</v>
      </c>
      <c r="B22" s="499">
        <f>IFERROR(VLOOKUP($A22,'PP DS Query'!$C$1:$R$1005,5,FALSE),0)</f>
        <v>2038</v>
      </c>
      <c r="C22" s="33"/>
      <c r="D22" s="34"/>
      <c r="E22" s="15"/>
      <c r="F22" s="443">
        <f>IFERROR(VLOOKUP($A22,'PP DS Query'!$C$1:$R$1005,6,FALSE),0)</f>
        <v>54859776.68</v>
      </c>
      <c r="G22" s="525">
        <f>IFERROR(VLOOKUP($A22,'PP DS Query'!$C$1:$R$1005,7,FALSE),0)</f>
        <v>17.678151069999998</v>
      </c>
      <c r="H22" s="443">
        <f>IFERROR(VLOOKUP($A22,'PP DS Query'!$C$1:$R$1005,8,FALSE),0)</f>
        <v>969819419.73000002</v>
      </c>
      <c r="I22" s="525">
        <f>IFERROR(VLOOKUP($A22,'PP DS Query'!$C$1:$R$1005,9,FALSE),0)</f>
        <v>33.714868959999997</v>
      </c>
      <c r="J22" s="443">
        <f>IFERROR(VLOOKUP($A22,'PP DS Query'!$C$1:$R$1005,10,FALSE),0)</f>
        <v>1849590181.8800001</v>
      </c>
      <c r="K22" s="525">
        <f>IFERROR(VLOOKUP($A22,'PP DS Query'!$C$1:$R$1005,11,FALSE),0)</f>
        <v>16.87898388</v>
      </c>
      <c r="L22" s="443">
        <f>IFERROR(VLOOKUP($A22,'PP DS Query'!$C$1:$R$1005,12,FALSE),0)</f>
        <v>925977286.12</v>
      </c>
      <c r="M22" s="445">
        <f>IFERROR(VLOOKUP($A22,'PP DS Query'!$C$1:$R$1005,13,FALSE),0)</f>
        <v>0.52617183999999995</v>
      </c>
      <c r="N22" s="443">
        <f>IFERROR(VLOOKUP($A22,'PP DS Query'!$C$1:$R$1005,14,FALSE),0)</f>
        <v>28865669.690000001</v>
      </c>
      <c r="O22" s="446">
        <f>IFERROR(VLOOKUP($A22,'PP DS Query'!$C$1:$R$1005,4,FALSE),0)</f>
        <v>-0.05</v>
      </c>
      <c r="P22" s="443">
        <f>-IFERROR(VLOOKUP($A22,'PP DS Query'!$C$1:$R$1005,15,FALSE),0)</f>
        <v>2742988.83</v>
      </c>
      <c r="Q22" s="443">
        <f>IFERROR(VLOOKUP($A22,'PP DS Query'!$C$1:$R$1005,16,FALSE),0)</f>
        <v>17563767.02</v>
      </c>
      <c r="R22" s="48"/>
      <c r="U22" s="473">
        <f>SUM(U19:U21)</f>
        <v>0</v>
      </c>
      <c r="V22" s="473">
        <f>SUM(V19:V21)</f>
        <v>-54859776.68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1204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396" t="s">
        <v>1023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31446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1024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31446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1025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31446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1093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1205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537</v>
      </c>
      <c r="B31" s="499">
        <f>IFERROR(VLOOKUP($A31,'PP DS Query'!$C$1:$R$1005,5,FALSE),0)</f>
        <v>2038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4434075.82</v>
      </c>
      <c r="G31" s="523">
        <f>IFERROR(VLOOKUP($A31,'PP DS Query'!$C$1:$R$1005,7,FALSE),0)</f>
        <v>20.44541259</v>
      </c>
      <c r="H31" s="358">
        <f>IFERROR(VLOOKUP($A31,'PP DS Query'!$C$1:$R$1005,8,FALSE),0)</f>
        <v>90656509.609999999</v>
      </c>
      <c r="I31" s="523">
        <f>IFERROR(VLOOKUP($A31,'PP DS Query'!$C$1:$R$1005,9,FALSE),0)</f>
        <v>38.93</v>
      </c>
      <c r="J31" s="358">
        <f>IFERROR(VLOOKUP($A31,'PP DS Query'!$C$1:$R$1005,10,FALSE),0)</f>
        <v>172618571.66999999</v>
      </c>
      <c r="K31" s="523">
        <f>IFERROR(VLOOKUP($A31,'PP DS Query'!$C$1:$R$1005,11,FALSE),0)</f>
        <v>18.5</v>
      </c>
      <c r="L31" s="358">
        <f>IFERROR(VLOOKUP($A31,'PP DS Query'!$C$1:$R$1005,12,FALSE),0)</f>
        <v>82030402.670000002</v>
      </c>
      <c r="M31" s="19">
        <f>IFERROR(VLOOKUP($A31,'PP DS Query'!$C$1:$R$1005,13,FALSE),0)</f>
        <v>0.55098554</v>
      </c>
      <c r="N31" s="358">
        <f>IFERROR(VLOOKUP($A31,'PP DS Query'!$C$1:$R$1005,14,FALSE),0)</f>
        <v>2443111.64</v>
      </c>
      <c r="O31" s="56">
        <f>IFERROR(VLOOKUP($A31,'PP DS Query'!$C$1:$R$1005,4,FALSE),0)</f>
        <v>-0.05</v>
      </c>
      <c r="P31" s="358">
        <f>-IFERROR(VLOOKUP($A31,'PP DS Query'!$C$1:$R$1005,15,FALSE),0)</f>
        <v>221703.79</v>
      </c>
      <c r="Q31" s="358">
        <f>IFERROR(VLOOKUP($A31,'PP DS Query'!$C$1:$R$1005,16,FALSE),0)</f>
        <v>2295786.13</v>
      </c>
      <c r="R31" s="48"/>
      <c r="S31" s="472">
        <f>IFERROR(ROUND(LEFT(A31,7)*100,0),0)</f>
        <v>31546</v>
      </c>
      <c r="T31" s="472" t="s">
        <v>962</v>
      </c>
      <c r="U31" s="474">
        <f>IFERROR(VLOOKUP($S31,#REF!,6,FALSE),0)</f>
        <v>0</v>
      </c>
      <c r="V31" s="473">
        <f>U31-F31</f>
        <v>-4434075.82</v>
      </c>
    </row>
    <row r="32" spans="1:22" ht="15.95" customHeight="1" x14ac:dyDescent="0.2">
      <c r="A32" s="49" t="s">
        <v>538</v>
      </c>
      <c r="B32" s="499">
        <f>IFERROR(VLOOKUP($A32,'PP DS Query'!$C$1:$R$1005,5,FALSE),0)</f>
        <v>2038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4616598.6399999997</v>
      </c>
      <c r="G32" s="523">
        <f>IFERROR(VLOOKUP($A32,'PP DS Query'!$C$1:$R$1005,7,FALSE),0)</f>
        <v>12.833220519999999</v>
      </c>
      <c r="H32" s="358">
        <f>IFERROR(VLOOKUP($A32,'PP DS Query'!$C$1:$R$1005,8,FALSE),0)</f>
        <v>59245828.399999999</v>
      </c>
      <c r="I32" s="523">
        <f>IFERROR(VLOOKUP($A32,'PP DS Query'!$C$1:$R$1005,9,FALSE),0)</f>
        <v>27.74</v>
      </c>
      <c r="J32" s="358">
        <f>IFERROR(VLOOKUP($A32,'PP DS Query'!$C$1:$R$1005,10,FALSE),0)</f>
        <v>128064446.27</v>
      </c>
      <c r="K32" s="523">
        <f>IFERROR(VLOOKUP($A32,'PP DS Query'!$C$1:$R$1005,11,FALSE),0)</f>
        <v>16.487095</v>
      </c>
      <c r="L32" s="358">
        <f>IFERROR(VLOOKUP($A32,'PP DS Query'!$C$1:$R$1005,12,FALSE),0)</f>
        <v>76114300.349999994</v>
      </c>
      <c r="M32" s="19">
        <f>IFERROR(VLOOKUP($A32,'PP DS Query'!$C$1:$R$1005,13,FALSE),0)</f>
        <v>0.42598100999999999</v>
      </c>
      <c r="N32" s="358">
        <f>IFERROR(VLOOKUP($A32,'PP DS Query'!$C$1:$R$1005,14,FALSE),0)</f>
        <v>1966583.33</v>
      </c>
      <c r="O32" s="56">
        <f>IFERROR(VLOOKUP($A32,'PP DS Query'!$C$1:$R$1005,4,FALSE),0)</f>
        <v>-0.05</v>
      </c>
      <c r="P32" s="358">
        <f>-IFERROR(VLOOKUP($A32,'PP DS Query'!$C$1:$R$1005,15,FALSE),0)</f>
        <v>230829.93</v>
      </c>
      <c r="Q32" s="358">
        <f>IFERROR(VLOOKUP($A32,'PP DS Query'!$C$1:$R$1005,16,FALSE),0)</f>
        <v>1847993.62</v>
      </c>
      <c r="R32" s="48"/>
      <c r="S32" s="472">
        <f t="shared" ref="S32:S33" si="6">IFERROR(ROUND(LEFT(A32,7)*100,0),0)</f>
        <v>31546</v>
      </c>
      <c r="T32" s="472" t="s">
        <v>963</v>
      </c>
      <c r="U32" s="474">
        <f>IFERROR(VLOOKUP($S32,#REF!,7,FALSE),0)</f>
        <v>0</v>
      </c>
      <c r="V32" s="473">
        <f t="shared" ref="V32:V33" si="7">U32-F32</f>
        <v>-4616598.6399999997</v>
      </c>
    </row>
    <row r="33" spans="1:22" ht="15.95" customHeight="1" thickBot="1" x14ac:dyDescent="0.25">
      <c r="A33" s="49" t="s">
        <v>539</v>
      </c>
      <c r="B33" s="499">
        <f>IFERROR(VLOOKUP($A33,'PP DS Query'!$C$1:$R$1005,5,FALSE),0)</f>
        <v>2038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715281.73</v>
      </c>
      <c r="G33" s="524">
        <f>IFERROR(VLOOKUP($A33,'PP DS Query'!$C$1:$R$1005,7,FALSE),0)</f>
        <v>10.30567196</v>
      </c>
      <c r="H33" s="250">
        <f>IFERROR(VLOOKUP($A33,'PP DS Query'!$C$1:$R$1005,8,FALSE),0)</f>
        <v>7371458.8700000001</v>
      </c>
      <c r="I33" s="524">
        <f>IFERROR(VLOOKUP($A33,'PP DS Query'!$C$1:$R$1005,9,FALSE),0)</f>
        <v>19.760000000000002</v>
      </c>
      <c r="J33" s="250">
        <f>IFERROR(VLOOKUP($A33,'PP DS Query'!$C$1:$R$1005,10,FALSE),0)</f>
        <v>14133966.98</v>
      </c>
      <c r="K33" s="524">
        <f>IFERROR(VLOOKUP($A33,'PP DS Query'!$C$1:$R$1005,11,FALSE),0)</f>
        <v>10.550420000000001</v>
      </c>
      <c r="L33" s="250">
        <f>IFERROR(VLOOKUP($A33,'PP DS Query'!$C$1:$R$1005,12,FALSE),0)</f>
        <v>7546522.6699999999</v>
      </c>
      <c r="M33" s="21">
        <f>IFERROR(VLOOKUP($A33,'PP DS Query'!$C$1:$R$1005,13,FALSE),0)</f>
        <v>0.48925573999999999</v>
      </c>
      <c r="N33" s="250">
        <f>IFERROR(VLOOKUP($A33,'PP DS Query'!$C$1:$R$1005,14,FALSE),0)</f>
        <v>349955.69</v>
      </c>
      <c r="O33" s="57">
        <f>IFERROR(VLOOKUP($A33,'PP DS Query'!$C$1:$R$1005,4,FALSE),0)</f>
        <v>-0.05</v>
      </c>
      <c r="P33" s="250">
        <f>-IFERROR(VLOOKUP($A33,'PP DS Query'!$C$1:$R$1005,15,FALSE),0)</f>
        <v>35764.089999999997</v>
      </c>
      <c r="Q33" s="250">
        <f>IFERROR(VLOOKUP($A33,'PP DS Query'!$C$1:$R$1005,16,FALSE),0)</f>
        <v>328852.52</v>
      </c>
      <c r="R33" s="48"/>
      <c r="S33" s="472">
        <f t="shared" si="6"/>
        <v>31546</v>
      </c>
      <c r="T33" s="472" t="s">
        <v>964</v>
      </c>
      <c r="U33" s="475">
        <f>IFERROR(VLOOKUP($S33,#REF!,8,FALSE),0)</f>
        <v>0</v>
      </c>
      <c r="V33" s="476">
        <f t="shared" si="7"/>
        <v>-715281.73</v>
      </c>
    </row>
    <row r="34" spans="1:22" ht="15.95" customHeight="1" x14ac:dyDescent="0.2">
      <c r="A34" s="49" t="s">
        <v>540</v>
      </c>
      <c r="B34" s="499">
        <f>IFERROR(VLOOKUP($A34,'PP DS Query'!$C$1:$R$1005,5,FALSE),0)</f>
        <v>2038</v>
      </c>
      <c r="C34" s="33"/>
      <c r="D34" s="34"/>
      <c r="E34" s="15"/>
      <c r="F34" s="443">
        <f>IFERROR(VLOOKUP($A34,'PP DS Query'!$C$1:$R$1005,6,FALSE),0)</f>
        <v>9765956.1899999995</v>
      </c>
      <c r="G34" s="525">
        <f>IFERROR(VLOOKUP($A34,'PP DS Query'!$C$1:$R$1005,7,FALSE),0)</f>
        <v>16.104290639999999</v>
      </c>
      <c r="H34" s="443">
        <f>IFERROR(VLOOKUP($A34,'PP DS Query'!$C$1:$R$1005,8,FALSE),0)</f>
        <v>157273796.88</v>
      </c>
      <c r="I34" s="525">
        <f>IFERROR(VLOOKUP($A34,'PP DS Query'!$C$1:$R$1005,9,FALSE),0)</f>
        <v>32.236165999999997</v>
      </c>
      <c r="J34" s="443">
        <f>IFERROR(VLOOKUP($A34,'PP DS Query'!$C$1:$R$1005,10,FALSE),0)</f>
        <v>314816984.93000001</v>
      </c>
      <c r="K34" s="525">
        <f>IFERROR(VLOOKUP($A34,'PP DS Query'!$C$1:$R$1005,11,FALSE),0)</f>
        <v>16.966206119999999</v>
      </c>
      <c r="L34" s="443">
        <f>IFERROR(VLOOKUP($A34,'PP DS Query'!$C$1:$R$1005,12,FALSE),0)</f>
        <v>165691225.69</v>
      </c>
      <c r="M34" s="445">
        <f>IFERROR(VLOOKUP($A34,'PP DS Query'!$C$1:$R$1005,13,FALSE),0)</f>
        <v>0.48737170000000002</v>
      </c>
      <c r="N34" s="443">
        <f>IFERROR(VLOOKUP($A34,'PP DS Query'!$C$1:$R$1005,14,FALSE),0)</f>
        <v>4759650.66</v>
      </c>
      <c r="O34" s="446">
        <f>IFERROR(VLOOKUP($A34,'PP DS Query'!$C$1:$R$1005,4,FALSE),0)</f>
        <v>-0.05</v>
      </c>
      <c r="P34" s="443">
        <f>-IFERROR(VLOOKUP($A34,'PP DS Query'!$C$1:$R$1005,15,FALSE),0)</f>
        <v>488297.81</v>
      </c>
      <c r="Q34" s="443">
        <f>IFERROR(VLOOKUP($A34,'PP DS Query'!$C$1:$R$1005,16,FALSE),0)</f>
        <v>4472632.2699999996</v>
      </c>
      <c r="R34" s="48"/>
      <c r="U34" s="473">
        <f>SUM(U31:U33)</f>
        <v>0</v>
      </c>
      <c r="V34" s="473">
        <f>SUM(V31:V33)</f>
        <v>-9765956.1900000013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1206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578</v>
      </c>
      <c r="B37" s="499">
        <f>IFERROR(VLOOKUP($A37,'PP DS Query'!$C$1:$R$1005,5,FALSE),0)</f>
        <v>2038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1378597.57</v>
      </c>
      <c r="G37" s="523">
        <f>IFERROR(VLOOKUP($A37,'PP DS Query'!$C$1:$R$1005,7,FALSE),0)</f>
        <v>20.328296250000001</v>
      </c>
      <c r="H37" s="358">
        <f>IFERROR(VLOOKUP($A37,'PP DS Query'!$C$1:$R$1005,8,FALSE),0)</f>
        <v>28024539.82</v>
      </c>
      <c r="I37" s="523">
        <f>IFERROR(VLOOKUP($A37,'PP DS Query'!$C$1:$R$1005,9,FALSE),0)</f>
        <v>38.74</v>
      </c>
      <c r="J37" s="358">
        <f>IFERROR(VLOOKUP($A37,'PP DS Query'!$C$1:$R$1005,10,FALSE),0)</f>
        <v>53406869.859999999</v>
      </c>
      <c r="K37" s="523">
        <f>IFERROR(VLOOKUP($A37,'PP DS Query'!$C$1:$R$1005,11,FALSE),0)</f>
        <v>18.5</v>
      </c>
      <c r="L37" s="358">
        <f>IFERROR(VLOOKUP($A37,'PP DS Query'!$C$1:$R$1005,12,FALSE),0)</f>
        <v>25504055.050000001</v>
      </c>
      <c r="M37" s="19">
        <f>IFERROR(VLOOKUP($A37,'PP DS Query'!$C$1:$R$1005,13,FALSE),0)</f>
        <v>0.53295853000000004</v>
      </c>
      <c r="N37" s="358">
        <f>IFERROR(VLOOKUP($A37,'PP DS Query'!$C$1:$R$1005,14,FALSE),0)</f>
        <v>734735.34</v>
      </c>
      <c r="O37" s="56">
        <f>IFERROR(VLOOKUP($A37,'PP DS Query'!$C$1:$R$1005,4,FALSE),0)</f>
        <v>-0.02</v>
      </c>
      <c r="P37" s="358">
        <f>-IFERROR(VLOOKUP($A37,'PP DS Query'!$C$1:$R$1005,15,FALSE),0)</f>
        <v>27571.95</v>
      </c>
      <c r="Q37" s="358">
        <f>IFERROR(VLOOKUP($A37,'PP DS Query'!$C$1:$R$1005,16,FALSE),0)</f>
        <v>729096.58</v>
      </c>
      <c r="R37" s="48"/>
      <c r="S37" s="472">
        <f>IFERROR(ROUND(LEFT(A37,7)*100,0),0)</f>
        <v>31646</v>
      </c>
      <c r="T37" s="472" t="s">
        <v>962</v>
      </c>
      <c r="U37" s="474">
        <f>IFERROR(VLOOKUP($S37,#REF!,6,FALSE),0)</f>
        <v>0</v>
      </c>
      <c r="V37" s="473">
        <f>U37-F37</f>
        <v>-1378597.57</v>
      </c>
    </row>
    <row r="38" spans="1:22" ht="15.95" customHeight="1" x14ac:dyDescent="0.2">
      <c r="A38" s="49" t="s">
        <v>579</v>
      </c>
      <c r="B38" s="499">
        <f>IFERROR(VLOOKUP($A38,'PP DS Query'!$C$1:$R$1005,5,FALSE),0)</f>
        <v>2038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346898.9</v>
      </c>
      <c r="G38" s="523">
        <f>IFERROR(VLOOKUP($A38,'PP DS Query'!$C$1:$R$1005,7,FALSE),0)</f>
        <v>20.5</v>
      </c>
      <c r="H38" s="358">
        <f>IFERROR(VLOOKUP($A38,'PP DS Query'!$C$1:$R$1005,8,FALSE),0)</f>
        <v>7111427.4500000002</v>
      </c>
      <c r="I38" s="523">
        <f>IFERROR(VLOOKUP($A38,'PP DS Query'!$C$1:$R$1005,9,FALSE),0)</f>
        <v>34.42</v>
      </c>
      <c r="J38" s="358">
        <f>IFERROR(VLOOKUP($A38,'PP DS Query'!$C$1:$R$1005,10,FALSE),0)</f>
        <v>11940260.140000001</v>
      </c>
      <c r="K38" s="523">
        <f>IFERROR(VLOOKUP($A38,'PP DS Query'!$C$1:$R$1005,11,FALSE),0)</f>
        <v>13.667028</v>
      </c>
      <c r="L38" s="358">
        <f>IFERROR(VLOOKUP($A38,'PP DS Query'!$C$1:$R$1005,12,FALSE),0)</f>
        <v>4741076.9800000004</v>
      </c>
      <c r="M38" s="19">
        <f>IFERROR(VLOOKUP($A38,'PP DS Query'!$C$1:$R$1005,13,FALSE),0)</f>
        <v>0.61495129999999998</v>
      </c>
      <c r="N38" s="358">
        <f>IFERROR(VLOOKUP($A38,'PP DS Query'!$C$1:$R$1005,14,FALSE),0)</f>
        <v>213325.93</v>
      </c>
      <c r="O38" s="56">
        <f>IFERROR(VLOOKUP($A38,'PP DS Query'!$C$1:$R$1005,4,FALSE),0)</f>
        <v>-0.02</v>
      </c>
      <c r="P38" s="358">
        <f>-IFERROR(VLOOKUP($A38,'PP DS Query'!$C$1:$R$1005,15,FALSE),0)</f>
        <v>6937.98</v>
      </c>
      <c r="Q38" s="358">
        <f>IFERROR(VLOOKUP($A38,'PP DS Query'!$C$1:$R$1005,16,FALSE),0)</f>
        <v>211688.75</v>
      </c>
      <c r="R38" s="48"/>
      <c r="S38" s="472">
        <f t="shared" ref="S38:S39" si="8">IFERROR(ROUND(LEFT(A38,7)*100,0),0)</f>
        <v>31646</v>
      </c>
      <c r="T38" s="472" t="s">
        <v>963</v>
      </c>
      <c r="U38" s="474">
        <f>IFERROR(VLOOKUP($S38,#REF!,7,FALSE),0)</f>
        <v>0</v>
      </c>
      <c r="V38" s="473">
        <f t="shared" ref="V38:V39" si="9">U38-F38</f>
        <v>-346898.9</v>
      </c>
    </row>
    <row r="39" spans="1:22" ht="15.95" customHeight="1" thickBot="1" x14ac:dyDescent="0.25">
      <c r="A39" s="396" t="s">
        <v>938</v>
      </c>
      <c r="B39" s="499">
        <f>IFERROR(VLOOKUP($A39,'PP DS Query'!$C$1:$R$1005,5,FALSE),0)</f>
        <v>0</v>
      </c>
      <c r="C39" s="33">
        <f>IFERROR(VLOOKUP($A39,'PP DS Query'!$C$1:$R$1005,3,FALSE),0)</f>
        <v>0</v>
      </c>
      <c r="D39" s="34" t="s">
        <v>22</v>
      </c>
      <c r="E39" s="61">
        <f>IFERROR(VLOOKUP($A39,'PP DS Query'!$C$1:$R$1005,2,FALSE),0)</f>
        <v>0</v>
      </c>
      <c r="F39" s="250">
        <f>IFERROR(VLOOKUP($A39,'PP DS Query'!$C$1:$R$1005,6,FALSE),0)</f>
        <v>0</v>
      </c>
      <c r="G39" s="524">
        <f>IFERROR(VLOOKUP($A39,'PP DS Query'!$C$1:$R$1005,7,FALSE),0)</f>
        <v>0</v>
      </c>
      <c r="H39" s="250">
        <f>IFERROR(VLOOKUP($A39,'PP DS Query'!$C$1:$R$1005,8,FALSE),0)</f>
        <v>0</v>
      </c>
      <c r="I39" s="524">
        <f>IFERROR(VLOOKUP($A39,'PP DS Query'!$C$1:$R$1005,9,FALSE),0)</f>
        <v>0</v>
      </c>
      <c r="J39" s="250">
        <f>IFERROR(VLOOKUP($A39,'PP DS Query'!$C$1:$R$1005,10,FALSE),0)</f>
        <v>0</v>
      </c>
      <c r="K39" s="524">
        <f>IFERROR(VLOOKUP($A39,'PP DS Query'!$C$1:$R$1005,11,FALSE),0)</f>
        <v>0</v>
      </c>
      <c r="L39" s="250">
        <f>IFERROR(VLOOKUP($A39,'PP DS Query'!$C$1:$R$1005,12,FALSE),0)</f>
        <v>0</v>
      </c>
      <c r="M39" s="21">
        <f>IFERROR(VLOOKUP($A39,'PP DS Query'!$C$1:$R$1005,13,FALSE),0)</f>
        <v>0</v>
      </c>
      <c r="N39" s="250">
        <f>IFERROR(VLOOKUP($A39,'PP DS Query'!$C$1:$R$1005,14,FALSE),0)</f>
        <v>0</v>
      </c>
      <c r="O39" s="57">
        <f>IFERROR(VLOOKUP($A39,'PP DS Query'!$C$1:$R$1005,4,FALSE),0)</f>
        <v>0</v>
      </c>
      <c r="P39" s="250">
        <f>-IFERROR(VLOOKUP($A39,'PP DS Query'!$C$1:$R$1005,15,FALSE),0)</f>
        <v>0</v>
      </c>
      <c r="Q39" s="250">
        <f>IFERROR(VLOOKUP($A39,'PP DS Query'!$C$1:$R$1005,16,FALSE),0)</f>
        <v>0</v>
      </c>
      <c r="R39" s="48"/>
      <c r="S39" s="472">
        <f t="shared" si="8"/>
        <v>31646</v>
      </c>
      <c r="T39" s="472" t="s">
        <v>964</v>
      </c>
      <c r="U39" s="475">
        <f>IFERROR(VLOOKUP($S39,#REF!,8,FALSE),0)</f>
        <v>0</v>
      </c>
      <c r="V39" s="476">
        <f t="shared" si="9"/>
        <v>0</v>
      </c>
    </row>
    <row r="40" spans="1:22" ht="15.95" customHeight="1" x14ac:dyDescent="0.2">
      <c r="A40" s="49" t="s">
        <v>580</v>
      </c>
      <c r="B40" s="499">
        <f>IFERROR(VLOOKUP($A40,'PP DS Query'!$C$1:$R$1005,5,FALSE),0)</f>
        <v>2038</v>
      </c>
      <c r="C40" s="33"/>
      <c r="D40" s="34"/>
      <c r="E40" s="15"/>
      <c r="F40" s="443">
        <f>IFERROR(VLOOKUP($A40,'PP DS Query'!$C$1:$R$1005,6,FALSE),0)</f>
        <v>1725496.47</v>
      </c>
      <c r="G40" s="525">
        <f>IFERROR(VLOOKUP($A40,'PP DS Query'!$C$1:$R$1005,7,FALSE),0)</f>
        <v>20.362816080000002</v>
      </c>
      <c r="H40" s="443">
        <f>IFERROR(VLOOKUP($A40,'PP DS Query'!$C$1:$R$1005,8,FALSE),0)</f>
        <v>35135967.270000003</v>
      </c>
      <c r="I40" s="525">
        <f>IFERROR(VLOOKUP($A40,'PP DS Query'!$C$1:$R$1005,9,FALSE),0)</f>
        <v>37.871494460000001</v>
      </c>
      <c r="J40" s="443">
        <f>IFERROR(VLOOKUP($A40,'PP DS Query'!$C$1:$R$1005,10,FALSE),0)</f>
        <v>65347130</v>
      </c>
      <c r="K40" s="525">
        <f>IFERROR(VLOOKUP($A40,'PP DS Query'!$C$1:$R$1005,11,FALSE),0)</f>
        <v>17.528365050000001</v>
      </c>
      <c r="L40" s="443">
        <f>IFERROR(VLOOKUP($A40,'PP DS Query'!$C$1:$R$1005,12,FALSE),0)</f>
        <v>30245132.02</v>
      </c>
      <c r="M40" s="445">
        <f>IFERROR(VLOOKUP($A40,'PP DS Query'!$C$1:$R$1005,13,FALSE),0)</f>
        <v>0.5494426</v>
      </c>
      <c r="N40" s="443">
        <f>IFERROR(VLOOKUP($A40,'PP DS Query'!$C$1:$R$1005,14,FALSE),0)</f>
        <v>948061.27</v>
      </c>
      <c r="O40" s="446">
        <f>IFERROR(VLOOKUP($A40,'PP DS Query'!$C$1:$R$1005,4,FALSE),0)</f>
        <v>-0.02</v>
      </c>
      <c r="P40" s="443">
        <f>-IFERROR(VLOOKUP($A40,'PP DS Query'!$C$1:$R$1005,15,FALSE),0)</f>
        <v>34509.93</v>
      </c>
      <c r="Q40" s="443">
        <f>IFERROR(VLOOKUP($A40,'PP DS Query'!$C$1:$R$1005,16,FALSE),0)</f>
        <v>940785.33</v>
      </c>
      <c r="R40" s="48"/>
      <c r="U40" s="473">
        <f>SUM(U37:U39)</f>
        <v>0</v>
      </c>
      <c r="V40" s="473">
        <f>SUM(V37:V39)</f>
        <v>-1725496.4700000002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1&amp;2 FGD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48240749.219999999</v>
      </c>
      <c r="G44" s="523">
        <f>IF($F44=0,0,H44/$F44)</f>
        <v>19.447801180315089</v>
      </c>
      <c r="H44" s="358">
        <f>H13+H19+H25+H31+H37</f>
        <v>938176499.62000012</v>
      </c>
      <c r="I44" s="523">
        <f>IF($F44=0,0,J44/$F44)</f>
        <v>37.410590160191546</v>
      </c>
      <c r="J44" s="358">
        <f>J13+J19+J25+J31+J37</f>
        <v>1804714898.0899999</v>
      </c>
      <c r="K44" s="523">
        <f>IF($F44=0,0,L44/$F44)</f>
        <v>18.500000000207294</v>
      </c>
      <c r="L44" s="358">
        <f>L13+L19+L25+L31+L37</f>
        <v>892453860.57999992</v>
      </c>
      <c r="M44" s="19">
        <f>IF($F44=0,0,N44/$F44)</f>
        <v>0.52705888074099039</v>
      </c>
      <c r="N44" s="358">
        <f>N13+N19+N25+N31+N37</f>
        <v>25425715.290000003</v>
      </c>
      <c r="O44" s="56">
        <f>-IF($F44=0,0,P44/$F44)</f>
        <v>-4.3203424567376573E-2</v>
      </c>
      <c r="P44" s="358">
        <f t="shared" ref="P44:Q46" si="10">P13+P19+P25+P31+P37</f>
        <v>2084165.57</v>
      </c>
      <c r="Q44" s="358">
        <f t="shared" si="10"/>
        <v>18377090.189999998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25198936.529999997</v>
      </c>
      <c r="G45" s="523">
        <f>IF($F45=0,0,H45/$F45)</f>
        <v>15.699837543898129</v>
      </c>
      <c r="H45" s="358">
        <f>H14+H20+H26+H32+H38</f>
        <v>395619209.80000001</v>
      </c>
      <c r="I45" s="523">
        <f>IF($F45=0,0,J45/$F45)</f>
        <v>30.43805642380417</v>
      </c>
      <c r="J45" s="358">
        <f>J14+J20+J26+J32+J38</f>
        <v>767006651.91999996</v>
      </c>
      <c r="K45" s="523">
        <f>IF($F45=0,0,L45/$F45)</f>
        <v>15.632106329211032</v>
      </c>
      <c r="L45" s="358">
        <f>L14+L20+L26+L32+L38</f>
        <v>393912455.22000003</v>
      </c>
      <c r="M45" s="19">
        <f>IF($F45=0,0,N45/$F45)</f>
        <v>0.50630951845172978</v>
      </c>
      <c r="N45" s="358">
        <f>N14+N20+N26+N32+N38</f>
        <v>12758461.42</v>
      </c>
      <c r="O45" s="56">
        <f>-IF($F45=0,0,P45/$F45)</f>
        <v>-4.7328321517860497E-2</v>
      </c>
      <c r="P45" s="358">
        <f t="shared" si="10"/>
        <v>1192623.3699999999</v>
      </c>
      <c r="Q45" s="358">
        <f t="shared" si="10"/>
        <v>8919709.5300000012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5615975.25</v>
      </c>
      <c r="G46" s="524">
        <f>IF($F46=0,0,H46/$F46)</f>
        <v>14.524600588294971</v>
      </c>
      <c r="H46" s="250">
        <f>H15+H21+H27+H33+H39</f>
        <v>81569797.420000002</v>
      </c>
      <c r="I46" s="524">
        <f>IF($F46=0,0,J46/$F46)</f>
        <v>19.878367920157771</v>
      </c>
      <c r="J46" s="250">
        <f>J15+J21+J27+J33+J39</f>
        <v>111636422.25000001</v>
      </c>
      <c r="K46" s="524">
        <f>IF($F46=0,0,L46/$F46)</f>
        <v>7.776805250343652</v>
      </c>
      <c r="L46" s="250">
        <f>L15+L21+L27+L33+L39</f>
        <v>43674345.810000002</v>
      </c>
      <c r="M46" s="21">
        <f>IF($F46=0,0,N46/$F46)</f>
        <v>0.63364742926885231</v>
      </c>
      <c r="N46" s="250">
        <f>N15+N21+N27+N33+N39</f>
        <v>3558548.2800000003</v>
      </c>
      <c r="O46" s="57">
        <f>-IF($F46=0,0,P46/$F46)</f>
        <v>-4.3286561848718978E-2</v>
      </c>
      <c r="P46" s="250">
        <f t="shared" si="10"/>
        <v>243096.26</v>
      </c>
      <c r="Q46" s="250">
        <f t="shared" si="10"/>
        <v>2644120.52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79055661</v>
      </c>
      <c r="G47" s="525">
        <f>IF($F47=0,0,H47/$F47)</f>
        <v>17.903404878747395</v>
      </c>
      <c r="H47" s="443">
        <f>SUM(H44:H46)</f>
        <v>1415365506.8400002</v>
      </c>
      <c r="I47" s="525">
        <f>IF($F47=0,0,J47/$F47)</f>
        <v>33.942641656743589</v>
      </c>
      <c r="J47" s="443">
        <f>SUM(J44:J46)</f>
        <v>2683357972.2599998</v>
      </c>
      <c r="K47" s="525">
        <f>IF($F47=0,0,L47/$F47)</f>
        <v>16.824103989339864</v>
      </c>
      <c r="L47" s="443">
        <f>SUM(L44:L46)</f>
        <v>1330040661.6099999</v>
      </c>
      <c r="M47" s="445">
        <f>IF($F47=0,0,N47/$F47)</f>
        <v>0.52801689925785333</v>
      </c>
      <c r="N47" s="443">
        <f>SUM(N44:N46)</f>
        <v>41742724.990000002</v>
      </c>
      <c r="O47" s="446">
        <f>-IF($F47=0,0,P47/$F47)</f>
        <v>-4.452413850540065E-2</v>
      </c>
      <c r="P47" s="443">
        <f>SUM(P44:P46)</f>
        <v>3519885.2</v>
      </c>
      <c r="Q47" s="443">
        <f>SUM(Q44:Q46)</f>
        <v>29940920.239999998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31146</v>
      </c>
      <c r="F50" s="352">
        <f>IFERROR(VLOOKUP(E50,'2019 B-7'!C:P,14,FALSE),0)</f>
        <v>12704431.66</v>
      </c>
      <c r="G50" s="353">
        <f>F50-F16</f>
        <v>0</v>
      </c>
      <c r="P50" s="260">
        <f>E50</f>
        <v>31146</v>
      </c>
      <c r="Q50" s="352">
        <f>IFERROR(VLOOKUP(P50,'2019 B-9'!C:R,16,FALSE),0)</f>
        <v>6963735.620000001</v>
      </c>
      <c r="R50" s="353">
        <f>Q50-Q16</f>
        <v>0</v>
      </c>
    </row>
    <row r="51" spans="5:18" x14ac:dyDescent="0.2">
      <c r="E51" s="260">
        <v>31246</v>
      </c>
      <c r="F51" s="352">
        <f>IFERROR(VLOOKUP(E51,'2019 B-7'!C:P,14,FALSE),0)</f>
        <v>54859776.679999992</v>
      </c>
      <c r="G51" s="353">
        <f>F51-F22</f>
        <v>0</v>
      </c>
      <c r="P51" s="260">
        <f t="shared" ref="P51:P54" si="11">E51</f>
        <v>31246</v>
      </c>
      <c r="Q51" s="352">
        <f>IFERROR(VLOOKUP(P51,'2019 B-9'!C:R,16,FALSE),0)</f>
        <v>17563767.020000022</v>
      </c>
      <c r="R51" s="353">
        <f>Q51-Q22</f>
        <v>0</v>
      </c>
    </row>
    <row r="52" spans="5:18" x14ac:dyDescent="0.2">
      <c r="E52" s="260">
        <v>31446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31446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31546</v>
      </c>
      <c r="F53" s="352">
        <f>IFERROR(VLOOKUP(E53,'2019 B-7'!C:P,14,FALSE),0)</f>
        <v>9765956.1899999995</v>
      </c>
      <c r="G53" s="353">
        <f>F53-F34</f>
        <v>0</v>
      </c>
      <c r="P53" s="260">
        <f t="shared" si="11"/>
        <v>31546</v>
      </c>
      <c r="Q53" s="352">
        <f>IFERROR(VLOOKUP(P53,'2019 B-9'!C:R,16,FALSE),0)</f>
        <v>4472632.2700000023</v>
      </c>
      <c r="R53" s="353">
        <f>Q53-Q34</f>
        <v>0</v>
      </c>
    </row>
    <row r="54" spans="5:18" x14ac:dyDescent="0.2">
      <c r="E54" s="260">
        <v>31646</v>
      </c>
      <c r="F54" s="352">
        <f>IFERROR(VLOOKUP(E54,'2019 B-7'!C:P,14,FALSE),0)</f>
        <v>1725496.47</v>
      </c>
      <c r="G54" s="353">
        <f>F54-F40</f>
        <v>0</v>
      </c>
      <c r="P54" s="260">
        <f t="shared" si="11"/>
        <v>31646</v>
      </c>
      <c r="Q54" s="352">
        <f>IFERROR(VLOOKUP(P54,'2019 B-9'!C:R,16,FALSE),0)</f>
        <v>940785.32999999961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79055660.999999985</v>
      </c>
      <c r="G55" s="354">
        <f>SUM(G50:G54)</f>
        <v>0</v>
      </c>
      <c r="P55" s="349" t="s">
        <v>40</v>
      </c>
      <c r="Q55" s="354">
        <f>SUM(Q50:Q54)</f>
        <v>29940920.240000024</v>
      </c>
      <c r="R55" s="354">
        <f>SUM(R50:R54)</f>
        <v>0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0</v>
      </c>
    </row>
    <row r="57" spans="5:18" x14ac:dyDescent="0.2">
      <c r="E57" s="50"/>
      <c r="G57" s="18"/>
    </row>
    <row r="58" spans="5:18" x14ac:dyDescent="0.2">
      <c r="E58" s="50"/>
      <c r="G58" s="29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57031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102</v>
      </c>
      <c r="D6" s="71"/>
      <c r="E6" s="6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231" t="s">
        <v>1207</v>
      </c>
      <c r="E12" s="50"/>
      <c r="P12" s="18"/>
      <c r="Q12" s="18"/>
      <c r="R12" s="48"/>
    </row>
    <row r="13" spans="1:22" ht="15.95" customHeight="1" x14ac:dyDescent="0.2">
      <c r="A13" s="49" t="s">
        <v>433</v>
      </c>
      <c r="B13" s="499">
        <f>IFERROR(VLOOKUP($A13,'PP DS Query'!$C$1:$R$1005,5,FALSE),0)</f>
        <v>2035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23033058.629999999</v>
      </c>
      <c r="G13" s="523">
        <f>IFERROR(VLOOKUP($A13,'PP DS Query'!$C$1:$R$1005,7,FALSE),0)</f>
        <v>9.5</v>
      </c>
      <c r="H13" s="358">
        <f>IFERROR(VLOOKUP($A13,'PP DS Query'!$C$1:$R$1005,8,FALSE),0)</f>
        <v>218814056.99000001</v>
      </c>
      <c r="I13" s="523">
        <f>IFERROR(VLOOKUP($A13,'PP DS Query'!$C$1:$R$1005,9,FALSE),0)</f>
        <v>25</v>
      </c>
      <c r="J13" s="358">
        <f>IFERROR(VLOOKUP($A13,'PP DS Query'!$C$1:$R$1005,10,FALSE),0)</f>
        <v>575826465.75</v>
      </c>
      <c r="K13" s="523">
        <f>IFERROR(VLOOKUP($A13,'PP DS Query'!$C$1:$R$1005,11,FALSE),0)</f>
        <v>15.5</v>
      </c>
      <c r="L13" s="358">
        <f>IFERROR(VLOOKUP($A13,'PP DS Query'!$C$1:$R$1005,12,FALSE),0)</f>
        <v>357012408.76999998</v>
      </c>
      <c r="M13" s="19">
        <f>IFERROR(VLOOKUP($A13,'PP DS Query'!$C$1:$R$1005,13,FALSE),0)</f>
        <v>0.38379999999999997</v>
      </c>
      <c r="N13" s="358">
        <f>IFERROR(VLOOKUP($A13,'PP DS Query'!$C$1:$R$1005,14,FALSE),0)</f>
        <v>8840087.9000000004</v>
      </c>
      <c r="O13" s="56">
        <f>IFERROR(VLOOKUP($A13,'PP DS Query'!$C$1:$R$1005,4,FALSE),0)</f>
        <v>-0.01</v>
      </c>
      <c r="P13" s="358">
        <f>-IFERROR(VLOOKUP($A13,'PP DS Query'!$C$1:$R$1005,15,FALSE),0)</f>
        <v>230330.59</v>
      </c>
      <c r="Q13" s="358">
        <f>IFERROR(VLOOKUP($A13,'PP DS Query'!$C$1:$R$1005,16,FALSE),0)</f>
        <v>8965426.1799999997</v>
      </c>
      <c r="R13" s="48"/>
      <c r="S13" s="472">
        <f>IFERROR(ROUND(LEFT(A13,7)*100,0),0)</f>
        <v>31151</v>
      </c>
      <c r="T13" s="472" t="s">
        <v>962</v>
      </c>
      <c r="U13" s="474">
        <f>IFERROR(VLOOKUP($S13,#REF!,6,FALSE),0)</f>
        <v>0</v>
      </c>
      <c r="V13" s="473">
        <f>U13-F13</f>
        <v>-23033058.629999999</v>
      </c>
    </row>
    <row r="14" spans="1:22" ht="15.95" customHeight="1" x14ac:dyDescent="0.2">
      <c r="A14" s="49" t="s">
        <v>434</v>
      </c>
      <c r="B14" s="499">
        <f>IFERROR(VLOOKUP($A14,'PP DS Query'!$C$1:$R$1005,5,FALSE),0)</f>
        <v>2035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57031.31</v>
      </c>
      <c r="G14" s="523">
        <f>IFERROR(VLOOKUP($A14,'PP DS Query'!$C$1:$R$1005,7,FALSE),0)</f>
        <v>9.5</v>
      </c>
      <c r="H14" s="358">
        <f>IFERROR(VLOOKUP($A14,'PP DS Query'!$C$1:$R$1005,8,FALSE),0)</f>
        <v>541797.44999999995</v>
      </c>
      <c r="I14" s="523">
        <f>IFERROR(VLOOKUP($A14,'PP DS Query'!$C$1:$R$1005,9,FALSE),0)</f>
        <v>24.91</v>
      </c>
      <c r="J14" s="358">
        <f>IFERROR(VLOOKUP($A14,'PP DS Query'!$C$1:$R$1005,10,FALSE),0)</f>
        <v>1420649.93</v>
      </c>
      <c r="K14" s="523">
        <f>IFERROR(VLOOKUP($A14,'PP DS Query'!$C$1:$R$1005,11,FALSE),0)</f>
        <v>15.384496</v>
      </c>
      <c r="L14" s="358">
        <f>IFERROR(VLOOKUP($A14,'PP DS Query'!$C$1:$R$1005,12,FALSE),0)</f>
        <v>877397.96</v>
      </c>
      <c r="M14" s="19">
        <f>IFERROR(VLOOKUP($A14,'PP DS Query'!$C$1:$R$1005,13,FALSE),0)</f>
        <v>0.38610299999999997</v>
      </c>
      <c r="N14" s="358">
        <f>IFERROR(VLOOKUP($A14,'PP DS Query'!$C$1:$R$1005,14,FALSE),0)</f>
        <v>22019.96</v>
      </c>
      <c r="O14" s="56">
        <f>IFERROR(VLOOKUP($A14,'PP DS Query'!$C$1:$R$1005,4,FALSE),0)</f>
        <v>-0.01</v>
      </c>
      <c r="P14" s="358">
        <f>-IFERROR(VLOOKUP($A14,'PP DS Query'!$C$1:$R$1005,15,FALSE),0)</f>
        <v>570.30999999999995</v>
      </c>
      <c r="Q14" s="358">
        <f>IFERROR(VLOOKUP($A14,'PP DS Query'!$C$1:$R$1005,16,FALSE),0)</f>
        <v>22332.17</v>
      </c>
      <c r="R14" s="48"/>
      <c r="S14" s="472">
        <f t="shared" ref="S14:S15" si="0">IFERROR(ROUND(LEFT(A14,7)*100,0),0)</f>
        <v>31151</v>
      </c>
      <c r="T14" s="472" t="s">
        <v>963</v>
      </c>
      <c r="U14" s="474">
        <f>IFERROR(VLOOKUP($S14,#REF!,7,FALSE),0)</f>
        <v>0</v>
      </c>
      <c r="V14" s="473">
        <f t="shared" ref="V14:V15" si="1">U14-F14</f>
        <v>-57031.31</v>
      </c>
    </row>
    <row r="15" spans="1:22" ht="15.95" customHeight="1" thickBot="1" x14ac:dyDescent="0.25">
      <c r="A15" s="49" t="s">
        <v>435</v>
      </c>
      <c r="B15" s="499">
        <f>IFERROR(VLOOKUP($A15,'PP DS Query'!$C$1:$R$1005,5,FALSE),0)</f>
        <v>2035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46533.05</v>
      </c>
      <c r="G15" s="524">
        <f>IFERROR(VLOOKUP($A15,'PP DS Query'!$C$1:$R$1005,7,FALSE),0)</f>
        <v>9.5</v>
      </c>
      <c r="H15" s="250">
        <f>IFERROR(VLOOKUP($A15,'PP DS Query'!$C$1:$R$1005,8,FALSE),0)</f>
        <v>442063.98</v>
      </c>
      <c r="I15" s="524">
        <f>IFERROR(VLOOKUP($A15,'PP DS Query'!$C$1:$R$1005,9,FALSE),0)</f>
        <v>20</v>
      </c>
      <c r="J15" s="250">
        <f>IFERROR(VLOOKUP($A15,'PP DS Query'!$C$1:$R$1005,10,FALSE),0)</f>
        <v>930661</v>
      </c>
      <c r="K15" s="524">
        <f>IFERROR(VLOOKUP($A15,'PP DS Query'!$C$1:$R$1005,11,FALSE),0)</f>
        <v>10.268020999999999</v>
      </c>
      <c r="L15" s="250">
        <f>IFERROR(VLOOKUP($A15,'PP DS Query'!$C$1:$R$1005,12,FALSE),0)</f>
        <v>477802.33</v>
      </c>
      <c r="M15" s="21">
        <f>IFERROR(VLOOKUP($A15,'PP DS Query'!$C$1:$R$1005,13,FALSE),0)</f>
        <v>0.49146487999999999</v>
      </c>
      <c r="N15" s="250">
        <f>IFERROR(VLOOKUP($A15,'PP DS Query'!$C$1:$R$1005,14,FALSE),0)</f>
        <v>22869.360000000001</v>
      </c>
      <c r="O15" s="57">
        <f>IFERROR(VLOOKUP($A15,'PP DS Query'!$C$1:$R$1005,4,FALSE),0)</f>
        <v>-0.01</v>
      </c>
      <c r="P15" s="250">
        <f>-IFERROR(VLOOKUP($A15,'PP DS Query'!$C$1:$R$1005,15,FALSE),0)</f>
        <v>465.33</v>
      </c>
      <c r="Q15" s="250">
        <f>IFERROR(VLOOKUP($A15,'PP DS Query'!$C$1:$R$1005,16,FALSE),0)</f>
        <v>23193.61</v>
      </c>
      <c r="R15" s="48"/>
      <c r="S15" s="472">
        <f t="shared" si="0"/>
        <v>31151</v>
      </c>
      <c r="T15" s="472" t="s">
        <v>964</v>
      </c>
      <c r="U15" s="475">
        <f>IFERROR(VLOOKUP($S15,#REF!,8,FALSE),0)</f>
        <v>0</v>
      </c>
      <c r="V15" s="476">
        <f t="shared" si="1"/>
        <v>-46533.05</v>
      </c>
    </row>
    <row r="16" spans="1:22" ht="15.95" customHeight="1" x14ac:dyDescent="0.2">
      <c r="A16" s="49" t="s">
        <v>436</v>
      </c>
      <c r="B16" s="499">
        <f>IFERROR(VLOOKUP($A16,'PP DS Query'!$C$1:$R$1005,5,FALSE),0)</f>
        <v>2035</v>
      </c>
      <c r="C16" s="33"/>
      <c r="D16" s="34"/>
      <c r="E16" s="15"/>
      <c r="F16" s="443">
        <f>IFERROR(VLOOKUP($A16,'PP DS Query'!$C$1:$R$1005,6,FALSE),0)</f>
        <v>23136622.989999998</v>
      </c>
      <c r="G16" s="525">
        <f>IFERROR(VLOOKUP($A16,'PP DS Query'!$C$1:$R$1005,7,FALSE),0)</f>
        <v>9.5</v>
      </c>
      <c r="H16" s="443">
        <f>IFERROR(VLOOKUP($A16,'PP DS Query'!$C$1:$R$1005,8,FALSE),0)</f>
        <v>219797918.41</v>
      </c>
      <c r="I16" s="525">
        <f>IFERROR(VLOOKUP($A16,'PP DS Query'!$C$1:$R$1005,9,FALSE),0)</f>
        <v>24.989722010000001</v>
      </c>
      <c r="J16" s="443">
        <f>IFERROR(VLOOKUP($A16,'PP DS Query'!$C$1:$R$1005,10,FALSE),0)</f>
        <v>578177776.67999995</v>
      </c>
      <c r="K16" s="525">
        <f>IFERROR(VLOOKUP($A16,'PP DS Query'!$C$1:$R$1005,11,FALSE),0)</f>
        <v>15.489192579999999</v>
      </c>
      <c r="L16" s="443">
        <f>IFERROR(VLOOKUP($A16,'PP DS Query'!$C$1:$R$1005,12,FALSE),0)</f>
        <v>358367609.06</v>
      </c>
      <c r="M16" s="445">
        <f>IFERROR(VLOOKUP($A16,'PP DS Query'!$C$1:$R$1005,13,FALSE),0)</f>
        <v>0.38402222000000003</v>
      </c>
      <c r="N16" s="443">
        <f>IFERROR(VLOOKUP($A16,'PP DS Query'!$C$1:$R$1005,14,FALSE),0)</f>
        <v>8884977.2200000007</v>
      </c>
      <c r="O16" s="446">
        <f>IFERROR(VLOOKUP($A16,'PP DS Query'!$C$1:$R$1005,4,FALSE),0)</f>
        <v>-0.01</v>
      </c>
      <c r="P16" s="443">
        <f>-IFERROR(VLOOKUP($A16,'PP DS Query'!$C$1:$R$1005,15,FALSE),0)</f>
        <v>231366.23</v>
      </c>
      <c r="Q16" s="443">
        <f>IFERROR(VLOOKUP($A16,'PP DS Query'!$C$1:$R$1005,16,FALSE),0)</f>
        <v>9010951.9600000009</v>
      </c>
      <c r="R16" s="48"/>
      <c r="U16" s="473">
        <f>SUM(U13:U15)</f>
        <v>0</v>
      </c>
      <c r="V16" s="473">
        <f>SUM(V13:V15)</f>
        <v>-23136622.989999998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1208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477</v>
      </c>
      <c r="B19" s="499">
        <f>IFERROR(VLOOKUP($A19,'PP DS Query'!$C$1:$R$1005,5,FALSE),0)</f>
        <v>2035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10977514.23</v>
      </c>
      <c r="G19" s="523">
        <f>IFERROR(VLOOKUP($A19,'PP DS Query'!$C$1:$R$1005,7,FALSE),0)</f>
        <v>9.4931438900000007</v>
      </c>
      <c r="H19" s="358">
        <f>IFERROR(VLOOKUP($A19,'PP DS Query'!$C$1:$R$1005,8,FALSE),0)</f>
        <v>104211122.15000001</v>
      </c>
      <c r="I19" s="523">
        <f>IFERROR(VLOOKUP($A19,'PP DS Query'!$C$1:$R$1005,9,FALSE),0)</f>
        <v>24.99</v>
      </c>
      <c r="J19" s="358">
        <f>IFERROR(VLOOKUP($A19,'PP DS Query'!$C$1:$R$1005,10,FALSE),0)</f>
        <v>274328080.61000001</v>
      </c>
      <c r="K19" s="523">
        <f>IFERROR(VLOOKUP($A19,'PP DS Query'!$C$1:$R$1005,11,FALSE),0)</f>
        <v>15.5</v>
      </c>
      <c r="L19" s="358">
        <f>IFERROR(VLOOKUP($A19,'PP DS Query'!$C$1:$R$1005,12,FALSE),0)</f>
        <v>170151470.56999999</v>
      </c>
      <c r="M19" s="19">
        <f>IFERROR(VLOOKUP($A19,'PP DS Query'!$C$1:$R$1005,13,FALSE),0)</f>
        <v>0.39116956000000003</v>
      </c>
      <c r="N19" s="358">
        <f>IFERROR(VLOOKUP($A19,'PP DS Query'!$C$1:$R$1005,14,FALSE),0)</f>
        <v>4294069.4400000004</v>
      </c>
      <c r="O19" s="56">
        <f>IFERROR(VLOOKUP($A19,'PP DS Query'!$C$1:$R$1005,4,FALSE),0)</f>
        <v>-0.03</v>
      </c>
      <c r="P19" s="358">
        <f>-IFERROR(VLOOKUP($A19,'PP DS Query'!$C$1:$R$1005,15,FALSE),0)</f>
        <v>329325.43</v>
      </c>
      <c r="Q19" s="358">
        <f>IFERROR(VLOOKUP($A19,'PP DS Query'!$C$1:$R$1005,16,FALSE),0)</f>
        <v>4430674.3899999997</v>
      </c>
      <c r="R19" s="48"/>
      <c r="S19" s="472">
        <f>IFERROR(ROUND(LEFT(A19,7)*100,0),0)</f>
        <v>31251</v>
      </c>
      <c r="T19" s="472" t="s">
        <v>962</v>
      </c>
      <c r="U19" s="474">
        <f>IFERROR(VLOOKUP($S19,#REF!,6,FALSE),0)</f>
        <v>0</v>
      </c>
      <c r="V19" s="473">
        <f>U19-F19</f>
        <v>-10977514.23</v>
      </c>
    </row>
    <row r="20" spans="1:22" ht="15.95" customHeight="1" x14ac:dyDescent="0.2">
      <c r="A20" s="49" t="s">
        <v>478</v>
      </c>
      <c r="B20" s="499">
        <f>IFERROR(VLOOKUP($A20,'PP DS Query'!$C$1:$R$1005,5,FALSE),0)</f>
        <v>2035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22995377.350000001</v>
      </c>
      <c r="G20" s="523">
        <f>IFERROR(VLOOKUP($A20,'PP DS Query'!$C$1:$R$1005,7,FALSE),0)</f>
        <v>9.5</v>
      </c>
      <c r="H20" s="358">
        <f>IFERROR(VLOOKUP($A20,'PP DS Query'!$C$1:$R$1005,8,FALSE),0)</f>
        <v>218456084.83000001</v>
      </c>
      <c r="I20" s="523">
        <f>IFERROR(VLOOKUP($A20,'PP DS Query'!$C$1:$R$1005,9,FALSE),0)</f>
        <v>24.91</v>
      </c>
      <c r="J20" s="358">
        <f>IFERROR(VLOOKUP($A20,'PP DS Query'!$C$1:$R$1005,10,FALSE),0)</f>
        <v>572814849.78999996</v>
      </c>
      <c r="K20" s="523">
        <f>IFERROR(VLOOKUP($A20,'PP DS Query'!$C$1:$R$1005,11,FALSE),0)</f>
        <v>15.384496</v>
      </c>
      <c r="L20" s="358">
        <f>IFERROR(VLOOKUP($A20,'PP DS Query'!$C$1:$R$1005,12,FALSE),0)</f>
        <v>353772290.86000001</v>
      </c>
      <c r="M20" s="19">
        <f>IFERROR(VLOOKUP($A20,'PP DS Query'!$C$1:$R$1005,13,FALSE),0)</f>
        <v>0.39374863999999998</v>
      </c>
      <c r="N20" s="358">
        <f>IFERROR(VLOOKUP($A20,'PP DS Query'!$C$1:$R$1005,14,FALSE),0)</f>
        <v>9054398.5199999996</v>
      </c>
      <c r="O20" s="56">
        <f>IFERROR(VLOOKUP($A20,'PP DS Query'!$C$1:$R$1005,4,FALSE),0)</f>
        <v>-0.03</v>
      </c>
      <c r="P20" s="358">
        <f>-IFERROR(VLOOKUP($A20,'PP DS Query'!$C$1:$R$1005,15,FALSE),0)</f>
        <v>689861.32</v>
      </c>
      <c r="Q20" s="358">
        <f>IFERROR(VLOOKUP($A20,'PP DS Query'!$C$1:$R$1005,16,FALSE),0)</f>
        <v>9342441.3000000007</v>
      </c>
      <c r="R20" s="48"/>
      <c r="S20" s="472">
        <f t="shared" ref="S20:S21" si="2">IFERROR(ROUND(LEFT(A20,7)*100,0),0)</f>
        <v>31251</v>
      </c>
      <c r="T20" s="472" t="s">
        <v>963</v>
      </c>
      <c r="U20" s="474">
        <f>IFERROR(VLOOKUP($S20,#REF!,7,FALSE),0)</f>
        <v>0</v>
      </c>
      <c r="V20" s="473">
        <f t="shared" ref="V20:V21" si="3">U20-F20</f>
        <v>-22995377.350000001</v>
      </c>
    </row>
    <row r="21" spans="1:22" ht="15.95" customHeight="1" thickBot="1" x14ac:dyDescent="0.25">
      <c r="A21" s="396" t="s">
        <v>479</v>
      </c>
      <c r="B21" s="499">
        <f>IFERROR(VLOOKUP($A21,'PP DS Query'!$C$1:$R$1005,5,FALSE),0)</f>
        <v>2035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13012201.33</v>
      </c>
      <c r="G21" s="524">
        <f>IFERROR(VLOOKUP($A21,'PP DS Query'!$C$1:$R$1005,7,FALSE),0)</f>
        <v>9.0006599900000008</v>
      </c>
      <c r="H21" s="250">
        <f>IFERROR(VLOOKUP($A21,'PP DS Query'!$C$1:$R$1005,8,FALSE),0)</f>
        <v>117118399.84</v>
      </c>
      <c r="I21" s="524">
        <f>IFERROR(VLOOKUP($A21,'PP DS Query'!$C$1:$R$1005,9,FALSE),0)</f>
        <v>19.84</v>
      </c>
      <c r="J21" s="250">
        <f>IFERROR(VLOOKUP($A21,'PP DS Query'!$C$1:$R$1005,10,FALSE),0)</f>
        <v>258162074.38999999</v>
      </c>
      <c r="K21" s="524">
        <f>IFERROR(VLOOKUP($A21,'PP DS Query'!$C$1:$R$1005,11,FALSE),0)</f>
        <v>10.627962</v>
      </c>
      <c r="L21" s="250">
        <f>IFERROR(VLOOKUP($A21,'PP DS Query'!$C$1:$R$1005,12,FALSE),0)</f>
        <v>138293181.27000001</v>
      </c>
      <c r="M21" s="21">
        <f>IFERROR(VLOOKUP($A21,'PP DS Query'!$C$1:$R$1005,13,FALSE),0)</f>
        <v>0.47813505000000001</v>
      </c>
      <c r="N21" s="250">
        <f>IFERROR(VLOOKUP($A21,'PP DS Query'!$C$1:$R$1005,14,FALSE),0)</f>
        <v>6221589.5099999998</v>
      </c>
      <c r="O21" s="57">
        <f>IFERROR(VLOOKUP($A21,'PP DS Query'!$C$1:$R$1005,4,FALSE),0)</f>
        <v>-0.03</v>
      </c>
      <c r="P21" s="250">
        <f>-IFERROR(VLOOKUP($A21,'PP DS Query'!$C$1:$R$1005,15,FALSE),0)</f>
        <v>390366.04</v>
      </c>
      <c r="Q21" s="250">
        <f>IFERROR(VLOOKUP($A21,'PP DS Query'!$C$1:$R$1005,16,FALSE),0)</f>
        <v>6419513.6399999997</v>
      </c>
      <c r="R21" s="48"/>
      <c r="S21" s="472">
        <f t="shared" si="2"/>
        <v>31251</v>
      </c>
      <c r="T21" s="472" t="s">
        <v>964</v>
      </c>
      <c r="U21" s="475">
        <f>IFERROR(VLOOKUP($S21,#REF!,8,FALSE),0)</f>
        <v>0</v>
      </c>
      <c r="V21" s="476">
        <f t="shared" si="3"/>
        <v>-13012201.33</v>
      </c>
    </row>
    <row r="22" spans="1:22" ht="15.95" customHeight="1" x14ac:dyDescent="0.2">
      <c r="A22" s="49" t="s">
        <v>480</v>
      </c>
      <c r="B22" s="499">
        <f>IFERROR(VLOOKUP($A22,'PP DS Query'!$C$1:$R$1005,5,FALSE),0)</f>
        <v>2035</v>
      </c>
      <c r="C22" s="33"/>
      <c r="D22" s="34"/>
      <c r="E22" s="15"/>
      <c r="F22" s="443">
        <f>IFERROR(VLOOKUP($A22,'PP DS Query'!$C$1:$R$1005,6,FALSE),0)</f>
        <v>46985092.909999996</v>
      </c>
      <c r="G22" s="525">
        <f>IFERROR(VLOOKUP($A22,'PP DS Query'!$C$1:$R$1005,7,FALSE),0)</f>
        <v>9.3601093399999993</v>
      </c>
      <c r="H22" s="443">
        <f>IFERROR(VLOOKUP($A22,'PP DS Query'!$C$1:$R$1005,8,FALSE),0)</f>
        <v>439785606.81</v>
      </c>
      <c r="I22" s="525">
        <f>IFERROR(VLOOKUP($A22,'PP DS Query'!$C$1:$R$1005,9,FALSE),0)</f>
        <v>23.524589110000001</v>
      </c>
      <c r="J22" s="443">
        <f>IFERROR(VLOOKUP($A22,'PP DS Query'!$C$1:$R$1005,10,FALSE),0)</f>
        <v>1105305004.78</v>
      </c>
      <c r="K22" s="525">
        <f>IFERROR(VLOOKUP($A22,'PP DS Query'!$C$1:$R$1005,11,FALSE),0)</f>
        <v>14.094192469999999</v>
      </c>
      <c r="L22" s="443">
        <f>IFERROR(VLOOKUP($A22,'PP DS Query'!$C$1:$R$1005,12,FALSE),0)</f>
        <v>662216942.70000005</v>
      </c>
      <c r="M22" s="445">
        <f>IFERROR(VLOOKUP($A22,'PP DS Query'!$C$1:$R$1005,13,FALSE),0)</f>
        <v>0.41651631</v>
      </c>
      <c r="N22" s="443">
        <f>IFERROR(VLOOKUP($A22,'PP DS Query'!$C$1:$R$1005,14,FALSE),0)</f>
        <v>19570057.469999999</v>
      </c>
      <c r="O22" s="446">
        <f>IFERROR(VLOOKUP($A22,'PP DS Query'!$C$1:$R$1005,4,FALSE),0)</f>
        <v>-0.03</v>
      </c>
      <c r="P22" s="443">
        <f>-IFERROR(VLOOKUP($A22,'PP DS Query'!$C$1:$R$1005,15,FALSE),0)</f>
        <v>1409552.79</v>
      </c>
      <c r="Q22" s="443">
        <f>IFERROR(VLOOKUP($A22,'PP DS Query'!$C$1:$R$1005,16,FALSE),0)</f>
        <v>20192629.329999998</v>
      </c>
      <c r="R22" s="48"/>
      <c r="U22" s="473">
        <f>SUM(U19:U21)</f>
        <v>0</v>
      </c>
      <c r="V22" s="473">
        <f>SUM(V19:V21)</f>
        <v>-46985092.909999996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1209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396" t="s">
        <v>1026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31451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1027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31451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1028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31451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1092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1210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541</v>
      </c>
      <c r="B31" s="499">
        <f>IFERROR(VLOOKUP($A31,'PP DS Query'!$C$1:$R$1005,5,FALSE),0)</f>
        <v>2035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3757371.17</v>
      </c>
      <c r="G31" s="523">
        <f>IFERROR(VLOOKUP($A31,'PP DS Query'!$C$1:$R$1005,7,FALSE),0)</f>
        <v>9.5</v>
      </c>
      <c r="H31" s="358">
        <f>IFERROR(VLOOKUP($A31,'PP DS Query'!$C$1:$R$1005,8,FALSE),0)</f>
        <v>35695026.119999997</v>
      </c>
      <c r="I31" s="523">
        <f>IFERROR(VLOOKUP($A31,'PP DS Query'!$C$1:$R$1005,9,FALSE),0)</f>
        <v>25</v>
      </c>
      <c r="J31" s="358">
        <f>IFERROR(VLOOKUP($A31,'PP DS Query'!$C$1:$R$1005,10,FALSE),0)</f>
        <v>93934279.25</v>
      </c>
      <c r="K31" s="523">
        <f>IFERROR(VLOOKUP($A31,'PP DS Query'!$C$1:$R$1005,11,FALSE),0)</f>
        <v>15.5</v>
      </c>
      <c r="L31" s="358">
        <f>IFERROR(VLOOKUP($A31,'PP DS Query'!$C$1:$R$1005,12,FALSE),0)</f>
        <v>58239253.140000001</v>
      </c>
      <c r="M31" s="19">
        <f>IFERROR(VLOOKUP($A31,'PP DS Query'!$C$1:$R$1005,13,FALSE),0)</f>
        <v>0.39140000000000003</v>
      </c>
      <c r="N31" s="358">
        <f>IFERROR(VLOOKUP($A31,'PP DS Query'!$C$1:$R$1005,14,FALSE),0)</f>
        <v>1470635.08</v>
      </c>
      <c r="O31" s="56">
        <f>IFERROR(VLOOKUP($A31,'PP DS Query'!$C$1:$R$1005,4,FALSE),0)</f>
        <v>-0.03</v>
      </c>
      <c r="P31" s="358">
        <f>-IFERROR(VLOOKUP($A31,'PP DS Query'!$C$1:$R$1005,15,FALSE),0)</f>
        <v>112721.14</v>
      </c>
      <c r="Q31" s="358">
        <f>IFERROR(VLOOKUP($A31,'PP DS Query'!$C$1:$R$1005,16,FALSE),0)</f>
        <v>1606516.33</v>
      </c>
      <c r="R31" s="48"/>
      <c r="S31" s="472">
        <f>IFERROR(ROUND(LEFT(A31,7)*100,0),0)</f>
        <v>31551</v>
      </c>
      <c r="T31" s="472" t="s">
        <v>962</v>
      </c>
      <c r="U31" s="474">
        <f>IFERROR(VLOOKUP($S31,#REF!,6,FALSE),0)</f>
        <v>0</v>
      </c>
      <c r="V31" s="473">
        <f>U31-F31</f>
        <v>-3757371.17</v>
      </c>
    </row>
    <row r="32" spans="1:22" ht="15.95" customHeight="1" x14ac:dyDescent="0.2">
      <c r="A32" s="49" t="s">
        <v>542</v>
      </c>
      <c r="B32" s="499">
        <f>IFERROR(VLOOKUP($A32,'PP DS Query'!$C$1:$R$1005,5,FALSE),0)</f>
        <v>2035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7699507.1500000004</v>
      </c>
      <c r="G32" s="523">
        <f>IFERROR(VLOOKUP($A32,'PP DS Query'!$C$1:$R$1005,7,FALSE),0)</f>
        <v>9.5</v>
      </c>
      <c r="H32" s="358">
        <f>IFERROR(VLOOKUP($A32,'PP DS Query'!$C$1:$R$1005,8,FALSE),0)</f>
        <v>73145317.930000007</v>
      </c>
      <c r="I32" s="523">
        <f>IFERROR(VLOOKUP($A32,'PP DS Query'!$C$1:$R$1005,9,FALSE),0)</f>
        <v>24.91</v>
      </c>
      <c r="J32" s="358">
        <f>IFERROR(VLOOKUP($A32,'PP DS Query'!$C$1:$R$1005,10,FALSE),0)</f>
        <v>191794723.11000001</v>
      </c>
      <c r="K32" s="523">
        <f>IFERROR(VLOOKUP($A32,'PP DS Query'!$C$1:$R$1005,11,FALSE),0)</f>
        <v>15.384496</v>
      </c>
      <c r="L32" s="358">
        <f>IFERROR(VLOOKUP($A32,'PP DS Query'!$C$1:$R$1005,12,FALSE),0)</f>
        <v>118453036.95</v>
      </c>
      <c r="M32" s="19">
        <f>IFERROR(VLOOKUP($A32,'PP DS Query'!$C$1:$R$1005,13,FALSE),0)</f>
        <v>0.39374863999999998</v>
      </c>
      <c r="N32" s="358">
        <f>IFERROR(VLOOKUP($A32,'PP DS Query'!$C$1:$R$1005,14,FALSE),0)</f>
        <v>3031670.46</v>
      </c>
      <c r="O32" s="56">
        <f>IFERROR(VLOOKUP($A32,'PP DS Query'!$C$1:$R$1005,4,FALSE),0)</f>
        <v>-0.03</v>
      </c>
      <c r="P32" s="358">
        <f>-IFERROR(VLOOKUP($A32,'PP DS Query'!$C$1:$R$1005,15,FALSE),0)</f>
        <v>230985.21</v>
      </c>
      <c r="Q32" s="358">
        <f>IFERROR(VLOOKUP($A32,'PP DS Query'!$C$1:$R$1005,16,FALSE),0)</f>
        <v>3311785.61</v>
      </c>
      <c r="R32" s="48"/>
      <c r="S32" s="472">
        <f t="shared" ref="S32:S33" si="6">IFERROR(ROUND(LEFT(A32,7)*100,0),0)</f>
        <v>31551</v>
      </c>
      <c r="T32" s="472" t="s">
        <v>963</v>
      </c>
      <c r="U32" s="474">
        <f>IFERROR(VLOOKUP($S32,#REF!,7,FALSE),0)</f>
        <v>0</v>
      </c>
      <c r="V32" s="473">
        <f t="shared" ref="V32:V33" si="7">U32-F32</f>
        <v>-7699507.1500000004</v>
      </c>
    </row>
    <row r="33" spans="1:22" ht="15.95" customHeight="1" thickBot="1" x14ac:dyDescent="0.25">
      <c r="A33" s="49" t="s">
        <v>543</v>
      </c>
      <c r="B33" s="499">
        <f>IFERROR(VLOOKUP($A33,'PP DS Query'!$C$1:$R$1005,5,FALSE),0)</f>
        <v>2035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3119152.25</v>
      </c>
      <c r="G33" s="524">
        <f>IFERROR(VLOOKUP($A33,'PP DS Query'!$C$1:$R$1005,7,FALSE),0)</f>
        <v>9.5</v>
      </c>
      <c r="H33" s="250">
        <f>IFERROR(VLOOKUP($A33,'PP DS Query'!$C$1:$R$1005,8,FALSE),0)</f>
        <v>29631946.379999999</v>
      </c>
      <c r="I33" s="524">
        <f>IFERROR(VLOOKUP($A33,'PP DS Query'!$C$1:$R$1005,9,FALSE),0)</f>
        <v>20</v>
      </c>
      <c r="J33" s="250">
        <f>IFERROR(VLOOKUP($A33,'PP DS Query'!$C$1:$R$1005,10,FALSE),0)</f>
        <v>62383045</v>
      </c>
      <c r="K33" s="524">
        <f>IFERROR(VLOOKUP($A33,'PP DS Query'!$C$1:$R$1005,11,FALSE),0)</f>
        <v>10.268020999999999</v>
      </c>
      <c r="L33" s="250">
        <f>IFERROR(VLOOKUP($A33,'PP DS Query'!$C$1:$R$1005,12,FALSE),0)</f>
        <v>32027520.809999999</v>
      </c>
      <c r="M33" s="21">
        <f>IFERROR(VLOOKUP($A33,'PP DS Query'!$C$1:$R$1005,13,FALSE),0)</f>
        <v>0.50119691</v>
      </c>
      <c r="N33" s="250">
        <f>IFERROR(VLOOKUP($A33,'PP DS Query'!$C$1:$R$1005,14,FALSE),0)</f>
        <v>1563309.47</v>
      </c>
      <c r="O33" s="57">
        <f>IFERROR(VLOOKUP($A33,'PP DS Query'!$C$1:$R$1005,4,FALSE),0)</f>
        <v>-0.03</v>
      </c>
      <c r="P33" s="250">
        <f>-IFERROR(VLOOKUP($A33,'PP DS Query'!$C$1:$R$1005,15,FALSE),0)</f>
        <v>93574.57</v>
      </c>
      <c r="Q33" s="250">
        <f>IFERROR(VLOOKUP($A33,'PP DS Query'!$C$1:$R$1005,16,FALSE),0)</f>
        <v>1707753.49</v>
      </c>
      <c r="R33" s="48"/>
      <c r="S33" s="472">
        <f t="shared" si="6"/>
        <v>31551</v>
      </c>
      <c r="T33" s="472" t="s">
        <v>964</v>
      </c>
      <c r="U33" s="475">
        <f>IFERROR(VLOOKUP($S33,#REF!,8,FALSE),0)</f>
        <v>0</v>
      </c>
      <c r="V33" s="476">
        <f t="shared" si="7"/>
        <v>-3119152.25</v>
      </c>
    </row>
    <row r="34" spans="1:22" ht="15.95" customHeight="1" x14ac:dyDescent="0.2">
      <c r="A34" s="49" t="s">
        <v>544</v>
      </c>
      <c r="B34" s="499">
        <f>IFERROR(VLOOKUP($A34,'PP DS Query'!$C$1:$R$1005,5,FALSE),0)</f>
        <v>2035</v>
      </c>
      <c r="C34" s="33"/>
      <c r="D34" s="34"/>
      <c r="E34" s="15"/>
      <c r="F34" s="443">
        <f>IFERROR(VLOOKUP($A34,'PP DS Query'!$C$1:$R$1005,6,FALSE),0)</f>
        <v>14576030.57</v>
      </c>
      <c r="G34" s="525">
        <f>IFERROR(VLOOKUP($A34,'PP DS Query'!$C$1:$R$1005,7,FALSE),0)</f>
        <v>9.5</v>
      </c>
      <c r="H34" s="443">
        <f>IFERROR(VLOOKUP($A34,'PP DS Query'!$C$1:$R$1005,8,FALSE),0)</f>
        <v>138472290.41999999</v>
      </c>
      <c r="I34" s="525">
        <f>IFERROR(VLOOKUP($A34,'PP DS Query'!$C$1:$R$1005,9,FALSE),0)</f>
        <v>23.882499809999999</v>
      </c>
      <c r="J34" s="443">
        <f>IFERROR(VLOOKUP($A34,'PP DS Query'!$C$1:$R$1005,10,FALSE),0)</f>
        <v>348112047.36000001</v>
      </c>
      <c r="K34" s="525">
        <f>IFERROR(VLOOKUP($A34,'PP DS Query'!$C$1:$R$1005,11,FALSE),0)</f>
        <v>14.319386189999999</v>
      </c>
      <c r="L34" s="443">
        <f>IFERROR(VLOOKUP($A34,'PP DS Query'!$C$1:$R$1005,12,FALSE),0)</f>
        <v>208719810.88999999</v>
      </c>
      <c r="M34" s="445">
        <f>IFERROR(VLOOKUP($A34,'PP DS Query'!$C$1:$R$1005,13,FALSE),0)</f>
        <v>0.41613626999999997</v>
      </c>
      <c r="N34" s="443">
        <f>IFERROR(VLOOKUP($A34,'PP DS Query'!$C$1:$R$1005,14,FALSE),0)</f>
        <v>6065615.0099999998</v>
      </c>
      <c r="O34" s="446">
        <f>IFERROR(VLOOKUP($A34,'PP DS Query'!$C$1:$R$1005,4,FALSE),0)</f>
        <v>-0.03</v>
      </c>
      <c r="P34" s="443">
        <f>-IFERROR(VLOOKUP($A34,'PP DS Query'!$C$1:$R$1005,15,FALSE),0)</f>
        <v>437280.92</v>
      </c>
      <c r="Q34" s="443">
        <f>IFERROR(VLOOKUP($A34,'PP DS Query'!$C$1:$R$1005,16,FALSE),0)</f>
        <v>6626055.4299999997</v>
      </c>
      <c r="R34" s="48"/>
      <c r="U34" s="473">
        <f>SUM(U31:U33)</f>
        <v>0</v>
      </c>
      <c r="V34" s="473">
        <f>SUM(V31:V33)</f>
        <v>-14576030.57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1211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581</v>
      </c>
      <c r="B37" s="499">
        <f>IFERROR(VLOOKUP($A37,'PP DS Query'!$C$1:$R$1005,5,FALSE),0)</f>
        <v>2035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702118.6</v>
      </c>
      <c r="G37" s="523">
        <f>IFERROR(VLOOKUP($A37,'PP DS Query'!$C$1:$R$1005,7,FALSE),0)</f>
        <v>9.5</v>
      </c>
      <c r="H37" s="358">
        <f>IFERROR(VLOOKUP($A37,'PP DS Query'!$C$1:$R$1005,8,FALSE),0)</f>
        <v>6670126.7000000002</v>
      </c>
      <c r="I37" s="523">
        <f>IFERROR(VLOOKUP($A37,'PP DS Query'!$C$1:$R$1005,9,FALSE),0)</f>
        <v>25</v>
      </c>
      <c r="J37" s="358">
        <f>IFERROR(VLOOKUP($A37,'PP DS Query'!$C$1:$R$1005,10,FALSE),0)</f>
        <v>17552965</v>
      </c>
      <c r="K37" s="523">
        <f>IFERROR(VLOOKUP($A37,'PP DS Query'!$C$1:$R$1005,11,FALSE),0)</f>
        <v>15.5</v>
      </c>
      <c r="L37" s="358">
        <f>IFERROR(VLOOKUP($A37,'PP DS Query'!$C$1:$R$1005,12,FALSE),0)</f>
        <v>10882838.300000001</v>
      </c>
      <c r="M37" s="19">
        <f>IFERROR(VLOOKUP($A37,'PP DS Query'!$C$1:$R$1005,13,FALSE),0)</f>
        <v>0.38379999999999997</v>
      </c>
      <c r="N37" s="358">
        <f>IFERROR(VLOOKUP($A37,'PP DS Query'!$C$1:$R$1005,14,FALSE),0)</f>
        <v>269473.12</v>
      </c>
      <c r="O37" s="56">
        <f>IFERROR(VLOOKUP($A37,'PP DS Query'!$C$1:$R$1005,4,FALSE),0)</f>
        <v>-0.01</v>
      </c>
      <c r="P37" s="358">
        <f>-IFERROR(VLOOKUP($A37,'PP DS Query'!$C$1:$R$1005,15,FALSE),0)</f>
        <v>7021.19</v>
      </c>
      <c r="Q37" s="358">
        <f>IFERROR(VLOOKUP($A37,'PP DS Query'!$C$1:$R$1005,16,FALSE),0)</f>
        <v>274190.01</v>
      </c>
      <c r="R37" s="48"/>
      <c r="S37" s="472">
        <f>IFERROR(ROUND(LEFT(A37,7)*100,0),0)</f>
        <v>31651</v>
      </c>
      <c r="T37" s="472" t="s">
        <v>962</v>
      </c>
      <c r="U37" s="474">
        <f>IFERROR(VLOOKUP($S37,#REF!,6,FALSE),0)</f>
        <v>0</v>
      </c>
      <c r="V37" s="473">
        <f>U37-F37</f>
        <v>-702118.6</v>
      </c>
    </row>
    <row r="38" spans="1:22" ht="15.95" customHeight="1" x14ac:dyDescent="0.2">
      <c r="A38" s="49" t="s">
        <v>582</v>
      </c>
      <c r="B38" s="499">
        <f>IFERROR(VLOOKUP($A38,'PP DS Query'!$C$1:$R$1005,5,FALSE),0)</f>
        <v>2035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141394.13</v>
      </c>
      <c r="G38" s="523">
        <f>IFERROR(VLOOKUP($A38,'PP DS Query'!$C$1:$R$1005,7,FALSE),0)</f>
        <v>9.5</v>
      </c>
      <c r="H38" s="358">
        <f>IFERROR(VLOOKUP($A38,'PP DS Query'!$C$1:$R$1005,8,FALSE),0)</f>
        <v>1343244.24</v>
      </c>
      <c r="I38" s="523">
        <f>IFERROR(VLOOKUP($A38,'PP DS Query'!$C$1:$R$1005,9,FALSE),0)</f>
        <v>24.91</v>
      </c>
      <c r="J38" s="358">
        <f>IFERROR(VLOOKUP($A38,'PP DS Query'!$C$1:$R$1005,10,FALSE),0)</f>
        <v>3522127.78</v>
      </c>
      <c r="K38" s="523">
        <f>IFERROR(VLOOKUP($A38,'PP DS Query'!$C$1:$R$1005,11,FALSE),0)</f>
        <v>15.384496</v>
      </c>
      <c r="L38" s="358">
        <f>IFERROR(VLOOKUP($A38,'PP DS Query'!$C$1:$R$1005,12,FALSE),0)</f>
        <v>2175277.4300000002</v>
      </c>
      <c r="M38" s="19">
        <f>IFERROR(VLOOKUP($A38,'PP DS Query'!$C$1:$R$1005,13,FALSE),0)</f>
        <v>0.38610302000000002</v>
      </c>
      <c r="N38" s="358">
        <f>IFERROR(VLOOKUP($A38,'PP DS Query'!$C$1:$R$1005,14,FALSE),0)</f>
        <v>54592.7</v>
      </c>
      <c r="O38" s="56">
        <f>IFERROR(VLOOKUP($A38,'PP DS Query'!$C$1:$R$1005,4,FALSE),0)</f>
        <v>-0.01</v>
      </c>
      <c r="P38" s="358">
        <f>-IFERROR(VLOOKUP($A38,'PP DS Query'!$C$1:$R$1005,15,FALSE),0)</f>
        <v>1413.94</v>
      </c>
      <c r="Q38" s="358">
        <f>IFERROR(VLOOKUP($A38,'PP DS Query'!$C$1:$R$1005,16,FALSE),0)</f>
        <v>55548.3</v>
      </c>
      <c r="R38" s="48"/>
      <c r="S38" s="472">
        <f t="shared" ref="S38:S39" si="8">IFERROR(ROUND(LEFT(A38,7)*100,0),0)</f>
        <v>31651</v>
      </c>
      <c r="T38" s="472" t="s">
        <v>963</v>
      </c>
      <c r="U38" s="474">
        <f>IFERROR(VLOOKUP($S38,#REF!,7,FALSE),0)</f>
        <v>0</v>
      </c>
      <c r="V38" s="473">
        <f t="shared" ref="V38:V39" si="9">U38-F38</f>
        <v>-141394.13</v>
      </c>
    </row>
    <row r="39" spans="1:22" ht="15.95" customHeight="1" thickBot="1" x14ac:dyDescent="0.25">
      <c r="A39" s="49" t="s">
        <v>583</v>
      </c>
      <c r="B39" s="499">
        <f>IFERROR(VLOOKUP($A39,'PP DS Query'!$C$1:$R$1005,5,FALSE),0)</f>
        <v>2035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36302.01</v>
      </c>
      <c r="G39" s="524">
        <f>IFERROR(VLOOKUP($A39,'PP DS Query'!$C$1:$R$1005,7,FALSE),0)</f>
        <v>9.5</v>
      </c>
      <c r="H39" s="250">
        <f>IFERROR(VLOOKUP($A39,'PP DS Query'!$C$1:$R$1005,8,FALSE),0)</f>
        <v>344869.1</v>
      </c>
      <c r="I39" s="524">
        <f>IFERROR(VLOOKUP($A39,'PP DS Query'!$C$1:$R$1005,9,FALSE),0)</f>
        <v>20</v>
      </c>
      <c r="J39" s="250">
        <f>IFERROR(VLOOKUP($A39,'PP DS Query'!$C$1:$R$1005,10,FALSE),0)</f>
        <v>726040.2</v>
      </c>
      <c r="K39" s="524">
        <f>IFERROR(VLOOKUP($A39,'PP DS Query'!$C$1:$R$1005,11,FALSE),0)</f>
        <v>10.268020999999999</v>
      </c>
      <c r="L39" s="250">
        <f>IFERROR(VLOOKUP($A39,'PP DS Query'!$C$1:$R$1005,12,FALSE),0)</f>
        <v>372749.8</v>
      </c>
      <c r="M39" s="21">
        <f>IFERROR(VLOOKUP($A39,'PP DS Query'!$C$1:$R$1005,13,FALSE),0)</f>
        <v>0.49146479999999998</v>
      </c>
      <c r="N39" s="250">
        <f>IFERROR(VLOOKUP($A39,'PP DS Query'!$C$1:$R$1005,14,FALSE),0)</f>
        <v>17841.16</v>
      </c>
      <c r="O39" s="57">
        <f>IFERROR(VLOOKUP($A39,'PP DS Query'!$C$1:$R$1005,4,FALSE),0)</f>
        <v>-0.01</v>
      </c>
      <c r="P39" s="250">
        <f>-IFERROR(VLOOKUP($A39,'PP DS Query'!$C$1:$R$1005,15,FALSE),0)</f>
        <v>363.02</v>
      </c>
      <c r="Q39" s="250">
        <f>IFERROR(VLOOKUP($A39,'PP DS Query'!$C$1:$R$1005,16,FALSE),0)</f>
        <v>18153.45</v>
      </c>
      <c r="R39" s="48"/>
      <c r="S39" s="472">
        <f t="shared" si="8"/>
        <v>31651</v>
      </c>
      <c r="T39" s="472" t="s">
        <v>964</v>
      </c>
      <c r="U39" s="475">
        <f>IFERROR(VLOOKUP($S39,#REF!,8,FALSE),0)</f>
        <v>0</v>
      </c>
      <c r="V39" s="476">
        <f t="shared" si="9"/>
        <v>-36302.01</v>
      </c>
    </row>
    <row r="40" spans="1:22" ht="15.95" customHeight="1" x14ac:dyDescent="0.2">
      <c r="A40" s="49" t="s">
        <v>584</v>
      </c>
      <c r="B40" s="499">
        <f>IFERROR(VLOOKUP($A40,'PP DS Query'!$C$1:$R$1005,5,FALSE),0)</f>
        <v>2035</v>
      </c>
      <c r="C40" s="33"/>
      <c r="D40" s="34"/>
      <c r="E40" s="15"/>
      <c r="F40" s="443">
        <f>IFERROR(VLOOKUP($A40,'PP DS Query'!$C$1:$R$1005,6,FALSE),0)</f>
        <v>879814.74</v>
      </c>
      <c r="G40" s="525">
        <f>IFERROR(VLOOKUP($A40,'PP DS Query'!$C$1:$R$1005,7,FALSE),0)</f>
        <v>9.5</v>
      </c>
      <c r="H40" s="443">
        <f>IFERROR(VLOOKUP($A40,'PP DS Query'!$C$1:$R$1005,8,FALSE),0)</f>
        <v>8358240.0300000003</v>
      </c>
      <c r="I40" s="525">
        <f>IFERROR(VLOOKUP($A40,'PP DS Query'!$C$1:$R$1005,9,FALSE),0)</f>
        <v>24.779231339999999</v>
      </c>
      <c r="J40" s="443">
        <f>IFERROR(VLOOKUP($A40,'PP DS Query'!$C$1:$R$1005,10,FALSE),0)</f>
        <v>21801132.98</v>
      </c>
      <c r="K40" s="525">
        <f>IFERROR(VLOOKUP($A40,'PP DS Query'!$C$1:$R$1005,11,FALSE),0)</f>
        <v>15.26556094</v>
      </c>
      <c r="L40" s="443">
        <f>IFERROR(VLOOKUP($A40,'PP DS Query'!$C$1:$R$1005,12,FALSE),0)</f>
        <v>13430865.529999999</v>
      </c>
      <c r="M40" s="445">
        <f>IFERROR(VLOOKUP($A40,'PP DS Query'!$C$1:$R$1005,13,FALSE),0)</f>
        <v>0.38861246999999999</v>
      </c>
      <c r="N40" s="443">
        <f>IFERROR(VLOOKUP($A40,'PP DS Query'!$C$1:$R$1005,14,FALSE),0)</f>
        <v>341906.98</v>
      </c>
      <c r="O40" s="446">
        <f>IFERROR(VLOOKUP($A40,'PP DS Query'!$C$1:$R$1005,4,FALSE),0)</f>
        <v>-0.01</v>
      </c>
      <c r="P40" s="443">
        <f>-IFERROR(VLOOKUP($A40,'PP DS Query'!$C$1:$R$1005,15,FALSE),0)</f>
        <v>8798.15</v>
      </c>
      <c r="Q40" s="443">
        <f>IFERROR(VLOOKUP($A40,'PP DS Query'!$C$1:$R$1005,16,FALSE),0)</f>
        <v>347891.76</v>
      </c>
      <c r="R40" s="48"/>
      <c r="U40" s="473">
        <f>SUM(U37:U39)</f>
        <v>0</v>
      </c>
      <c r="V40" s="473">
        <f>SUM(V37:V39)</f>
        <v>-879814.74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1 SCR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38470062.630000003</v>
      </c>
      <c r="G44" s="523">
        <f>IF($F44=0,0,H44/$F44)</f>
        <v>9.4980435949448818</v>
      </c>
      <c r="H44" s="358">
        <f>H13+H19+H25+H31+H37</f>
        <v>365390331.95999998</v>
      </c>
      <c r="I44" s="523">
        <f>IF($F44=0,0,J44/$F44)</f>
        <v>24.997146478781282</v>
      </c>
      <c r="J44" s="358">
        <f>J13+J19+J25+J31+J37</f>
        <v>961641790.61000001</v>
      </c>
      <c r="K44" s="523">
        <f>IF($F44=0,0,L44/$F44)</f>
        <v>15.500000000389912</v>
      </c>
      <c r="L44" s="358">
        <f>L13+L19+L25+L31+L37</f>
        <v>596285970.77999997</v>
      </c>
      <c r="M44" s="19">
        <f>IF($F44=0,0,N44/$F44)</f>
        <v>0.3866452124879215</v>
      </c>
      <c r="N44" s="358">
        <f>N13+N19+N25+N31+N37</f>
        <v>14874265.539999999</v>
      </c>
      <c r="O44" s="56">
        <f>-IF($F44=0,0,P44/$F44)</f>
        <v>-1.7660443044617936E-2</v>
      </c>
      <c r="P44" s="358">
        <f t="shared" ref="P44:Q46" si="10">P13+P19+P25+P31+P37</f>
        <v>679398.35</v>
      </c>
      <c r="Q44" s="358">
        <f t="shared" si="10"/>
        <v>15276806.91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30893309.940000001</v>
      </c>
      <c r="G45" s="523">
        <f>IF($F45=0,0,H45/$F45)</f>
        <v>9.5000000006473897</v>
      </c>
      <c r="H45" s="358">
        <f>H14+H20+H26+H32+H38</f>
        <v>293486444.45000005</v>
      </c>
      <c r="I45" s="523">
        <f>IF($F45=0,0,J45/$F45)</f>
        <v>24.910000000148894</v>
      </c>
      <c r="J45" s="358">
        <f>J14+J20+J26+J32+J38</f>
        <v>769552350.6099999</v>
      </c>
      <c r="K45" s="523">
        <f>IF($F45=0,0,L45/$F45)</f>
        <v>15.384496000042395</v>
      </c>
      <c r="L45" s="358">
        <f>L14+L20+L26+L32+L38</f>
        <v>475278003.19999999</v>
      </c>
      <c r="M45" s="19">
        <f>IF($F45=0,0,N45/$F45)</f>
        <v>0.39369953118076284</v>
      </c>
      <c r="N45" s="358">
        <f>N14+N20+N26+N32+N38</f>
        <v>12162681.640000001</v>
      </c>
      <c r="O45" s="56">
        <f>-IF($F45=0,0,P45/$F45)</f>
        <v>-2.9871541178083293E-2</v>
      </c>
      <c r="P45" s="358">
        <f t="shared" si="10"/>
        <v>922830.77999999991</v>
      </c>
      <c r="Q45" s="358">
        <f t="shared" si="10"/>
        <v>12732107.380000001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16214188.640000001</v>
      </c>
      <c r="G46" s="524">
        <f>IF($F46=0,0,H46/$F46)</f>
        <v>9.0992699404044934</v>
      </c>
      <c r="H46" s="250">
        <f>H15+H21+H27+H33+H39</f>
        <v>147537279.30000001</v>
      </c>
      <c r="I46" s="524">
        <f>IF($F46=0,0,J46/$F46)</f>
        <v>19.871596892312951</v>
      </c>
      <c r="J46" s="250">
        <f>J15+J21+J27+J33+J39</f>
        <v>322201820.58999997</v>
      </c>
      <c r="K46" s="524">
        <f>IF($F46=0,0,L46/$F46)</f>
        <v>10.55688064389018</v>
      </c>
      <c r="L46" s="250">
        <f>L15+L21+L27+L33+L39</f>
        <v>171171254.21000004</v>
      </c>
      <c r="M46" s="21">
        <f>IF($F46=0,0,N46/$F46)</f>
        <v>0.48263959879524382</v>
      </c>
      <c r="N46" s="250">
        <f>N15+N21+N27+N33+N39</f>
        <v>7825609.5</v>
      </c>
      <c r="O46" s="57">
        <f>-IF($F46=0,0,P46/$F46)</f>
        <v>-2.9897824107219712E-2</v>
      </c>
      <c r="P46" s="250">
        <f t="shared" si="10"/>
        <v>484768.96</v>
      </c>
      <c r="Q46" s="250">
        <f t="shared" si="10"/>
        <v>8168614.1900000004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85577561.210000008</v>
      </c>
      <c r="G47" s="525">
        <f>IF($F47=0,0,H47/$F47)</f>
        <v>9.4231951028743275</v>
      </c>
      <c r="H47" s="443">
        <f>SUM(H44:H46)</f>
        <v>806414055.71000004</v>
      </c>
      <c r="I47" s="525">
        <f>IF($F47=0,0,J47/$F47)</f>
        <v>23.994560405514967</v>
      </c>
      <c r="J47" s="443">
        <f>SUM(J44:J46)</f>
        <v>2053395961.8099997</v>
      </c>
      <c r="K47" s="525">
        <f>IF($F47=0,0,L47/$F47)</f>
        <v>14.521741571256443</v>
      </c>
      <c r="L47" s="443">
        <f>SUM(L44:L46)</f>
        <v>1242735228.1900001</v>
      </c>
      <c r="M47" s="445">
        <f>IF($F47=0,0,N47/$F47)</f>
        <v>0.40737964703680057</v>
      </c>
      <c r="N47" s="443">
        <f>SUM(N44:N46)</f>
        <v>34862556.68</v>
      </c>
      <c r="O47" s="446">
        <f>-IF($F47=0,0,P47/$F47)</f>
        <v>-2.4387211559799948E-2</v>
      </c>
      <c r="P47" s="443">
        <f>SUM(P44:P46)</f>
        <v>2086998.0899999999</v>
      </c>
      <c r="Q47" s="443">
        <f>SUM(Q44:Q46)</f>
        <v>36177528.479999997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31151</v>
      </c>
      <c r="F50" s="352">
        <f>IFERROR(VLOOKUP(E50,'2019 B-7'!C:P,14,FALSE),0)</f>
        <v>23136622.989999998</v>
      </c>
      <c r="G50" s="353">
        <f>F50-F16</f>
        <v>0</v>
      </c>
      <c r="P50" s="260">
        <f>E50</f>
        <v>31151</v>
      </c>
      <c r="Q50" s="352">
        <f>IFERROR(VLOOKUP(P50,'2019 B-9'!C:R,16,FALSE),0)</f>
        <v>9010951.9599999916</v>
      </c>
      <c r="R50" s="353">
        <f>Q50-Q16</f>
        <v>0</v>
      </c>
    </row>
    <row r="51" spans="5:18" x14ac:dyDescent="0.2">
      <c r="E51" s="260">
        <v>31251</v>
      </c>
      <c r="F51" s="352">
        <f>IFERROR(VLOOKUP(E51,'2019 B-7'!C:P,14,FALSE),0)</f>
        <v>46985092.910000004</v>
      </c>
      <c r="G51" s="353">
        <f>F51-F22</f>
        <v>0</v>
      </c>
      <c r="P51" s="260">
        <f t="shared" ref="P51:P54" si="11">E51</f>
        <v>31251</v>
      </c>
      <c r="Q51" s="352">
        <f>IFERROR(VLOOKUP(P51,'2019 B-9'!C:R,16,FALSE),0)</f>
        <v>20192629.330000002</v>
      </c>
      <c r="R51" s="353">
        <f>Q51-Q22</f>
        <v>0</v>
      </c>
    </row>
    <row r="52" spans="5:18" x14ac:dyDescent="0.2">
      <c r="E52" s="260">
        <v>31451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31451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31551</v>
      </c>
      <c r="F53" s="352">
        <f>IFERROR(VLOOKUP(E53,'2019 B-7'!C:P,14,FALSE),0)</f>
        <v>14576030.57</v>
      </c>
      <c r="G53" s="353">
        <f>F53-F34</f>
        <v>0</v>
      </c>
      <c r="P53" s="260">
        <f t="shared" si="11"/>
        <v>31551</v>
      </c>
      <c r="Q53" s="352">
        <f>IFERROR(VLOOKUP(P53,'2019 B-9'!C:R,16,FALSE),0)</f>
        <v>6626055.430000009</v>
      </c>
      <c r="R53" s="353">
        <f>Q53-Q34</f>
        <v>9.3132257461547852E-9</v>
      </c>
    </row>
    <row r="54" spans="5:18" x14ac:dyDescent="0.2">
      <c r="E54" s="260">
        <v>31651</v>
      </c>
      <c r="F54" s="352">
        <f>IFERROR(VLOOKUP(E54,'2019 B-7'!C:P,14,FALSE),0)</f>
        <v>879814.74</v>
      </c>
      <c r="G54" s="353">
        <f>F54-F40</f>
        <v>0</v>
      </c>
      <c r="P54" s="260">
        <f t="shared" si="11"/>
        <v>31651</v>
      </c>
      <c r="Q54" s="352">
        <f>IFERROR(VLOOKUP(P54,'2019 B-9'!C:R,16,FALSE),0)</f>
        <v>347891.76000000036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85577561.209999993</v>
      </c>
      <c r="G55" s="354">
        <f>SUM(G50:G54)</f>
        <v>0</v>
      </c>
      <c r="P55" s="349" t="s">
        <v>40</v>
      </c>
      <c r="Q55" s="354">
        <f>SUM(Q50:Q54)</f>
        <v>36177528.479999997</v>
      </c>
      <c r="R55" s="354">
        <f>SUM(R50:R54)</f>
        <v>9.3132257461547852E-9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9.3132257461547852E-9</v>
      </c>
    </row>
    <row r="57" spans="5:18" x14ac:dyDescent="0.2">
      <c r="E57" s="29"/>
      <c r="G57" s="18"/>
    </row>
    <row r="58" spans="5:18" x14ac:dyDescent="0.2">
      <c r="E58" s="29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57031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101</v>
      </c>
      <c r="D6" s="71"/>
      <c r="E6" s="6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2038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231" t="s">
        <v>1212</v>
      </c>
      <c r="E12" s="50"/>
      <c r="P12" s="18"/>
      <c r="Q12" s="18"/>
      <c r="R12" s="48"/>
    </row>
    <row r="13" spans="1:22" ht="15.95" customHeight="1" x14ac:dyDescent="0.2">
      <c r="A13" s="49" t="s">
        <v>437</v>
      </c>
      <c r="B13" s="499">
        <f>IFERROR(VLOOKUP($A13,'PP DS Query'!$C$1:$R$1005,5,FALSE),0)</f>
        <v>2038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25096029.129999999</v>
      </c>
      <c r="G13" s="523">
        <f>IFERROR(VLOOKUP($A13,'PP DS Query'!$C$1:$R$1005,7,FALSE),0)</f>
        <v>10.5</v>
      </c>
      <c r="H13" s="358">
        <f>IFERROR(VLOOKUP($A13,'PP DS Query'!$C$1:$R$1005,8,FALSE),0)</f>
        <v>263508305.87</v>
      </c>
      <c r="I13" s="523">
        <f>IFERROR(VLOOKUP($A13,'PP DS Query'!$C$1:$R$1005,9,FALSE),0)</f>
        <v>29</v>
      </c>
      <c r="J13" s="358">
        <f>IFERROR(VLOOKUP($A13,'PP DS Query'!$C$1:$R$1005,10,FALSE),0)</f>
        <v>727784844.76999998</v>
      </c>
      <c r="K13" s="523">
        <f>IFERROR(VLOOKUP($A13,'PP DS Query'!$C$1:$R$1005,11,FALSE),0)</f>
        <v>18.5</v>
      </c>
      <c r="L13" s="358">
        <f>IFERROR(VLOOKUP($A13,'PP DS Query'!$C$1:$R$1005,12,FALSE),0)</f>
        <v>464276538.91000003</v>
      </c>
      <c r="M13" s="19">
        <f>IFERROR(VLOOKUP($A13,'PP DS Query'!$C$1:$R$1005,13,FALSE),0)</f>
        <v>0.36568966000000003</v>
      </c>
      <c r="N13" s="358">
        <f>IFERROR(VLOOKUP($A13,'PP DS Query'!$C$1:$R$1005,14,FALSE),0)</f>
        <v>9177358.2400000002</v>
      </c>
      <c r="O13" s="56">
        <f>IFERROR(VLOOKUP($A13,'PP DS Query'!$C$1:$R$1005,4,FALSE),0)</f>
        <v>-0.01</v>
      </c>
      <c r="P13" s="358">
        <f>-IFERROR(VLOOKUP($A13,'PP DS Query'!$C$1:$R$1005,15,FALSE),0)</f>
        <v>250960.29</v>
      </c>
      <c r="Q13" s="358">
        <f>IFERROR(VLOOKUP($A13,'PP DS Query'!$C$1:$R$1005,16,FALSE),0)</f>
        <v>9213860.1099999994</v>
      </c>
      <c r="R13" s="48"/>
      <c r="S13" s="472">
        <f>IFERROR(ROUND(LEFT(A13,7)*100,0),0)</f>
        <v>31152</v>
      </c>
      <c r="T13" s="472" t="s">
        <v>962</v>
      </c>
      <c r="U13" s="474">
        <f>IFERROR(VLOOKUP($S13,#REF!,6,FALSE),0)</f>
        <v>0</v>
      </c>
      <c r="V13" s="473">
        <f>U13-F13</f>
        <v>-25096029.129999999</v>
      </c>
    </row>
    <row r="14" spans="1:22" ht="15.95" customHeight="1" x14ac:dyDescent="0.2">
      <c r="A14" s="49" t="s">
        <v>438</v>
      </c>
      <c r="B14" s="499">
        <f>IFERROR(VLOOKUP($A14,'PP DS Query'!$C$1:$R$1005,5,FALSE),0)</f>
        <v>2038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62139.35</v>
      </c>
      <c r="G14" s="523">
        <f>IFERROR(VLOOKUP($A14,'PP DS Query'!$C$1:$R$1005,7,FALSE),0)</f>
        <v>10.5</v>
      </c>
      <c r="H14" s="358">
        <f>IFERROR(VLOOKUP($A14,'PP DS Query'!$C$1:$R$1005,8,FALSE),0)</f>
        <v>652463.18000000005</v>
      </c>
      <c r="I14" s="523">
        <f>IFERROR(VLOOKUP($A14,'PP DS Query'!$C$1:$R$1005,9,FALSE),0)</f>
        <v>28.56</v>
      </c>
      <c r="J14" s="358">
        <f>IFERROR(VLOOKUP($A14,'PP DS Query'!$C$1:$R$1005,10,FALSE),0)</f>
        <v>1774699.84</v>
      </c>
      <c r="K14" s="523">
        <f>IFERROR(VLOOKUP($A14,'PP DS Query'!$C$1:$R$1005,11,FALSE),0)</f>
        <v>17.983450000000001</v>
      </c>
      <c r="L14" s="358">
        <f>IFERROR(VLOOKUP($A14,'PP DS Query'!$C$1:$R$1005,12,FALSE),0)</f>
        <v>1117479.8899999999</v>
      </c>
      <c r="M14" s="19">
        <f>IFERROR(VLOOKUP($A14,'PP DS Query'!$C$1:$R$1005,13,FALSE),0)</f>
        <v>0.37394307999999998</v>
      </c>
      <c r="N14" s="358">
        <f>IFERROR(VLOOKUP($A14,'PP DS Query'!$C$1:$R$1005,14,FALSE),0)</f>
        <v>23236.58</v>
      </c>
      <c r="O14" s="56">
        <f>IFERROR(VLOOKUP($A14,'PP DS Query'!$C$1:$R$1005,4,FALSE),0)</f>
        <v>-0.01</v>
      </c>
      <c r="P14" s="358">
        <f>-IFERROR(VLOOKUP($A14,'PP DS Query'!$C$1:$R$1005,15,FALSE),0)</f>
        <v>621.39</v>
      </c>
      <c r="Q14" s="358">
        <f>IFERROR(VLOOKUP($A14,'PP DS Query'!$C$1:$R$1005,16,FALSE),0)</f>
        <v>23329</v>
      </c>
      <c r="R14" s="48"/>
      <c r="S14" s="472">
        <f t="shared" ref="S14:S15" si="0">IFERROR(ROUND(LEFT(A14,7)*100,0),0)</f>
        <v>31152</v>
      </c>
      <c r="T14" s="472" t="s">
        <v>963</v>
      </c>
      <c r="U14" s="474">
        <f>IFERROR(VLOOKUP($S14,#REF!,7,FALSE),0)</f>
        <v>0</v>
      </c>
      <c r="V14" s="473">
        <f t="shared" ref="V14:V15" si="1">U14-F14</f>
        <v>-62139.35</v>
      </c>
    </row>
    <row r="15" spans="1:22" ht="15.95" customHeight="1" thickBot="1" x14ac:dyDescent="0.25">
      <c r="A15" s="49" t="s">
        <v>439</v>
      </c>
      <c r="B15" s="499">
        <f>IFERROR(VLOOKUP($A15,'PP DS Query'!$C$1:$R$1005,5,FALSE),0)</f>
        <v>2038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50700.82</v>
      </c>
      <c r="G15" s="524">
        <f>IFERROR(VLOOKUP($A15,'PP DS Query'!$C$1:$R$1005,7,FALSE),0)</f>
        <v>10.5</v>
      </c>
      <c r="H15" s="250">
        <f>IFERROR(VLOOKUP($A15,'PP DS Query'!$C$1:$R$1005,8,FALSE),0)</f>
        <v>532358.61</v>
      </c>
      <c r="I15" s="524">
        <f>IFERROR(VLOOKUP($A15,'PP DS Query'!$C$1:$R$1005,9,FALSE),0)</f>
        <v>20</v>
      </c>
      <c r="J15" s="250">
        <f>IFERROR(VLOOKUP($A15,'PP DS Query'!$C$1:$R$1005,10,FALSE),0)</f>
        <v>1014016.4</v>
      </c>
      <c r="K15" s="524">
        <f>IFERROR(VLOOKUP($A15,'PP DS Query'!$C$1:$R$1005,11,FALSE),0)</f>
        <v>9.7194160000000007</v>
      </c>
      <c r="L15" s="250">
        <f>IFERROR(VLOOKUP($A15,'PP DS Query'!$C$1:$R$1005,12,FALSE),0)</f>
        <v>492782.36</v>
      </c>
      <c r="M15" s="21">
        <f>IFERROR(VLOOKUP($A15,'PP DS Query'!$C$1:$R$1005,13,FALSE),0)</f>
        <v>0.51916951</v>
      </c>
      <c r="N15" s="250">
        <f>IFERROR(VLOOKUP($A15,'PP DS Query'!$C$1:$R$1005,14,FALSE),0)</f>
        <v>26322.32</v>
      </c>
      <c r="O15" s="57">
        <f>IFERROR(VLOOKUP($A15,'PP DS Query'!$C$1:$R$1005,4,FALSE),0)</f>
        <v>-0.01</v>
      </c>
      <c r="P15" s="250">
        <f>-IFERROR(VLOOKUP($A15,'PP DS Query'!$C$1:$R$1005,15,FALSE),0)</f>
        <v>507.01</v>
      </c>
      <c r="Q15" s="250">
        <f>IFERROR(VLOOKUP($A15,'PP DS Query'!$C$1:$R$1005,16,FALSE),0)</f>
        <v>26427.01</v>
      </c>
      <c r="R15" s="48"/>
      <c r="S15" s="472">
        <f t="shared" si="0"/>
        <v>31152</v>
      </c>
      <c r="T15" s="472" t="s">
        <v>964</v>
      </c>
      <c r="U15" s="475">
        <f>IFERROR(VLOOKUP($S15,#REF!,8,FALSE),0)</f>
        <v>0</v>
      </c>
      <c r="V15" s="476">
        <f t="shared" si="1"/>
        <v>-50700.82</v>
      </c>
    </row>
    <row r="16" spans="1:22" ht="15.95" customHeight="1" x14ac:dyDescent="0.2">
      <c r="A16" s="49" t="s">
        <v>440</v>
      </c>
      <c r="B16" s="499">
        <f>IFERROR(VLOOKUP($A16,'PP DS Query'!$C$1:$R$1005,5,FALSE),0)</f>
        <v>2038</v>
      </c>
      <c r="C16" s="33"/>
      <c r="D16" s="34"/>
      <c r="E16" s="15"/>
      <c r="F16" s="443">
        <f>IFERROR(VLOOKUP($A16,'PP DS Query'!$C$1:$R$1005,6,FALSE),0)</f>
        <v>25208869.300000001</v>
      </c>
      <c r="G16" s="525">
        <f>IFERROR(VLOOKUP($A16,'PP DS Query'!$C$1:$R$1005,7,FALSE),0)</f>
        <v>10.5</v>
      </c>
      <c r="H16" s="443">
        <f>IFERROR(VLOOKUP($A16,'PP DS Query'!$C$1:$R$1005,8,FALSE),0)</f>
        <v>264693127.65000001</v>
      </c>
      <c r="I16" s="525">
        <f>IFERROR(VLOOKUP($A16,'PP DS Query'!$C$1:$R$1005,9,FALSE),0)</f>
        <v>28.980814339999998</v>
      </c>
      <c r="J16" s="443">
        <f>IFERROR(VLOOKUP($A16,'PP DS Query'!$C$1:$R$1005,10,FALSE),0)</f>
        <v>730573561.00999999</v>
      </c>
      <c r="K16" s="525">
        <f>IFERROR(VLOOKUP($A16,'PP DS Query'!$C$1:$R$1005,11,FALSE),0)</f>
        <v>18.481066949999999</v>
      </c>
      <c r="L16" s="443">
        <f>IFERROR(VLOOKUP($A16,'PP DS Query'!$C$1:$R$1005,12,FALSE),0)</f>
        <v>465886801.16000003</v>
      </c>
      <c r="M16" s="445">
        <f>IFERROR(VLOOKUP($A16,'PP DS Query'!$C$1:$R$1005,13,FALSE),0)</f>
        <v>0.36601867999999999</v>
      </c>
      <c r="N16" s="443">
        <f>IFERROR(VLOOKUP($A16,'PP DS Query'!$C$1:$R$1005,14,FALSE),0)</f>
        <v>9226917.1400000006</v>
      </c>
      <c r="O16" s="446">
        <f>IFERROR(VLOOKUP($A16,'PP DS Query'!$C$1:$R$1005,4,FALSE),0)</f>
        <v>-0.01</v>
      </c>
      <c r="P16" s="443">
        <f>-IFERROR(VLOOKUP($A16,'PP DS Query'!$C$1:$R$1005,15,FALSE),0)</f>
        <v>252088.69</v>
      </c>
      <c r="Q16" s="443">
        <f>IFERROR(VLOOKUP($A16,'PP DS Query'!$C$1:$R$1005,16,FALSE),0)</f>
        <v>9263616.1199999992</v>
      </c>
      <c r="R16" s="48"/>
      <c r="U16" s="473">
        <f>SUM(U13:U15)</f>
        <v>0</v>
      </c>
      <c r="V16" s="473">
        <f>SUM(V13:V15)</f>
        <v>-25208869.300000001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1213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481</v>
      </c>
      <c r="B19" s="499">
        <f>IFERROR(VLOOKUP($A19,'PP DS Query'!$C$1:$R$1005,5,FALSE),0)</f>
        <v>2038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11987333.42</v>
      </c>
      <c r="G19" s="523">
        <f>IFERROR(VLOOKUP($A19,'PP DS Query'!$C$1:$R$1005,7,FALSE),0)</f>
        <v>10.47076313</v>
      </c>
      <c r="H19" s="358">
        <f>IFERROR(VLOOKUP($A19,'PP DS Query'!$C$1:$R$1005,8,FALSE),0)</f>
        <v>125516528.77</v>
      </c>
      <c r="I19" s="523">
        <f>IFERROR(VLOOKUP($A19,'PP DS Query'!$C$1:$R$1005,9,FALSE),0)</f>
        <v>28.96</v>
      </c>
      <c r="J19" s="358">
        <f>IFERROR(VLOOKUP($A19,'PP DS Query'!$C$1:$R$1005,10,FALSE),0)</f>
        <v>347153175.83999997</v>
      </c>
      <c r="K19" s="523">
        <f>IFERROR(VLOOKUP($A19,'PP DS Query'!$C$1:$R$1005,11,FALSE),0)</f>
        <v>18.5</v>
      </c>
      <c r="L19" s="358">
        <f>IFERROR(VLOOKUP($A19,'PP DS Query'!$C$1:$R$1005,12,FALSE),0)</f>
        <v>221765668.27000001</v>
      </c>
      <c r="M19" s="19">
        <f>IFERROR(VLOOKUP($A19,'PP DS Query'!$C$1:$R$1005,13,FALSE),0)</f>
        <v>0.37202289999999999</v>
      </c>
      <c r="N19" s="358">
        <f>IFERROR(VLOOKUP($A19,'PP DS Query'!$C$1:$R$1005,14,FALSE),0)</f>
        <v>4459562.54</v>
      </c>
      <c r="O19" s="56">
        <f>IFERROR(VLOOKUP($A19,'PP DS Query'!$C$1:$R$1005,4,FALSE),0)</f>
        <v>-0.03</v>
      </c>
      <c r="P19" s="358">
        <f>-IFERROR(VLOOKUP($A19,'PP DS Query'!$C$1:$R$1005,15,FALSE),0)</f>
        <v>359620</v>
      </c>
      <c r="Q19" s="358">
        <f>IFERROR(VLOOKUP($A19,'PP DS Query'!$C$1:$R$1005,16,FALSE),0)</f>
        <v>4024700.82</v>
      </c>
      <c r="R19" s="48"/>
      <c r="S19" s="472">
        <f>IFERROR(ROUND(LEFT(A19,7)*100,0),0)</f>
        <v>31252</v>
      </c>
      <c r="T19" s="472" t="s">
        <v>962</v>
      </c>
      <c r="U19" s="474">
        <f>IFERROR(VLOOKUP($S19,#REF!,6,FALSE),0)</f>
        <v>0</v>
      </c>
      <c r="V19" s="473">
        <f>U19-F19</f>
        <v>-11987333.42</v>
      </c>
    </row>
    <row r="20" spans="1:22" ht="15.95" customHeight="1" x14ac:dyDescent="0.2">
      <c r="A20" s="49" t="s">
        <v>482</v>
      </c>
      <c r="B20" s="499">
        <f>IFERROR(VLOOKUP($A20,'PP DS Query'!$C$1:$R$1005,5,FALSE),0)</f>
        <v>2038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25210368.870000001</v>
      </c>
      <c r="G20" s="523">
        <f>IFERROR(VLOOKUP($A20,'PP DS Query'!$C$1:$R$1005,7,FALSE),0)</f>
        <v>10.449339009999999</v>
      </c>
      <c r="H20" s="358">
        <f>IFERROR(VLOOKUP($A20,'PP DS Query'!$C$1:$R$1005,8,FALSE),0)</f>
        <v>263431690.90000001</v>
      </c>
      <c r="I20" s="523">
        <f>IFERROR(VLOOKUP($A20,'PP DS Query'!$C$1:$R$1005,9,FALSE),0)</f>
        <v>28.49</v>
      </c>
      <c r="J20" s="358">
        <f>IFERROR(VLOOKUP($A20,'PP DS Query'!$C$1:$R$1005,10,FALSE),0)</f>
        <v>718243409.11000001</v>
      </c>
      <c r="K20" s="523">
        <f>IFERROR(VLOOKUP($A20,'PP DS Query'!$C$1:$R$1005,11,FALSE),0)</f>
        <v>17.987760999999999</v>
      </c>
      <c r="L20" s="358">
        <f>IFERROR(VLOOKUP($A20,'PP DS Query'!$C$1:$R$1005,12,FALSE),0)</f>
        <v>453478089.95999998</v>
      </c>
      <c r="M20" s="19">
        <f>IFERROR(VLOOKUP($A20,'PP DS Query'!$C$1:$R$1005,13,FALSE),0)</f>
        <v>0.37971089000000002</v>
      </c>
      <c r="N20" s="358">
        <f>IFERROR(VLOOKUP($A20,'PP DS Query'!$C$1:$R$1005,14,FALSE),0)</f>
        <v>9572651.5299999993</v>
      </c>
      <c r="O20" s="56">
        <f>IFERROR(VLOOKUP($A20,'PP DS Query'!$C$1:$R$1005,4,FALSE),0)</f>
        <v>-0.03</v>
      </c>
      <c r="P20" s="358">
        <f>-IFERROR(VLOOKUP($A20,'PP DS Query'!$C$1:$R$1005,15,FALSE),0)</f>
        <v>756311.07</v>
      </c>
      <c r="Q20" s="358">
        <f>IFERROR(VLOOKUP($A20,'PP DS Query'!$C$1:$R$1005,16,FALSE),0)</f>
        <v>8639201.2899999991</v>
      </c>
      <c r="R20" s="48"/>
      <c r="S20" s="472">
        <f t="shared" ref="S20:S21" si="2">IFERROR(ROUND(LEFT(A20,7)*100,0),0)</f>
        <v>31252</v>
      </c>
      <c r="T20" s="472" t="s">
        <v>963</v>
      </c>
      <c r="U20" s="474">
        <f>IFERROR(VLOOKUP($S20,#REF!,7,FALSE),0)</f>
        <v>0</v>
      </c>
      <c r="V20" s="473">
        <f t="shared" ref="V20:V21" si="3">U20-F20</f>
        <v>-25210368.870000001</v>
      </c>
    </row>
    <row r="21" spans="1:22" ht="15.95" customHeight="1" thickBot="1" x14ac:dyDescent="0.25">
      <c r="A21" s="49" t="s">
        <v>483</v>
      </c>
      <c r="B21" s="499">
        <f>IFERROR(VLOOKUP($A21,'PP DS Query'!$C$1:$R$1005,5,FALSE),0)</f>
        <v>2038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14062584.560000001</v>
      </c>
      <c r="G21" s="524">
        <f>IFERROR(VLOOKUP($A21,'PP DS Query'!$C$1:$R$1005,7,FALSE),0)</f>
        <v>8.7185691300000006</v>
      </c>
      <c r="H21" s="250">
        <f>IFERROR(VLOOKUP($A21,'PP DS Query'!$C$1:$R$1005,8,FALSE),0)</f>
        <v>122605615.59</v>
      </c>
      <c r="I21" s="524">
        <f>IFERROR(VLOOKUP($A21,'PP DS Query'!$C$1:$R$1005,9,FALSE),0)</f>
        <v>19.77</v>
      </c>
      <c r="J21" s="250">
        <f>IFERROR(VLOOKUP($A21,'PP DS Query'!$C$1:$R$1005,10,FALSE),0)</f>
        <v>278017296.75</v>
      </c>
      <c r="K21" s="524">
        <f>IFERROR(VLOOKUP($A21,'PP DS Query'!$C$1:$R$1005,11,FALSE),0)</f>
        <v>11.1989</v>
      </c>
      <c r="L21" s="250">
        <f>IFERROR(VLOOKUP($A21,'PP DS Query'!$C$1:$R$1005,12,FALSE),0)</f>
        <v>157485478.22999999</v>
      </c>
      <c r="M21" s="21">
        <f>IFERROR(VLOOKUP($A21,'PP DS Query'!$C$1:$R$1005,13,FALSE),0)</f>
        <v>0.44653141000000002</v>
      </c>
      <c r="N21" s="250">
        <f>IFERROR(VLOOKUP($A21,'PP DS Query'!$C$1:$R$1005,14,FALSE),0)</f>
        <v>6279385.7300000004</v>
      </c>
      <c r="O21" s="57">
        <f>IFERROR(VLOOKUP($A21,'PP DS Query'!$C$1:$R$1005,4,FALSE),0)</f>
        <v>-0.03</v>
      </c>
      <c r="P21" s="250">
        <f>-IFERROR(VLOOKUP($A21,'PP DS Query'!$C$1:$R$1005,15,FALSE),0)</f>
        <v>421877.54</v>
      </c>
      <c r="Q21" s="250">
        <f>IFERROR(VLOOKUP($A21,'PP DS Query'!$C$1:$R$1005,16,FALSE),0)</f>
        <v>5667069.0599999996</v>
      </c>
      <c r="R21" s="48"/>
      <c r="S21" s="472">
        <f t="shared" si="2"/>
        <v>31252</v>
      </c>
      <c r="T21" s="472" t="s">
        <v>964</v>
      </c>
      <c r="U21" s="475">
        <f>IFERROR(VLOOKUP($S21,#REF!,8,FALSE),0)</f>
        <v>0</v>
      </c>
      <c r="V21" s="476">
        <f t="shared" si="3"/>
        <v>-14062584.560000001</v>
      </c>
    </row>
    <row r="22" spans="1:22" ht="15.95" customHeight="1" x14ac:dyDescent="0.2">
      <c r="A22" s="49" t="s">
        <v>484</v>
      </c>
      <c r="B22" s="499">
        <f>IFERROR(VLOOKUP($A22,'PP DS Query'!$C$1:$R$1005,5,FALSE),0)</f>
        <v>2038</v>
      </c>
      <c r="C22" s="33"/>
      <c r="D22" s="34"/>
      <c r="E22" s="15"/>
      <c r="F22" s="443">
        <f>IFERROR(VLOOKUP($A22,'PP DS Query'!$C$1:$R$1005,6,FALSE),0)</f>
        <v>51260286.850000001</v>
      </c>
      <c r="G22" s="525">
        <f>IFERROR(VLOOKUP($A22,'PP DS Query'!$C$1:$R$1005,7,FALSE),0)</f>
        <v>9.9795351700000001</v>
      </c>
      <c r="H22" s="443">
        <f>IFERROR(VLOOKUP($A22,'PP DS Query'!$C$1:$R$1005,8,FALSE),0)</f>
        <v>511553835.25999999</v>
      </c>
      <c r="I22" s="525">
        <f>IFERROR(VLOOKUP($A22,'PP DS Query'!$C$1:$R$1005,9,FALSE),0)</f>
        <v>26.207693410000001</v>
      </c>
      <c r="J22" s="443">
        <f>IFERROR(VLOOKUP($A22,'PP DS Query'!$C$1:$R$1005,10,FALSE),0)</f>
        <v>1343413881.7</v>
      </c>
      <c r="K22" s="525">
        <f>IFERROR(VLOOKUP($A22,'PP DS Query'!$C$1:$R$1005,11,FALSE),0)</f>
        <v>16.245114640000001</v>
      </c>
      <c r="L22" s="443">
        <f>IFERROR(VLOOKUP($A22,'PP DS Query'!$C$1:$R$1005,12,FALSE),0)</f>
        <v>832729236.45000005</v>
      </c>
      <c r="M22" s="445">
        <f>IFERROR(VLOOKUP($A22,'PP DS Query'!$C$1:$R$1005,13,FALSE),0)</f>
        <v>0.39624436000000002</v>
      </c>
      <c r="N22" s="443">
        <f>IFERROR(VLOOKUP($A22,'PP DS Query'!$C$1:$R$1005,14,FALSE),0)</f>
        <v>20311599.800000001</v>
      </c>
      <c r="O22" s="446">
        <f>IFERROR(VLOOKUP($A22,'PP DS Query'!$C$1:$R$1005,4,FALSE),0)</f>
        <v>-0.03</v>
      </c>
      <c r="P22" s="443">
        <f>-IFERROR(VLOOKUP($A22,'PP DS Query'!$C$1:$R$1005,15,FALSE),0)</f>
        <v>1537808.61</v>
      </c>
      <c r="Q22" s="443">
        <f>IFERROR(VLOOKUP($A22,'PP DS Query'!$C$1:$R$1005,16,FALSE),0)</f>
        <v>18330971.170000002</v>
      </c>
      <c r="R22" s="48"/>
      <c r="U22" s="473">
        <f>SUM(U19:U21)</f>
        <v>0</v>
      </c>
      <c r="V22" s="473">
        <f>SUM(V19:V21)</f>
        <v>-51260286.850000001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1214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396" t="s">
        <v>1029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31452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1030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31452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1031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31452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1091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1215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545</v>
      </c>
      <c r="B31" s="499">
        <f>IFERROR(VLOOKUP($A31,'PP DS Query'!$C$1:$R$1005,5,FALSE),0)</f>
        <v>2038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4065587.03</v>
      </c>
      <c r="G31" s="523">
        <f>IFERROR(VLOOKUP($A31,'PP DS Query'!$C$1:$R$1005,7,FALSE),0)</f>
        <v>10.5</v>
      </c>
      <c r="H31" s="358">
        <f>IFERROR(VLOOKUP($A31,'PP DS Query'!$C$1:$R$1005,8,FALSE),0)</f>
        <v>42688663.82</v>
      </c>
      <c r="I31" s="523">
        <f>IFERROR(VLOOKUP($A31,'PP DS Query'!$C$1:$R$1005,9,FALSE),0)</f>
        <v>29</v>
      </c>
      <c r="J31" s="358">
        <f>IFERROR(VLOOKUP($A31,'PP DS Query'!$C$1:$R$1005,10,FALSE),0)</f>
        <v>117902023.87</v>
      </c>
      <c r="K31" s="523">
        <f>IFERROR(VLOOKUP($A31,'PP DS Query'!$C$1:$R$1005,11,FALSE),0)</f>
        <v>18.5</v>
      </c>
      <c r="L31" s="358">
        <f>IFERROR(VLOOKUP($A31,'PP DS Query'!$C$1:$R$1005,12,FALSE),0)</f>
        <v>75213360.060000002</v>
      </c>
      <c r="M31" s="19">
        <f>IFERROR(VLOOKUP($A31,'PP DS Query'!$C$1:$R$1005,13,FALSE),0)</f>
        <v>0.37293103999999999</v>
      </c>
      <c r="N31" s="358">
        <f>IFERROR(VLOOKUP($A31,'PP DS Query'!$C$1:$R$1005,14,FALSE),0)</f>
        <v>1516183.58</v>
      </c>
      <c r="O31" s="56">
        <f>IFERROR(VLOOKUP($A31,'PP DS Query'!$C$1:$R$1005,4,FALSE),0)</f>
        <v>-0.03</v>
      </c>
      <c r="P31" s="358">
        <f>-IFERROR(VLOOKUP($A31,'PP DS Query'!$C$1:$R$1005,15,FALSE),0)</f>
        <v>121967.61</v>
      </c>
      <c r="Q31" s="358">
        <f>IFERROR(VLOOKUP($A31,'PP DS Query'!$C$1:$R$1005,16,FALSE),0)</f>
        <v>1575120.48</v>
      </c>
      <c r="R31" s="48"/>
      <c r="S31" s="472">
        <f>IFERROR(ROUND(LEFT(A31,7)*100,0),0)</f>
        <v>31552</v>
      </c>
      <c r="T31" s="472" t="s">
        <v>962</v>
      </c>
      <c r="U31" s="474">
        <f>IFERROR(VLOOKUP($S31,#REF!,6,FALSE),0)</f>
        <v>0</v>
      </c>
      <c r="V31" s="473">
        <f>U31-F31</f>
        <v>-4065587.03</v>
      </c>
    </row>
    <row r="32" spans="1:22" ht="15.95" customHeight="1" x14ac:dyDescent="0.2">
      <c r="A32" s="49" t="s">
        <v>546</v>
      </c>
      <c r="B32" s="499">
        <f>IFERROR(VLOOKUP($A32,'PP DS Query'!$C$1:$R$1005,5,FALSE),0)</f>
        <v>2038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8422003.6099999994</v>
      </c>
      <c r="G32" s="523">
        <f>IFERROR(VLOOKUP($A32,'PP DS Query'!$C$1:$R$1005,7,FALSE),0)</f>
        <v>10.5</v>
      </c>
      <c r="H32" s="358">
        <f>IFERROR(VLOOKUP($A32,'PP DS Query'!$C$1:$R$1005,8,FALSE),0)</f>
        <v>88431037.909999996</v>
      </c>
      <c r="I32" s="523">
        <f>IFERROR(VLOOKUP($A32,'PP DS Query'!$C$1:$R$1005,9,FALSE),0)</f>
        <v>28.56</v>
      </c>
      <c r="J32" s="358">
        <f>IFERROR(VLOOKUP($A32,'PP DS Query'!$C$1:$R$1005,10,FALSE),0)</f>
        <v>240532423.09999999</v>
      </c>
      <c r="K32" s="523">
        <f>IFERROR(VLOOKUP($A32,'PP DS Query'!$C$1:$R$1005,11,FALSE),0)</f>
        <v>17.983450000000001</v>
      </c>
      <c r="L32" s="358">
        <f>IFERROR(VLOOKUP($A32,'PP DS Query'!$C$1:$R$1005,12,FALSE),0)</f>
        <v>151456680.81999999</v>
      </c>
      <c r="M32" s="19">
        <f>IFERROR(VLOOKUP($A32,'PP DS Query'!$C$1:$R$1005,13,FALSE),0)</f>
        <v>0.38134784999999999</v>
      </c>
      <c r="N32" s="358">
        <f>IFERROR(VLOOKUP($A32,'PP DS Query'!$C$1:$R$1005,14,FALSE),0)</f>
        <v>3211712.95</v>
      </c>
      <c r="O32" s="56">
        <f>IFERROR(VLOOKUP($A32,'PP DS Query'!$C$1:$R$1005,4,FALSE),0)</f>
        <v>-0.03</v>
      </c>
      <c r="P32" s="358">
        <f>-IFERROR(VLOOKUP($A32,'PP DS Query'!$C$1:$R$1005,15,FALSE),0)</f>
        <v>252660.11</v>
      </c>
      <c r="Q32" s="358">
        <f>IFERROR(VLOOKUP($A32,'PP DS Query'!$C$1:$R$1005,16,FALSE),0)</f>
        <v>3336558.26</v>
      </c>
      <c r="R32" s="48"/>
      <c r="S32" s="472">
        <f t="shared" ref="S32:S33" si="6">IFERROR(ROUND(LEFT(A32,7)*100,0),0)</f>
        <v>31552</v>
      </c>
      <c r="T32" s="472" t="s">
        <v>963</v>
      </c>
      <c r="U32" s="474">
        <f>IFERROR(VLOOKUP($S32,#REF!,7,FALSE),0)</f>
        <v>0</v>
      </c>
      <c r="V32" s="473">
        <f t="shared" ref="V32:V33" si="7">U32-F32</f>
        <v>-8422003.6099999994</v>
      </c>
    </row>
    <row r="33" spans="1:22" ht="15.95" customHeight="1" thickBot="1" x14ac:dyDescent="0.25">
      <c r="A33" s="49" t="s">
        <v>547</v>
      </c>
      <c r="B33" s="499">
        <f>IFERROR(VLOOKUP($A33,'PP DS Query'!$C$1:$R$1005,5,FALSE),0)</f>
        <v>2038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3463481.89</v>
      </c>
      <c r="G33" s="524">
        <f>IFERROR(VLOOKUP($A33,'PP DS Query'!$C$1:$R$1005,7,FALSE),0)</f>
        <v>10.264576890000001</v>
      </c>
      <c r="H33" s="250">
        <f>IFERROR(VLOOKUP($A33,'PP DS Query'!$C$1:$R$1005,8,FALSE),0)</f>
        <v>35551176.170000002</v>
      </c>
      <c r="I33" s="524">
        <f>IFERROR(VLOOKUP($A33,'PP DS Query'!$C$1:$R$1005,9,FALSE),0)</f>
        <v>19.96</v>
      </c>
      <c r="J33" s="250">
        <f>IFERROR(VLOOKUP($A33,'PP DS Query'!$C$1:$R$1005,10,FALSE),0)</f>
        <v>69131098.519999996</v>
      </c>
      <c r="K33" s="524">
        <f>IFERROR(VLOOKUP($A33,'PP DS Query'!$C$1:$R$1005,11,FALSE),0)</f>
        <v>9.9157759999999993</v>
      </c>
      <c r="L33" s="250">
        <f>IFERROR(VLOOKUP($A33,'PP DS Query'!$C$1:$R$1005,12,FALSE),0)</f>
        <v>34343110.600000001</v>
      </c>
      <c r="M33" s="21">
        <f>IFERROR(VLOOKUP($A33,'PP DS Query'!$C$1:$R$1005,13,FALSE),0)</f>
        <v>0.51834236</v>
      </c>
      <c r="N33" s="250">
        <f>IFERROR(VLOOKUP($A33,'PP DS Query'!$C$1:$R$1005,14,FALSE),0)</f>
        <v>1795269.39</v>
      </c>
      <c r="O33" s="57">
        <f>IFERROR(VLOOKUP($A33,'PP DS Query'!$C$1:$R$1005,4,FALSE),0)</f>
        <v>-0.03</v>
      </c>
      <c r="P33" s="250">
        <f>-IFERROR(VLOOKUP($A33,'PP DS Query'!$C$1:$R$1005,15,FALSE),0)</f>
        <v>103904.46</v>
      </c>
      <c r="Q33" s="250">
        <f>IFERROR(VLOOKUP($A33,'PP DS Query'!$C$1:$R$1005,16,FALSE),0)</f>
        <v>1865054.89</v>
      </c>
      <c r="R33" s="48"/>
      <c r="S33" s="472">
        <f t="shared" si="6"/>
        <v>31552</v>
      </c>
      <c r="T33" s="472" t="s">
        <v>964</v>
      </c>
      <c r="U33" s="475">
        <f>IFERROR(VLOOKUP($S33,#REF!,8,FALSE),0)</f>
        <v>0</v>
      </c>
      <c r="V33" s="476">
        <f t="shared" si="7"/>
        <v>-3463481.89</v>
      </c>
    </row>
    <row r="34" spans="1:22" ht="15.95" customHeight="1" x14ac:dyDescent="0.2">
      <c r="A34" s="49" t="s">
        <v>548</v>
      </c>
      <c r="B34" s="499">
        <f>IFERROR(VLOOKUP($A34,'PP DS Query'!$C$1:$R$1005,5,FALSE),0)</f>
        <v>2038</v>
      </c>
      <c r="C34" s="33"/>
      <c r="D34" s="34"/>
      <c r="E34" s="15"/>
      <c r="F34" s="443">
        <f>IFERROR(VLOOKUP($A34,'PP DS Query'!$C$1:$R$1005,6,FALSE),0)</f>
        <v>15951072.529999999</v>
      </c>
      <c r="G34" s="525">
        <f>IFERROR(VLOOKUP($A34,'PP DS Query'!$C$1:$R$1005,7,FALSE),0)</f>
        <v>10.4488822</v>
      </c>
      <c r="H34" s="443">
        <f>IFERROR(VLOOKUP($A34,'PP DS Query'!$C$1:$R$1005,8,FALSE),0)</f>
        <v>166670877.88999999</v>
      </c>
      <c r="I34" s="525">
        <f>IFERROR(VLOOKUP($A34,'PP DS Query'!$C$1:$R$1005,9,FALSE),0)</f>
        <v>26.804814830000002</v>
      </c>
      <c r="J34" s="443">
        <f>IFERROR(VLOOKUP($A34,'PP DS Query'!$C$1:$R$1005,10,FALSE),0)</f>
        <v>427565545.5</v>
      </c>
      <c r="K34" s="525">
        <f>IFERROR(VLOOKUP($A34,'PP DS Query'!$C$1:$R$1005,11,FALSE),0)</f>
        <v>16.363360579999998</v>
      </c>
      <c r="L34" s="443">
        <f>IFERROR(VLOOKUP($A34,'PP DS Query'!$C$1:$R$1005,12,FALSE),0)</f>
        <v>261013151.47999999</v>
      </c>
      <c r="M34" s="445">
        <f>IFERROR(VLOOKUP($A34,'PP DS Query'!$C$1:$R$1005,13,FALSE),0)</f>
        <v>0.40894841999999998</v>
      </c>
      <c r="N34" s="443">
        <f>IFERROR(VLOOKUP($A34,'PP DS Query'!$C$1:$R$1005,14,FALSE),0)</f>
        <v>6523165.9199999999</v>
      </c>
      <c r="O34" s="446">
        <f>IFERROR(VLOOKUP($A34,'PP DS Query'!$C$1:$R$1005,4,FALSE),0)</f>
        <v>-0.03</v>
      </c>
      <c r="P34" s="443">
        <f>-IFERROR(VLOOKUP($A34,'PP DS Query'!$C$1:$R$1005,15,FALSE),0)</f>
        <v>478532.18</v>
      </c>
      <c r="Q34" s="443">
        <f>IFERROR(VLOOKUP($A34,'PP DS Query'!$C$1:$R$1005,16,FALSE),0)</f>
        <v>6776733.6299999999</v>
      </c>
      <c r="R34" s="48"/>
      <c r="U34" s="473">
        <f>SUM(U31:U33)</f>
        <v>0</v>
      </c>
      <c r="V34" s="473">
        <f>SUM(V31:V33)</f>
        <v>-15951072.529999999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1216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585</v>
      </c>
      <c r="B37" s="499">
        <f>IFERROR(VLOOKUP($A37,'PP DS Query'!$C$1:$R$1005,5,FALSE),0)</f>
        <v>2038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765004.29</v>
      </c>
      <c r="G37" s="523">
        <f>IFERROR(VLOOKUP($A37,'PP DS Query'!$C$1:$R$1005,7,FALSE),0)</f>
        <v>10.5</v>
      </c>
      <c r="H37" s="358">
        <f>IFERROR(VLOOKUP($A37,'PP DS Query'!$C$1:$R$1005,8,FALSE),0)</f>
        <v>8032545.0499999998</v>
      </c>
      <c r="I37" s="523">
        <f>IFERROR(VLOOKUP($A37,'PP DS Query'!$C$1:$R$1005,9,FALSE),0)</f>
        <v>29</v>
      </c>
      <c r="J37" s="358">
        <f>IFERROR(VLOOKUP($A37,'PP DS Query'!$C$1:$R$1005,10,FALSE),0)</f>
        <v>22185124.41</v>
      </c>
      <c r="K37" s="523">
        <f>IFERROR(VLOOKUP($A37,'PP DS Query'!$C$1:$R$1005,11,FALSE),0)</f>
        <v>18.5</v>
      </c>
      <c r="L37" s="358">
        <f>IFERROR(VLOOKUP($A37,'PP DS Query'!$C$1:$R$1005,12,FALSE),0)</f>
        <v>14152579.369999999</v>
      </c>
      <c r="M37" s="19">
        <f>IFERROR(VLOOKUP($A37,'PP DS Query'!$C$1:$R$1005,13,FALSE),0)</f>
        <v>0.36568966000000003</v>
      </c>
      <c r="N37" s="358">
        <f>IFERROR(VLOOKUP($A37,'PP DS Query'!$C$1:$R$1005,14,FALSE),0)</f>
        <v>279754.15999999997</v>
      </c>
      <c r="O37" s="56">
        <f>IFERROR(VLOOKUP($A37,'PP DS Query'!$C$1:$R$1005,4,FALSE),0)</f>
        <v>-0.01</v>
      </c>
      <c r="P37" s="358">
        <f>-IFERROR(VLOOKUP($A37,'PP DS Query'!$C$1:$R$1005,15,FALSE),0)</f>
        <v>7650.04</v>
      </c>
      <c r="Q37" s="358">
        <f>IFERROR(VLOOKUP($A37,'PP DS Query'!$C$1:$R$1005,16,FALSE),0)</f>
        <v>290357.43</v>
      </c>
      <c r="R37" s="48"/>
      <c r="S37" s="472">
        <f>IFERROR(ROUND(LEFT(A37,7)*100,0),0)</f>
        <v>31652</v>
      </c>
      <c r="T37" s="472" t="s">
        <v>962</v>
      </c>
      <c r="U37" s="474">
        <f>IFERROR(VLOOKUP($S37,#REF!,6,FALSE),0)</f>
        <v>0</v>
      </c>
      <c r="V37" s="473">
        <f>U37-F37</f>
        <v>-765004.29</v>
      </c>
    </row>
    <row r="38" spans="1:22" ht="15.95" customHeight="1" x14ac:dyDescent="0.2">
      <c r="A38" s="49" t="s">
        <v>586</v>
      </c>
      <c r="B38" s="499">
        <f>IFERROR(VLOOKUP($A38,'PP DS Query'!$C$1:$R$1005,5,FALSE),0)</f>
        <v>2038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154058.15</v>
      </c>
      <c r="G38" s="523">
        <f>IFERROR(VLOOKUP($A38,'PP DS Query'!$C$1:$R$1005,7,FALSE),0)</f>
        <v>10.5</v>
      </c>
      <c r="H38" s="358">
        <f>IFERROR(VLOOKUP($A38,'PP DS Query'!$C$1:$R$1005,8,FALSE),0)</f>
        <v>1617610.58</v>
      </c>
      <c r="I38" s="523">
        <f>IFERROR(VLOOKUP($A38,'PP DS Query'!$C$1:$R$1005,9,FALSE),0)</f>
        <v>28.56</v>
      </c>
      <c r="J38" s="358">
        <f>IFERROR(VLOOKUP($A38,'PP DS Query'!$C$1:$R$1005,10,FALSE),0)</f>
        <v>4399900.76</v>
      </c>
      <c r="K38" s="523">
        <f>IFERROR(VLOOKUP($A38,'PP DS Query'!$C$1:$R$1005,11,FALSE),0)</f>
        <v>17.983450000000001</v>
      </c>
      <c r="L38" s="358">
        <f>IFERROR(VLOOKUP($A38,'PP DS Query'!$C$1:$R$1005,12,FALSE),0)</f>
        <v>2770497.04</v>
      </c>
      <c r="M38" s="19">
        <f>IFERROR(VLOOKUP($A38,'PP DS Query'!$C$1:$R$1005,13,FALSE),0)</f>
        <v>0.37394302000000001</v>
      </c>
      <c r="N38" s="358">
        <f>IFERROR(VLOOKUP($A38,'PP DS Query'!$C$1:$R$1005,14,FALSE),0)</f>
        <v>57608.97</v>
      </c>
      <c r="O38" s="56">
        <f>IFERROR(VLOOKUP($A38,'PP DS Query'!$C$1:$R$1005,4,FALSE),0)</f>
        <v>-0.01</v>
      </c>
      <c r="P38" s="358">
        <f>-IFERROR(VLOOKUP($A38,'PP DS Query'!$C$1:$R$1005,15,FALSE),0)</f>
        <v>1540.58</v>
      </c>
      <c r="Q38" s="358">
        <f>IFERROR(VLOOKUP($A38,'PP DS Query'!$C$1:$R$1005,16,FALSE),0)</f>
        <v>59792.47</v>
      </c>
      <c r="R38" s="48"/>
      <c r="S38" s="472">
        <f t="shared" ref="S38:S39" si="8">IFERROR(ROUND(LEFT(A38,7)*100,0),0)</f>
        <v>31652</v>
      </c>
      <c r="T38" s="472" t="s">
        <v>963</v>
      </c>
      <c r="U38" s="474">
        <f>IFERROR(VLOOKUP($S38,#REF!,7,FALSE),0)</f>
        <v>0</v>
      </c>
      <c r="V38" s="473">
        <f t="shared" ref="V38:V39" si="9">U38-F38</f>
        <v>-154058.15</v>
      </c>
    </row>
    <row r="39" spans="1:22" ht="15.95" customHeight="1" thickBot="1" x14ac:dyDescent="0.25">
      <c r="A39" s="49" t="s">
        <v>587</v>
      </c>
      <c r="B39" s="499">
        <f>IFERROR(VLOOKUP($A39,'PP DS Query'!$C$1:$R$1005,5,FALSE),0)</f>
        <v>2038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39553.449999999997</v>
      </c>
      <c r="G39" s="524">
        <f>IFERROR(VLOOKUP($A39,'PP DS Query'!$C$1:$R$1005,7,FALSE),0)</f>
        <v>10.5</v>
      </c>
      <c r="H39" s="250">
        <f>IFERROR(VLOOKUP($A39,'PP DS Query'!$C$1:$R$1005,8,FALSE),0)</f>
        <v>415311.23</v>
      </c>
      <c r="I39" s="524">
        <f>IFERROR(VLOOKUP($A39,'PP DS Query'!$C$1:$R$1005,9,FALSE),0)</f>
        <v>20</v>
      </c>
      <c r="J39" s="250">
        <f>IFERROR(VLOOKUP($A39,'PP DS Query'!$C$1:$R$1005,10,FALSE),0)</f>
        <v>791069</v>
      </c>
      <c r="K39" s="524">
        <f>IFERROR(VLOOKUP($A39,'PP DS Query'!$C$1:$R$1005,11,FALSE),0)</f>
        <v>9.7194160000000007</v>
      </c>
      <c r="L39" s="250">
        <f>IFERROR(VLOOKUP($A39,'PP DS Query'!$C$1:$R$1005,12,FALSE),0)</f>
        <v>384436.43</v>
      </c>
      <c r="M39" s="21">
        <f>IFERROR(VLOOKUP($A39,'PP DS Query'!$C$1:$R$1005,13,FALSE),0)</f>
        <v>0.51916938000000001</v>
      </c>
      <c r="N39" s="250">
        <f>IFERROR(VLOOKUP($A39,'PP DS Query'!$C$1:$R$1005,14,FALSE),0)</f>
        <v>20534.939999999999</v>
      </c>
      <c r="O39" s="57">
        <f>IFERROR(VLOOKUP($A39,'PP DS Query'!$C$1:$R$1005,4,FALSE),0)</f>
        <v>-0.01</v>
      </c>
      <c r="P39" s="250">
        <f>-IFERROR(VLOOKUP($A39,'PP DS Query'!$C$1:$R$1005,15,FALSE),0)</f>
        <v>395.53</v>
      </c>
      <c r="Q39" s="250">
        <f>IFERROR(VLOOKUP($A39,'PP DS Query'!$C$1:$R$1005,16,FALSE),0)</f>
        <v>21313.26</v>
      </c>
      <c r="R39" s="48"/>
      <c r="S39" s="472">
        <f t="shared" si="8"/>
        <v>31652</v>
      </c>
      <c r="T39" s="472" t="s">
        <v>964</v>
      </c>
      <c r="U39" s="475">
        <f>IFERROR(VLOOKUP($S39,#REF!,8,FALSE),0)</f>
        <v>0</v>
      </c>
      <c r="V39" s="476">
        <f t="shared" si="9"/>
        <v>-39553.449999999997</v>
      </c>
    </row>
    <row r="40" spans="1:22" ht="15.95" customHeight="1" x14ac:dyDescent="0.2">
      <c r="A40" s="49" t="s">
        <v>588</v>
      </c>
      <c r="B40" s="499">
        <f>IFERROR(VLOOKUP($A40,'PP DS Query'!$C$1:$R$1005,5,FALSE),0)</f>
        <v>2038</v>
      </c>
      <c r="C40" s="33"/>
      <c r="D40" s="34"/>
      <c r="E40" s="15"/>
      <c r="F40" s="443">
        <f>IFERROR(VLOOKUP($A40,'PP DS Query'!$C$1:$R$1005,6,FALSE),0)</f>
        <v>958615.89</v>
      </c>
      <c r="G40" s="525">
        <f>IFERROR(VLOOKUP($A40,'PP DS Query'!$C$1:$R$1005,7,FALSE),0)</f>
        <v>10.5</v>
      </c>
      <c r="H40" s="443">
        <f>IFERROR(VLOOKUP($A40,'PP DS Query'!$C$1:$R$1005,8,FALSE),0)</f>
        <v>10065466.85</v>
      </c>
      <c r="I40" s="525">
        <f>IFERROR(VLOOKUP($A40,'PP DS Query'!$C$1:$R$1005,9,FALSE),0)</f>
        <v>28.55793907</v>
      </c>
      <c r="J40" s="443">
        <f>IFERROR(VLOOKUP($A40,'PP DS Query'!$C$1:$R$1005,10,FALSE),0)</f>
        <v>27376094.170000002</v>
      </c>
      <c r="K40" s="525">
        <f>IFERROR(VLOOKUP($A40,'PP DS Query'!$C$1:$R$1005,11,FALSE),0)</f>
        <v>18.05469012</v>
      </c>
      <c r="L40" s="443">
        <f>IFERROR(VLOOKUP($A40,'PP DS Query'!$C$1:$R$1005,12,FALSE),0)</f>
        <v>17307512.84</v>
      </c>
      <c r="M40" s="445">
        <f>IFERROR(VLOOKUP($A40,'PP DS Query'!$C$1:$R$1005,13,FALSE),0)</f>
        <v>0.37334877999999999</v>
      </c>
      <c r="N40" s="443">
        <f>IFERROR(VLOOKUP($A40,'PP DS Query'!$C$1:$R$1005,14,FALSE),0)</f>
        <v>357898.07</v>
      </c>
      <c r="O40" s="446">
        <f>IFERROR(VLOOKUP($A40,'PP DS Query'!$C$1:$R$1005,4,FALSE),0)</f>
        <v>-0.01</v>
      </c>
      <c r="P40" s="443">
        <f>-IFERROR(VLOOKUP($A40,'PP DS Query'!$C$1:$R$1005,15,FALSE),0)</f>
        <v>9586.16</v>
      </c>
      <c r="Q40" s="443">
        <f>IFERROR(VLOOKUP($A40,'PP DS Query'!$C$1:$R$1005,16,FALSE),0)</f>
        <v>371463.16</v>
      </c>
      <c r="R40" s="48"/>
      <c r="U40" s="473">
        <f>SUM(U37:U39)</f>
        <v>0</v>
      </c>
      <c r="V40" s="473">
        <f>SUM(V37:V39)</f>
        <v>-958615.89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2 SCR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41913953.869999997</v>
      </c>
      <c r="G44" s="523">
        <f>IF($F44=0,0,H44/$F44)</f>
        <v>10.491638294824511</v>
      </c>
      <c r="H44" s="358">
        <f>H13+H19+H25+H31+H37</f>
        <v>439746043.50999999</v>
      </c>
      <c r="I44" s="523">
        <f>IF($F44=0,0,J44/$F44)</f>
        <v>28.988560054689973</v>
      </c>
      <c r="J44" s="358">
        <f>J13+J19+J25+J31+J37</f>
        <v>1215025168.8900001</v>
      </c>
      <c r="K44" s="523">
        <f>IF($F44=0,0,L44/$F44)</f>
        <v>18.500000000357879</v>
      </c>
      <c r="L44" s="358">
        <f>L13+L19+L25+L31+L37</f>
        <v>775408146.61000001</v>
      </c>
      <c r="M44" s="19">
        <f>IF($F44=0,0,N44/$F44)</f>
        <v>0.36820335699815959</v>
      </c>
      <c r="N44" s="358">
        <f>N13+N19+N25+N31+N37</f>
        <v>15432858.520000001</v>
      </c>
      <c r="O44" s="56">
        <f>-IF($F44=0,0,P44/$F44)</f>
        <v>-1.7659940703656649E-2</v>
      </c>
      <c r="P44" s="358">
        <f t="shared" ref="P44:Q46" si="10">P13+P19+P25+P31+P37</f>
        <v>740197.94000000006</v>
      </c>
      <c r="Q44" s="358">
        <f t="shared" si="10"/>
        <v>15104038.84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33848569.979999997</v>
      </c>
      <c r="G45" s="523">
        <f>IF($F45=0,0,H45/$F45)</f>
        <v>10.462267764317529</v>
      </c>
      <c r="H45" s="358">
        <f>H14+H20+H26+H32+H38</f>
        <v>354132802.56999999</v>
      </c>
      <c r="I45" s="523">
        <f>IF($F45=0,0,J45/$F45)</f>
        <v>28.507864095297304</v>
      </c>
      <c r="J45" s="358">
        <f>J14+J20+J26+J32+J38</f>
        <v>964950432.81000006</v>
      </c>
      <c r="K45" s="523">
        <f>IF($F45=0,0,L45/$F45)</f>
        <v>17.986660827022625</v>
      </c>
      <c r="L45" s="358">
        <f>L14+L20+L26+L32+L38</f>
        <v>608822747.70999992</v>
      </c>
      <c r="M45" s="19">
        <f>IF($F45=0,0,N45/$F45)</f>
        <v>0.38008134575852476</v>
      </c>
      <c r="N45" s="358">
        <f>N14+N20+N26+N32+N38</f>
        <v>12865210.029999999</v>
      </c>
      <c r="O45" s="56">
        <f>-IF($F45=0,0,P45/$F45)</f>
        <v>-2.9872256068644704E-2</v>
      </c>
      <c r="P45" s="358">
        <f t="shared" si="10"/>
        <v>1011133.1499999999</v>
      </c>
      <c r="Q45" s="358">
        <f t="shared" si="10"/>
        <v>12058881.02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17616320.719999999</v>
      </c>
      <c r="G46" s="524">
        <f>IF($F46=0,0,H46/$F46)</f>
        <v>9.031651054091391</v>
      </c>
      <c r="H46" s="250">
        <f>H15+H21+H27+H33+H39</f>
        <v>159104461.59999999</v>
      </c>
      <c r="I46" s="524">
        <f>IF($F46=0,0,J46/$F46)</f>
        <v>19.808533587483414</v>
      </c>
      <c r="J46" s="250">
        <f>J15+J21+J27+J33+J39</f>
        <v>348953480.66999996</v>
      </c>
      <c r="K46" s="524">
        <f>IF($F46=0,0,L46/$F46)</f>
        <v>10.939049684831126</v>
      </c>
      <c r="L46" s="250">
        <f>L15+L21+L27+L33+L39</f>
        <v>192705807.62</v>
      </c>
      <c r="M46" s="21">
        <f>IF($F46=0,0,N46/$F46)</f>
        <v>0.46102205500718207</v>
      </c>
      <c r="N46" s="250">
        <f>N15+N21+N27+N33+N39</f>
        <v>8121512.3800000008</v>
      </c>
      <c r="O46" s="57">
        <f>-IF($F46=0,0,P46/$F46)</f>
        <v>-2.9897533563977941E-2</v>
      </c>
      <c r="P46" s="250">
        <f t="shared" si="10"/>
        <v>526684.54</v>
      </c>
      <c r="Q46" s="250">
        <f t="shared" si="10"/>
        <v>7579864.2199999988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93378844.569999993</v>
      </c>
      <c r="G47" s="525">
        <f>IF($F47=0,0,H47/$F47)</f>
        <v>10.205559000739305</v>
      </c>
      <c r="H47" s="443">
        <f>SUM(H44:H46)</f>
        <v>952983307.67999995</v>
      </c>
      <c r="I47" s="525">
        <f>IF($F47=0,0,J47/$F47)</f>
        <v>27.082462778538968</v>
      </c>
      <c r="J47" s="443">
        <f>SUM(J44:J46)</f>
        <v>2528929082.3700004</v>
      </c>
      <c r="K47" s="525">
        <f>IF($F47=0,0,L47/$F47)</f>
        <v>16.887515680897874</v>
      </c>
      <c r="L47" s="443">
        <f>SUM(L44:L46)</f>
        <v>1576936701.9400001</v>
      </c>
      <c r="M47" s="445">
        <f>IF($F47=0,0,N47/$F47)</f>
        <v>0.39001961416109221</v>
      </c>
      <c r="N47" s="443">
        <f>SUM(N44:N46)</f>
        <v>36419580.93</v>
      </c>
      <c r="O47" s="446">
        <f>-IF($F47=0,0,P47/$F47)</f>
        <v>-2.4395414619767769E-2</v>
      </c>
      <c r="P47" s="443">
        <f>SUM(P44:P46)</f>
        <v>2278015.63</v>
      </c>
      <c r="Q47" s="443">
        <f>SUM(Q44:Q46)</f>
        <v>34742784.079999998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31152</v>
      </c>
      <c r="F50" s="352">
        <f>IFERROR(VLOOKUP(E50,'2019 B-7'!C:P,14,FALSE),0)</f>
        <v>25208869.300000001</v>
      </c>
      <c r="G50" s="353">
        <f>F50-F16</f>
        <v>0</v>
      </c>
      <c r="P50" s="260">
        <f>E50</f>
        <v>31152</v>
      </c>
      <c r="Q50" s="352">
        <f>IFERROR(VLOOKUP(P50,'2019 B-9'!C:R,16,FALSE),0)</f>
        <v>9263616.1200000159</v>
      </c>
      <c r="R50" s="353">
        <f>Q50-Q16</f>
        <v>1.6763806343078613E-8</v>
      </c>
    </row>
    <row r="51" spans="5:18" x14ac:dyDescent="0.2">
      <c r="E51" s="260">
        <v>31252</v>
      </c>
      <c r="F51" s="352">
        <f>IFERROR(VLOOKUP(E51,'2019 B-7'!C:P,14,FALSE),0)</f>
        <v>51260286.850000009</v>
      </c>
      <c r="G51" s="353">
        <f>F51-F22</f>
        <v>0</v>
      </c>
      <c r="P51" s="260">
        <f t="shared" ref="P51:P54" si="11">E51</f>
        <v>31252</v>
      </c>
      <c r="Q51" s="352">
        <f>IFERROR(VLOOKUP(P51,'2019 B-9'!C:R,16,FALSE),0)</f>
        <v>18330971.169999994</v>
      </c>
      <c r="R51" s="353">
        <f>Q51-Q22</f>
        <v>0</v>
      </c>
    </row>
    <row r="52" spans="5:18" x14ac:dyDescent="0.2">
      <c r="E52" s="260">
        <v>31452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31452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31552</v>
      </c>
      <c r="F53" s="352">
        <f>IFERROR(VLOOKUP(E53,'2019 B-7'!C:P,14,FALSE),0)</f>
        <v>15951072.529999997</v>
      </c>
      <c r="G53" s="353">
        <f>F53-F34</f>
        <v>0</v>
      </c>
      <c r="P53" s="260">
        <f t="shared" si="11"/>
        <v>31552</v>
      </c>
      <c r="Q53" s="352">
        <f>IFERROR(VLOOKUP(P53,'2019 B-9'!C:R,16,FALSE),0)</f>
        <v>6776733.629999998</v>
      </c>
      <c r="R53" s="353">
        <f>Q53-Q34</f>
        <v>0</v>
      </c>
    </row>
    <row r="54" spans="5:18" x14ac:dyDescent="0.2">
      <c r="E54" s="260">
        <v>31652</v>
      </c>
      <c r="F54" s="352">
        <f>IFERROR(VLOOKUP(E54,'2019 B-7'!C:P,14,FALSE),0)</f>
        <v>958615.89</v>
      </c>
      <c r="G54" s="353">
        <f>F54-F40</f>
        <v>0</v>
      </c>
      <c r="P54" s="260">
        <f t="shared" si="11"/>
        <v>31652</v>
      </c>
      <c r="Q54" s="352">
        <f>IFERROR(VLOOKUP(P54,'2019 B-9'!C:R,16,FALSE),0)</f>
        <v>371463.16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93378844.570000008</v>
      </c>
      <c r="G55" s="354">
        <f>SUM(G50:G54)</f>
        <v>0</v>
      </c>
      <c r="P55" s="349" t="s">
        <v>40</v>
      </c>
      <c r="Q55" s="354">
        <f>SUM(Q50:Q54)</f>
        <v>34742784.080000006</v>
      </c>
      <c r="R55" s="354">
        <f>SUM(R50:R54)</f>
        <v>1.6763806343078613E-8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1.6763806343078613E-8</v>
      </c>
    </row>
    <row r="57" spans="5:18" x14ac:dyDescent="0.2">
      <c r="E57" s="29"/>
      <c r="G57" s="18"/>
    </row>
    <row r="58" spans="5:18" x14ac:dyDescent="0.2">
      <c r="E58" s="50"/>
      <c r="G58" s="18"/>
    </row>
    <row r="59" spans="5:18" x14ac:dyDescent="0.2">
      <c r="E59" s="50"/>
      <c r="G59" s="18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57031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100</v>
      </c>
      <c r="D6" s="71"/>
      <c r="E6" s="6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2041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1217</v>
      </c>
      <c r="E12" s="50"/>
      <c r="P12" s="18"/>
      <c r="Q12" s="18"/>
      <c r="R12" s="48"/>
    </row>
    <row r="13" spans="1:22" ht="15.95" customHeight="1" x14ac:dyDescent="0.2">
      <c r="A13" s="49" t="s">
        <v>441</v>
      </c>
      <c r="B13" s="499">
        <f>IFERROR(VLOOKUP($A13,'PP DS Query'!$C$1:$R$1005,5,FALSE),0)</f>
        <v>2041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21592346.789999999</v>
      </c>
      <c r="G13" s="523">
        <f>IFERROR(VLOOKUP($A13,'PP DS Query'!$C$1:$R$1005,7,FALSE),0)</f>
        <v>11.5</v>
      </c>
      <c r="H13" s="358">
        <f>IFERROR(VLOOKUP($A13,'PP DS Query'!$C$1:$R$1005,8,FALSE),0)</f>
        <v>248311988.09</v>
      </c>
      <c r="I13" s="523">
        <f>IFERROR(VLOOKUP($A13,'PP DS Query'!$C$1:$R$1005,9,FALSE),0)</f>
        <v>33</v>
      </c>
      <c r="J13" s="358">
        <f>IFERROR(VLOOKUP($A13,'PP DS Query'!$C$1:$R$1005,10,FALSE),0)</f>
        <v>712547444.07000005</v>
      </c>
      <c r="K13" s="523">
        <f>IFERROR(VLOOKUP($A13,'PP DS Query'!$C$1:$R$1005,11,FALSE),0)</f>
        <v>21.5</v>
      </c>
      <c r="L13" s="358">
        <f>IFERROR(VLOOKUP($A13,'PP DS Query'!$C$1:$R$1005,12,FALSE),0)</f>
        <v>464235455.99000001</v>
      </c>
      <c r="M13" s="19">
        <f>IFERROR(VLOOKUP($A13,'PP DS Query'!$C$1:$R$1005,13,FALSE),0)</f>
        <v>0.3519697</v>
      </c>
      <c r="N13" s="358">
        <f>IFERROR(VLOOKUP($A13,'PP DS Query'!$C$1:$R$1005,14,FALSE),0)</f>
        <v>7599851.7599999998</v>
      </c>
      <c r="O13" s="56">
        <f>IFERROR(VLOOKUP($A13,'PP DS Query'!$C$1:$R$1005,4,FALSE),0)</f>
        <v>-0.01</v>
      </c>
      <c r="P13" s="358">
        <f>-IFERROR(VLOOKUP($A13,'PP DS Query'!$C$1:$R$1005,15,FALSE),0)</f>
        <v>215923.47</v>
      </c>
      <c r="Q13" s="358">
        <f>IFERROR(VLOOKUP($A13,'PP DS Query'!$C$1:$R$1005,16,FALSE),0)</f>
        <v>7683007.6500000004</v>
      </c>
      <c r="R13" s="48"/>
      <c r="S13" s="472">
        <f>IFERROR(ROUND(LEFT(A13,7)*100,0),0)</f>
        <v>31153</v>
      </c>
      <c r="T13" s="472" t="s">
        <v>962</v>
      </c>
      <c r="U13" s="474">
        <f>IFERROR(VLOOKUP($S13,#REF!,6,FALSE),0)</f>
        <v>0</v>
      </c>
      <c r="V13" s="473">
        <f>U13-F13</f>
        <v>-21592346.789999999</v>
      </c>
    </row>
    <row r="14" spans="1:22" ht="15.95" customHeight="1" x14ac:dyDescent="0.2">
      <c r="A14" s="49" t="s">
        <v>442</v>
      </c>
      <c r="B14" s="499">
        <f>IFERROR(VLOOKUP($A14,'PP DS Query'!$C$1:$R$1005,5,FALSE),0)</f>
        <v>2041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53457.599999999999</v>
      </c>
      <c r="G14" s="523">
        <f>IFERROR(VLOOKUP($A14,'PP DS Query'!$C$1:$R$1005,7,FALSE),0)</f>
        <v>11.5</v>
      </c>
      <c r="H14" s="358">
        <f>IFERROR(VLOOKUP($A14,'PP DS Query'!$C$1:$R$1005,8,FALSE),0)</f>
        <v>614762.4</v>
      </c>
      <c r="I14" s="523">
        <f>IFERROR(VLOOKUP($A14,'PP DS Query'!$C$1:$R$1005,9,FALSE),0)</f>
        <v>31.6</v>
      </c>
      <c r="J14" s="358">
        <f>IFERROR(VLOOKUP($A14,'PP DS Query'!$C$1:$R$1005,10,FALSE),0)</f>
        <v>1689260.16</v>
      </c>
      <c r="K14" s="523">
        <f>IFERROR(VLOOKUP($A14,'PP DS Query'!$C$1:$R$1005,11,FALSE),0)</f>
        <v>19.929283999999999</v>
      </c>
      <c r="L14" s="358">
        <f>IFERROR(VLOOKUP($A14,'PP DS Query'!$C$1:$R$1005,12,FALSE),0)</f>
        <v>1065371.69</v>
      </c>
      <c r="M14" s="19">
        <f>IFERROR(VLOOKUP($A14,'PP DS Query'!$C$1:$R$1005,13,FALSE),0)</f>
        <v>0.37303339000000002</v>
      </c>
      <c r="N14" s="358">
        <f>IFERROR(VLOOKUP($A14,'PP DS Query'!$C$1:$R$1005,14,FALSE),0)</f>
        <v>19941.47</v>
      </c>
      <c r="O14" s="56">
        <f>IFERROR(VLOOKUP($A14,'PP DS Query'!$C$1:$R$1005,4,FALSE),0)</f>
        <v>-0.01</v>
      </c>
      <c r="P14" s="358">
        <f>-IFERROR(VLOOKUP($A14,'PP DS Query'!$C$1:$R$1005,15,FALSE),0)</f>
        <v>534.58000000000004</v>
      </c>
      <c r="Q14" s="358">
        <f>IFERROR(VLOOKUP($A14,'PP DS Query'!$C$1:$R$1005,16,FALSE),0)</f>
        <v>20159.669999999998</v>
      </c>
      <c r="R14" s="48"/>
      <c r="S14" s="472">
        <f t="shared" ref="S14:S15" si="0">IFERROR(ROUND(LEFT(A14,7)*100,0),0)</f>
        <v>31153</v>
      </c>
      <c r="T14" s="472" t="s">
        <v>963</v>
      </c>
      <c r="U14" s="474">
        <f>IFERROR(VLOOKUP($S14,#REF!,7,FALSE),0)</f>
        <v>0</v>
      </c>
      <c r="V14" s="473">
        <f t="shared" ref="V14:V15" si="1">U14-F14</f>
        <v>-53457.599999999999</v>
      </c>
    </row>
    <row r="15" spans="1:22" ht="15.95" customHeight="1" thickBot="1" x14ac:dyDescent="0.25">
      <c r="A15" s="49" t="s">
        <v>443</v>
      </c>
      <c r="B15" s="499">
        <f>IFERROR(VLOOKUP($A15,'PP DS Query'!$C$1:$R$1005,5,FALSE),0)</f>
        <v>2041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43617.18</v>
      </c>
      <c r="G15" s="524">
        <f>IFERROR(VLOOKUP($A15,'PP DS Query'!$C$1:$R$1005,7,FALSE),0)</f>
        <v>11.5</v>
      </c>
      <c r="H15" s="250">
        <f>IFERROR(VLOOKUP($A15,'PP DS Query'!$C$1:$R$1005,8,FALSE),0)</f>
        <v>501597.57</v>
      </c>
      <c r="I15" s="524">
        <f>IFERROR(VLOOKUP($A15,'PP DS Query'!$C$1:$R$1005,9,FALSE),0)</f>
        <v>20</v>
      </c>
      <c r="J15" s="250">
        <f>IFERROR(VLOOKUP($A15,'PP DS Query'!$C$1:$R$1005,10,FALSE),0)</f>
        <v>872343.6</v>
      </c>
      <c r="K15" s="524">
        <f>IFERROR(VLOOKUP($A15,'PP DS Query'!$C$1:$R$1005,11,FALSE),0)</f>
        <v>8.9267330000000005</v>
      </c>
      <c r="L15" s="250">
        <f>IFERROR(VLOOKUP($A15,'PP DS Query'!$C$1:$R$1005,12,FALSE),0)</f>
        <v>389358.92</v>
      </c>
      <c r="M15" s="21">
        <f>IFERROR(VLOOKUP($A15,'PP DS Query'!$C$1:$R$1005,13,FALSE),0)</f>
        <v>0.55920007000000005</v>
      </c>
      <c r="N15" s="250">
        <f>IFERROR(VLOOKUP($A15,'PP DS Query'!$C$1:$R$1005,14,FALSE),0)</f>
        <v>24390.73</v>
      </c>
      <c r="O15" s="57">
        <f>IFERROR(VLOOKUP($A15,'PP DS Query'!$C$1:$R$1005,4,FALSE),0)</f>
        <v>-0.01</v>
      </c>
      <c r="P15" s="250">
        <f>-IFERROR(VLOOKUP($A15,'PP DS Query'!$C$1:$R$1005,15,FALSE),0)</f>
        <v>436.17</v>
      </c>
      <c r="Q15" s="250">
        <f>IFERROR(VLOOKUP($A15,'PP DS Query'!$C$1:$R$1005,16,FALSE),0)</f>
        <v>24657.599999999999</v>
      </c>
      <c r="R15" s="48"/>
      <c r="S15" s="472">
        <f t="shared" si="0"/>
        <v>31153</v>
      </c>
      <c r="T15" s="472" t="s">
        <v>964</v>
      </c>
      <c r="U15" s="475">
        <f>IFERROR(VLOOKUP($S15,#REF!,8,FALSE),0)</f>
        <v>0</v>
      </c>
      <c r="V15" s="476">
        <f t="shared" si="1"/>
        <v>-43617.18</v>
      </c>
    </row>
    <row r="16" spans="1:22" ht="15.95" customHeight="1" x14ac:dyDescent="0.2">
      <c r="A16" s="49" t="s">
        <v>444</v>
      </c>
      <c r="B16" s="499">
        <f>IFERROR(VLOOKUP($A16,'PP DS Query'!$C$1:$R$1005,5,FALSE),0)</f>
        <v>2041</v>
      </c>
      <c r="C16" s="33"/>
      <c r="D16" s="34"/>
      <c r="E16" s="15"/>
      <c r="F16" s="443">
        <f>IFERROR(VLOOKUP($A16,'PP DS Query'!$C$1:$R$1005,6,FALSE),0)</f>
        <v>21689421.57</v>
      </c>
      <c r="G16" s="525">
        <f>IFERROR(VLOOKUP($A16,'PP DS Query'!$C$1:$R$1005,7,FALSE),0)</f>
        <v>11.5</v>
      </c>
      <c r="H16" s="443">
        <f>IFERROR(VLOOKUP($A16,'PP DS Query'!$C$1:$R$1005,8,FALSE),0)</f>
        <v>249428348.06</v>
      </c>
      <c r="I16" s="525">
        <f>IFERROR(VLOOKUP($A16,'PP DS Query'!$C$1:$R$1005,9,FALSE),0)</f>
        <v>32.970406590000003</v>
      </c>
      <c r="J16" s="443">
        <f>IFERROR(VLOOKUP($A16,'PP DS Query'!$C$1:$R$1005,10,FALSE),0)</f>
        <v>715109047.83000004</v>
      </c>
      <c r="K16" s="525">
        <f>IFERROR(VLOOKUP($A16,'PP DS Query'!$C$1:$R$1005,11,FALSE),0)</f>
        <v>21.470843980000001</v>
      </c>
      <c r="L16" s="443">
        <f>IFERROR(VLOOKUP($A16,'PP DS Query'!$C$1:$R$1005,12,FALSE),0)</f>
        <v>465690186.60000002</v>
      </c>
      <c r="M16" s="445">
        <f>IFERROR(VLOOKUP($A16,'PP DS Query'!$C$1:$R$1005,13,FALSE),0)</f>
        <v>0.35243835000000001</v>
      </c>
      <c r="N16" s="443">
        <f>IFERROR(VLOOKUP($A16,'PP DS Query'!$C$1:$R$1005,14,FALSE),0)</f>
        <v>7644183.96</v>
      </c>
      <c r="O16" s="446">
        <f>IFERROR(VLOOKUP($A16,'PP DS Query'!$C$1:$R$1005,4,FALSE),0)</f>
        <v>-0.01</v>
      </c>
      <c r="P16" s="443">
        <f>-IFERROR(VLOOKUP($A16,'PP DS Query'!$C$1:$R$1005,15,FALSE),0)</f>
        <v>216894.22</v>
      </c>
      <c r="Q16" s="443">
        <f>IFERROR(VLOOKUP($A16,'PP DS Query'!$C$1:$R$1005,16,FALSE),0)</f>
        <v>7727824.9199999999</v>
      </c>
      <c r="R16" s="48"/>
      <c r="U16" s="473">
        <f>SUM(U13:U15)</f>
        <v>0</v>
      </c>
      <c r="V16" s="473">
        <f>SUM(V13:V15)</f>
        <v>-21689421.57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4" t="s">
        <v>1218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485</v>
      </c>
      <c r="B19" s="499">
        <f>IFERROR(VLOOKUP($A19,'PP DS Query'!$C$1:$R$1005,5,FALSE),0)</f>
        <v>2041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10273792.210000001</v>
      </c>
      <c r="G19" s="523">
        <f>IFERROR(VLOOKUP($A19,'PP DS Query'!$C$1:$R$1005,7,FALSE),0)</f>
        <v>11.5</v>
      </c>
      <c r="H19" s="358">
        <f>IFERROR(VLOOKUP($A19,'PP DS Query'!$C$1:$R$1005,8,FALSE),0)</f>
        <v>118148610.42</v>
      </c>
      <c r="I19" s="523">
        <f>IFERROR(VLOOKUP($A19,'PP DS Query'!$C$1:$R$1005,9,FALSE),0)</f>
        <v>33</v>
      </c>
      <c r="J19" s="358">
        <f>IFERROR(VLOOKUP($A19,'PP DS Query'!$C$1:$R$1005,10,FALSE),0)</f>
        <v>339035142.93000001</v>
      </c>
      <c r="K19" s="523">
        <f>IFERROR(VLOOKUP($A19,'PP DS Query'!$C$1:$R$1005,11,FALSE),0)</f>
        <v>21.5</v>
      </c>
      <c r="L19" s="358">
        <f>IFERROR(VLOOKUP($A19,'PP DS Query'!$C$1:$R$1005,12,FALSE),0)</f>
        <v>220886532.52000001</v>
      </c>
      <c r="M19" s="19">
        <f>IFERROR(VLOOKUP($A19,'PP DS Query'!$C$1:$R$1005,13,FALSE),0)</f>
        <v>0.35893939000000002</v>
      </c>
      <c r="N19" s="358">
        <f>IFERROR(VLOOKUP($A19,'PP DS Query'!$C$1:$R$1005,14,FALSE),0)</f>
        <v>3687668.75</v>
      </c>
      <c r="O19" s="56">
        <f>IFERROR(VLOOKUP($A19,'PP DS Query'!$C$1:$R$1005,4,FALSE),0)</f>
        <v>-0.03</v>
      </c>
      <c r="P19" s="358">
        <f>-IFERROR(VLOOKUP($A19,'PP DS Query'!$C$1:$R$1005,15,FALSE),0)</f>
        <v>308213.77</v>
      </c>
      <c r="Q19" s="358">
        <f>IFERROR(VLOOKUP($A19,'PP DS Query'!$C$1:$R$1005,16,FALSE),0)</f>
        <v>3658977.99</v>
      </c>
      <c r="R19" s="48"/>
      <c r="S19" s="472">
        <f>IFERROR(ROUND(LEFT(A19,7)*100,0),0)</f>
        <v>31253</v>
      </c>
      <c r="T19" s="472" t="s">
        <v>962</v>
      </c>
      <c r="U19" s="474">
        <f>IFERROR(VLOOKUP($S19,#REF!,6,FALSE),0)</f>
        <v>0</v>
      </c>
      <c r="V19" s="473">
        <f>U19-F19</f>
        <v>-10273792.210000001</v>
      </c>
    </row>
    <row r="20" spans="1:22" ht="15.95" customHeight="1" x14ac:dyDescent="0.2">
      <c r="A20" s="49" t="s">
        <v>486</v>
      </c>
      <c r="B20" s="499">
        <f>IFERROR(VLOOKUP($A20,'PP DS Query'!$C$1:$R$1005,5,FALSE),0)</f>
        <v>2041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21554435.149999999</v>
      </c>
      <c r="G20" s="523">
        <f>IFERROR(VLOOKUP($A20,'PP DS Query'!$C$1:$R$1005,7,FALSE),0)</f>
        <v>11.5</v>
      </c>
      <c r="H20" s="358">
        <f>IFERROR(VLOOKUP($A20,'PP DS Query'!$C$1:$R$1005,8,FALSE),0)</f>
        <v>247876004.22999999</v>
      </c>
      <c r="I20" s="523">
        <f>IFERROR(VLOOKUP($A20,'PP DS Query'!$C$1:$R$1005,9,FALSE),0)</f>
        <v>31.6</v>
      </c>
      <c r="J20" s="358">
        <f>IFERROR(VLOOKUP($A20,'PP DS Query'!$C$1:$R$1005,10,FALSE),0)</f>
        <v>681120150.74000001</v>
      </c>
      <c r="K20" s="523">
        <f>IFERROR(VLOOKUP($A20,'PP DS Query'!$C$1:$R$1005,11,FALSE),0)</f>
        <v>19.929283999999999</v>
      </c>
      <c r="L20" s="358">
        <f>IFERROR(VLOOKUP($A20,'PP DS Query'!$C$1:$R$1005,12,FALSE),0)</f>
        <v>429564459.56</v>
      </c>
      <c r="M20" s="19">
        <f>IFERROR(VLOOKUP($A20,'PP DS Query'!$C$1:$R$1005,13,FALSE),0)</f>
        <v>0.38042025000000002</v>
      </c>
      <c r="N20" s="358">
        <f>IFERROR(VLOOKUP($A20,'PP DS Query'!$C$1:$R$1005,14,FALSE),0)</f>
        <v>8199743.5700000003</v>
      </c>
      <c r="O20" s="56">
        <f>IFERROR(VLOOKUP($A20,'PP DS Query'!$C$1:$R$1005,4,FALSE),0)</f>
        <v>-0.03</v>
      </c>
      <c r="P20" s="358">
        <f>-IFERROR(VLOOKUP($A20,'PP DS Query'!$C$1:$R$1005,15,FALSE),0)</f>
        <v>646633.05000000005</v>
      </c>
      <c r="Q20" s="358">
        <f>IFERROR(VLOOKUP($A20,'PP DS Query'!$C$1:$R$1005,16,FALSE),0)</f>
        <v>8135948.0199999996</v>
      </c>
      <c r="R20" s="48"/>
      <c r="S20" s="472">
        <f t="shared" ref="S20:S21" si="2">IFERROR(ROUND(LEFT(A20,7)*100,0),0)</f>
        <v>31253</v>
      </c>
      <c r="T20" s="472" t="s">
        <v>963</v>
      </c>
      <c r="U20" s="474">
        <f>IFERROR(VLOOKUP($S20,#REF!,7,FALSE),0)</f>
        <v>0</v>
      </c>
      <c r="V20" s="473">
        <f t="shared" ref="V20:V21" si="3">U20-F20</f>
        <v>-21554435.149999999</v>
      </c>
    </row>
    <row r="21" spans="1:22" ht="15.95" customHeight="1" thickBot="1" x14ac:dyDescent="0.25">
      <c r="A21" s="49" t="s">
        <v>487</v>
      </c>
      <c r="B21" s="499">
        <f>IFERROR(VLOOKUP($A21,'PP DS Query'!$C$1:$R$1005,5,FALSE),0)</f>
        <v>2041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12211932.109999999</v>
      </c>
      <c r="G21" s="524">
        <f>IFERROR(VLOOKUP($A21,'PP DS Query'!$C$1:$R$1005,7,FALSE),0)</f>
        <v>10.10743386</v>
      </c>
      <c r="H21" s="250">
        <f>IFERROR(VLOOKUP($A21,'PP DS Query'!$C$1:$R$1005,8,FALSE),0)</f>
        <v>123431296.08</v>
      </c>
      <c r="I21" s="524">
        <f>IFERROR(VLOOKUP($A21,'PP DS Query'!$C$1:$R$1005,9,FALSE),0)</f>
        <v>19.98</v>
      </c>
      <c r="J21" s="250">
        <f>IFERROR(VLOOKUP($A21,'PP DS Query'!$C$1:$R$1005,10,FALSE),0)</f>
        <v>243994403.56</v>
      </c>
      <c r="K21" s="524">
        <f>IFERROR(VLOOKUP($A21,'PP DS Query'!$C$1:$R$1005,11,FALSE),0)</f>
        <v>10.168538</v>
      </c>
      <c r="L21" s="250">
        <f>IFERROR(VLOOKUP($A21,'PP DS Query'!$C$1:$R$1005,12,FALSE),0)</f>
        <v>124177495.70999999</v>
      </c>
      <c r="M21" s="21">
        <f>IFERROR(VLOOKUP($A21,'PP DS Query'!$C$1:$R$1005,13,FALSE),0)</f>
        <v>0.50573754000000004</v>
      </c>
      <c r="N21" s="250">
        <f>IFERROR(VLOOKUP($A21,'PP DS Query'!$C$1:$R$1005,14,FALSE),0)</f>
        <v>6176032.5199999996</v>
      </c>
      <c r="O21" s="57">
        <f>IFERROR(VLOOKUP($A21,'PP DS Query'!$C$1:$R$1005,4,FALSE),0)</f>
        <v>-0.03</v>
      </c>
      <c r="P21" s="250">
        <f>-IFERROR(VLOOKUP($A21,'PP DS Query'!$C$1:$R$1005,15,FALSE),0)</f>
        <v>366357.96</v>
      </c>
      <c r="Q21" s="250">
        <f>IFERROR(VLOOKUP($A21,'PP DS Query'!$C$1:$R$1005,16,FALSE),0)</f>
        <v>6127981.8200000003</v>
      </c>
      <c r="R21" s="48"/>
      <c r="S21" s="472">
        <f t="shared" si="2"/>
        <v>31253</v>
      </c>
      <c r="T21" s="472" t="s">
        <v>964</v>
      </c>
      <c r="U21" s="475">
        <f>IFERROR(VLOOKUP($S21,#REF!,8,FALSE),0)</f>
        <v>0</v>
      </c>
      <c r="V21" s="476">
        <f t="shared" si="3"/>
        <v>-12211932.109999999</v>
      </c>
    </row>
    <row r="22" spans="1:22" ht="15.95" customHeight="1" x14ac:dyDescent="0.2">
      <c r="A22" s="49" t="s">
        <v>488</v>
      </c>
      <c r="B22" s="499">
        <f>IFERROR(VLOOKUP($A22,'PP DS Query'!$C$1:$R$1005,5,FALSE),0)</f>
        <v>2041</v>
      </c>
      <c r="C22" s="33"/>
      <c r="D22" s="34"/>
      <c r="E22" s="15"/>
      <c r="F22" s="443">
        <f>IFERROR(VLOOKUP($A22,'PP DS Query'!$C$1:$R$1005,6,FALSE),0)</f>
        <v>44040159.469999999</v>
      </c>
      <c r="G22" s="525">
        <f>IFERROR(VLOOKUP($A22,'PP DS Query'!$C$1:$R$1005,7,FALSE),0)</f>
        <v>11.11385419</v>
      </c>
      <c r="H22" s="443">
        <f>IFERROR(VLOOKUP($A22,'PP DS Query'!$C$1:$R$1005,8,FALSE),0)</f>
        <v>489455910.72000003</v>
      </c>
      <c r="I22" s="525">
        <f>IFERROR(VLOOKUP($A22,'PP DS Query'!$C$1:$R$1005,9,FALSE),0)</f>
        <v>28.70447592</v>
      </c>
      <c r="J22" s="443">
        <f>IFERROR(VLOOKUP($A22,'PP DS Query'!$C$1:$R$1005,10,FALSE),0)</f>
        <v>1264149697.23</v>
      </c>
      <c r="K22" s="525">
        <f>IFERROR(VLOOKUP($A22,'PP DS Query'!$C$1:$R$1005,11,FALSE),0)</f>
        <v>17.589139029999998</v>
      </c>
      <c r="L22" s="443">
        <f>IFERROR(VLOOKUP($A22,'PP DS Query'!$C$1:$R$1005,12,FALSE),0)</f>
        <v>774628487.78999996</v>
      </c>
      <c r="M22" s="445">
        <f>IFERROR(VLOOKUP($A22,'PP DS Query'!$C$1:$R$1005,13,FALSE),0)</f>
        <v>0.41015847999999999</v>
      </c>
      <c r="N22" s="443">
        <f>IFERROR(VLOOKUP($A22,'PP DS Query'!$C$1:$R$1005,14,FALSE),0)</f>
        <v>18063444.84</v>
      </c>
      <c r="O22" s="446">
        <f>IFERROR(VLOOKUP($A22,'PP DS Query'!$C$1:$R$1005,4,FALSE),0)</f>
        <v>-0.03</v>
      </c>
      <c r="P22" s="443">
        <f>-IFERROR(VLOOKUP($A22,'PP DS Query'!$C$1:$R$1005,15,FALSE),0)</f>
        <v>1321204.78</v>
      </c>
      <c r="Q22" s="443">
        <f>IFERROR(VLOOKUP($A22,'PP DS Query'!$C$1:$R$1005,16,FALSE),0)</f>
        <v>17922907.829999998</v>
      </c>
      <c r="R22" s="48"/>
      <c r="U22" s="473">
        <f>SUM(U19:U21)</f>
        <v>0</v>
      </c>
      <c r="V22" s="473">
        <f>SUM(V19:V21)</f>
        <v>-44040159.469999999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4" t="s">
        <v>1219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396" t="s">
        <v>1034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31453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1032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31453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1033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31453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1090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4" t="s">
        <v>1220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549</v>
      </c>
      <c r="B31" s="499">
        <f>IFERROR(VLOOKUP($A31,'PP DS Query'!$C$1:$R$1005,5,FALSE),0)</f>
        <v>2041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3521925.86</v>
      </c>
      <c r="G31" s="523">
        <f>IFERROR(VLOOKUP($A31,'PP DS Query'!$C$1:$R$1005,7,FALSE),0)</f>
        <v>11.5</v>
      </c>
      <c r="H31" s="358">
        <f>IFERROR(VLOOKUP($A31,'PP DS Query'!$C$1:$R$1005,8,FALSE),0)</f>
        <v>40502147.390000001</v>
      </c>
      <c r="I31" s="523">
        <f>IFERROR(VLOOKUP($A31,'PP DS Query'!$C$1:$R$1005,9,FALSE),0)</f>
        <v>33</v>
      </c>
      <c r="J31" s="358">
        <f>IFERROR(VLOOKUP($A31,'PP DS Query'!$C$1:$R$1005,10,FALSE),0)</f>
        <v>116223553.38</v>
      </c>
      <c r="K31" s="523">
        <f>IFERROR(VLOOKUP($A31,'PP DS Query'!$C$1:$R$1005,11,FALSE),0)</f>
        <v>21.5</v>
      </c>
      <c r="L31" s="358">
        <f>IFERROR(VLOOKUP($A31,'PP DS Query'!$C$1:$R$1005,12,FALSE),0)</f>
        <v>75721405.989999995</v>
      </c>
      <c r="M31" s="19">
        <f>IFERROR(VLOOKUP($A31,'PP DS Query'!$C$1:$R$1005,13,FALSE),0)</f>
        <v>0.35893939000000002</v>
      </c>
      <c r="N31" s="358">
        <f>IFERROR(VLOOKUP($A31,'PP DS Query'!$C$1:$R$1005,14,FALSE),0)</f>
        <v>1264157.93</v>
      </c>
      <c r="O31" s="56">
        <f>IFERROR(VLOOKUP($A31,'PP DS Query'!$C$1:$R$1005,4,FALSE),0)</f>
        <v>-0.03</v>
      </c>
      <c r="P31" s="358">
        <f>-IFERROR(VLOOKUP($A31,'PP DS Query'!$C$1:$R$1005,15,FALSE),0)</f>
        <v>105657.78</v>
      </c>
      <c r="Q31" s="358">
        <f>IFERROR(VLOOKUP($A31,'PP DS Query'!$C$1:$R$1005,16,FALSE),0)</f>
        <v>1387236.99</v>
      </c>
      <c r="R31" s="48"/>
      <c r="S31" s="472">
        <f>IFERROR(ROUND(LEFT(A31,7)*100,0),0)</f>
        <v>31553</v>
      </c>
      <c r="T31" s="472" t="s">
        <v>962</v>
      </c>
      <c r="U31" s="474">
        <f>IFERROR(VLOOKUP($S31,#REF!,6,FALSE),0)</f>
        <v>0</v>
      </c>
      <c r="V31" s="473">
        <f>U31-F31</f>
        <v>-3521925.86</v>
      </c>
    </row>
    <row r="32" spans="1:22" ht="15.95" customHeight="1" x14ac:dyDescent="0.2">
      <c r="A32" s="49" t="s">
        <v>550</v>
      </c>
      <c r="B32" s="499">
        <f>IFERROR(VLOOKUP($A32,'PP DS Query'!$C$1:$R$1005,5,FALSE),0)</f>
        <v>2041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7242406.8799999999</v>
      </c>
      <c r="G32" s="523">
        <f>IFERROR(VLOOKUP($A32,'PP DS Query'!$C$1:$R$1005,7,FALSE),0)</f>
        <v>11.45839868</v>
      </c>
      <c r="H32" s="358">
        <f>IFERROR(VLOOKUP($A32,'PP DS Query'!$C$1:$R$1005,8,FALSE),0)</f>
        <v>82986385.439999998</v>
      </c>
      <c r="I32" s="523">
        <f>IFERROR(VLOOKUP($A32,'PP DS Query'!$C$1:$R$1005,9,FALSE),0)</f>
        <v>31.56</v>
      </c>
      <c r="J32" s="358">
        <f>IFERROR(VLOOKUP($A32,'PP DS Query'!$C$1:$R$1005,10,FALSE),0)</f>
        <v>228570361.13</v>
      </c>
      <c r="K32" s="523">
        <f>IFERROR(VLOOKUP($A32,'PP DS Query'!$C$1:$R$1005,11,FALSE),0)</f>
        <v>19.938873000000001</v>
      </c>
      <c r="L32" s="358">
        <f>IFERROR(VLOOKUP($A32,'PP DS Query'!$C$1:$R$1005,12,FALSE),0)</f>
        <v>144405430.99000001</v>
      </c>
      <c r="M32" s="19">
        <f>IFERROR(VLOOKUP($A32,'PP DS Query'!$C$1:$R$1005,13,FALSE),0)</f>
        <v>0.37919919000000002</v>
      </c>
      <c r="N32" s="358">
        <f>IFERROR(VLOOKUP($A32,'PP DS Query'!$C$1:$R$1005,14,FALSE),0)</f>
        <v>2746314.82</v>
      </c>
      <c r="O32" s="56">
        <f>IFERROR(VLOOKUP($A32,'PP DS Query'!$C$1:$R$1005,4,FALSE),0)</f>
        <v>-0.03</v>
      </c>
      <c r="P32" s="358">
        <f>-IFERROR(VLOOKUP($A32,'PP DS Query'!$C$1:$R$1005,15,FALSE),0)</f>
        <v>217272.21</v>
      </c>
      <c r="Q32" s="358">
        <f>IFERROR(VLOOKUP($A32,'PP DS Query'!$C$1:$R$1005,16,FALSE),0)</f>
        <v>3013697.44</v>
      </c>
      <c r="R32" s="48"/>
      <c r="S32" s="472">
        <f t="shared" ref="S32:S33" si="6">IFERROR(ROUND(LEFT(A32,7)*100,0),0)</f>
        <v>31553</v>
      </c>
      <c r="T32" s="472" t="s">
        <v>963</v>
      </c>
      <c r="U32" s="474">
        <f>IFERROR(VLOOKUP($S32,#REF!,7,FALSE),0)</f>
        <v>0</v>
      </c>
      <c r="V32" s="473">
        <f t="shared" ref="V32:V33" si="7">U32-F32</f>
        <v>-7242406.8799999999</v>
      </c>
    </row>
    <row r="33" spans="1:22" ht="15.95" customHeight="1" thickBot="1" x14ac:dyDescent="0.25">
      <c r="A33" s="49" t="s">
        <v>551</v>
      </c>
      <c r="B33" s="499">
        <f>IFERROR(VLOOKUP($A33,'PP DS Query'!$C$1:$R$1005,5,FALSE),0)</f>
        <v>2041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2997089.3</v>
      </c>
      <c r="G33" s="524">
        <f>IFERROR(VLOOKUP($A33,'PP DS Query'!$C$1:$R$1005,7,FALSE),0)</f>
        <v>11.300391189999999</v>
      </c>
      <c r="H33" s="250">
        <f>IFERROR(VLOOKUP($A33,'PP DS Query'!$C$1:$R$1005,8,FALSE),0)</f>
        <v>33868281.509999998</v>
      </c>
      <c r="I33" s="524">
        <f>IFERROR(VLOOKUP($A33,'PP DS Query'!$C$1:$R$1005,9,FALSE),0)</f>
        <v>19.989999999999998</v>
      </c>
      <c r="J33" s="250">
        <f>IFERROR(VLOOKUP($A33,'PP DS Query'!$C$1:$R$1005,10,FALSE),0)</f>
        <v>59911815.109999999</v>
      </c>
      <c r="K33" s="524">
        <f>IFERROR(VLOOKUP($A33,'PP DS Query'!$C$1:$R$1005,11,FALSE),0)</f>
        <v>9.1062390000000004</v>
      </c>
      <c r="L33" s="250">
        <f>IFERROR(VLOOKUP($A33,'PP DS Query'!$C$1:$R$1005,12,FALSE),0)</f>
        <v>27292211.469999999</v>
      </c>
      <c r="M33" s="21">
        <f>IFERROR(VLOOKUP($A33,'PP DS Query'!$C$1:$R$1005,13,FALSE),0)</f>
        <v>0.56087958999999998</v>
      </c>
      <c r="N33" s="250">
        <f>IFERROR(VLOOKUP($A33,'PP DS Query'!$C$1:$R$1005,14,FALSE),0)</f>
        <v>1681006.23</v>
      </c>
      <c r="O33" s="57">
        <f>IFERROR(VLOOKUP($A33,'PP DS Query'!$C$1:$R$1005,4,FALSE),0)</f>
        <v>-0.03</v>
      </c>
      <c r="P33" s="250">
        <f>-IFERROR(VLOOKUP($A33,'PP DS Query'!$C$1:$R$1005,15,FALSE),0)</f>
        <v>89912.68</v>
      </c>
      <c r="Q33" s="250">
        <f>IFERROR(VLOOKUP($A33,'PP DS Query'!$C$1:$R$1005,16,FALSE),0)</f>
        <v>1844669.86</v>
      </c>
      <c r="R33" s="48"/>
      <c r="S33" s="472">
        <f t="shared" si="6"/>
        <v>31553</v>
      </c>
      <c r="T33" s="472" t="s">
        <v>964</v>
      </c>
      <c r="U33" s="475">
        <f>IFERROR(VLOOKUP($S33,#REF!,8,FALSE),0)</f>
        <v>0</v>
      </c>
      <c r="V33" s="476">
        <f t="shared" si="7"/>
        <v>-2997089.3</v>
      </c>
    </row>
    <row r="34" spans="1:22" ht="15.95" customHeight="1" x14ac:dyDescent="0.2">
      <c r="A34" s="49" t="s">
        <v>552</v>
      </c>
      <c r="B34" s="499">
        <f>IFERROR(VLOOKUP($A34,'PP DS Query'!$C$1:$R$1005,5,FALSE),0)</f>
        <v>2041</v>
      </c>
      <c r="C34" s="33"/>
      <c r="D34" s="34"/>
      <c r="E34" s="15"/>
      <c r="F34" s="443">
        <f>IFERROR(VLOOKUP($A34,'PP DS Query'!$C$1:$R$1005,6,FALSE),0)</f>
        <v>13761422.039999999</v>
      </c>
      <c r="G34" s="525">
        <f>IFERROR(VLOOKUP($A34,'PP DS Query'!$C$1:$R$1005,7,FALSE),0)</f>
        <v>11.434633270000001</v>
      </c>
      <c r="H34" s="443">
        <f>IFERROR(VLOOKUP($A34,'PP DS Query'!$C$1:$R$1005,8,FALSE),0)</f>
        <v>157356814.34</v>
      </c>
      <c r="I34" s="525">
        <f>IFERROR(VLOOKUP($A34,'PP DS Query'!$C$1:$R$1005,9,FALSE),0)</f>
        <v>29.40871434</v>
      </c>
      <c r="J34" s="443">
        <f>IFERROR(VLOOKUP($A34,'PP DS Query'!$C$1:$R$1005,10,FALSE),0)</f>
        <v>404705729.62</v>
      </c>
      <c r="K34" s="525">
        <f>IFERROR(VLOOKUP($A34,'PP DS Query'!$C$1:$R$1005,11,FALSE),0)</f>
        <v>17.979177419999999</v>
      </c>
      <c r="L34" s="443">
        <f>IFERROR(VLOOKUP($A34,'PP DS Query'!$C$1:$R$1005,12,FALSE),0)</f>
        <v>247419048.44999999</v>
      </c>
      <c r="M34" s="445">
        <f>IFERROR(VLOOKUP($A34,'PP DS Query'!$C$1:$R$1005,13,FALSE),0)</f>
        <v>0.41358218000000002</v>
      </c>
      <c r="N34" s="443">
        <f>IFERROR(VLOOKUP($A34,'PP DS Query'!$C$1:$R$1005,14,FALSE),0)</f>
        <v>5691478.9800000004</v>
      </c>
      <c r="O34" s="446">
        <f>IFERROR(VLOOKUP($A34,'PP DS Query'!$C$1:$R$1005,4,FALSE),0)</f>
        <v>-0.03</v>
      </c>
      <c r="P34" s="443">
        <f>-IFERROR(VLOOKUP($A34,'PP DS Query'!$C$1:$R$1005,15,FALSE),0)</f>
        <v>412842.66</v>
      </c>
      <c r="Q34" s="443">
        <f>IFERROR(VLOOKUP($A34,'PP DS Query'!$C$1:$R$1005,16,FALSE),0)</f>
        <v>6245604.29</v>
      </c>
      <c r="R34" s="48"/>
      <c r="U34" s="473">
        <f>SUM(U31:U33)</f>
        <v>0</v>
      </c>
      <c r="V34" s="473">
        <f>SUM(V31:V33)</f>
        <v>-13761422.039999999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4" t="s">
        <v>1221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589</v>
      </c>
      <c r="B37" s="499">
        <f>IFERROR(VLOOKUP($A37,'PP DS Query'!$C$1:$R$1005,5,FALSE),0)</f>
        <v>2041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658122.23</v>
      </c>
      <c r="G37" s="523">
        <f>IFERROR(VLOOKUP($A37,'PP DS Query'!$C$1:$R$1005,7,FALSE),0)</f>
        <v>11.5</v>
      </c>
      <c r="H37" s="358">
        <f>IFERROR(VLOOKUP($A37,'PP DS Query'!$C$1:$R$1005,8,FALSE),0)</f>
        <v>7568405.6500000004</v>
      </c>
      <c r="I37" s="523">
        <f>IFERROR(VLOOKUP($A37,'PP DS Query'!$C$1:$R$1005,9,FALSE),0)</f>
        <v>33</v>
      </c>
      <c r="J37" s="358">
        <f>IFERROR(VLOOKUP($A37,'PP DS Query'!$C$1:$R$1005,10,FALSE),0)</f>
        <v>21718033.59</v>
      </c>
      <c r="K37" s="523">
        <f>IFERROR(VLOOKUP($A37,'PP DS Query'!$C$1:$R$1005,11,FALSE),0)</f>
        <v>21.5</v>
      </c>
      <c r="L37" s="358">
        <f>IFERROR(VLOOKUP($A37,'PP DS Query'!$C$1:$R$1005,12,FALSE),0)</f>
        <v>14149627.949999999</v>
      </c>
      <c r="M37" s="19">
        <f>IFERROR(VLOOKUP($A37,'PP DS Query'!$C$1:$R$1005,13,FALSE),0)</f>
        <v>0.35196969</v>
      </c>
      <c r="N37" s="358">
        <f>IFERROR(VLOOKUP($A37,'PP DS Query'!$C$1:$R$1005,14,FALSE),0)</f>
        <v>231639.08</v>
      </c>
      <c r="O37" s="56">
        <f>IFERROR(VLOOKUP($A37,'PP DS Query'!$C$1:$R$1005,4,FALSE),0)</f>
        <v>-0.01</v>
      </c>
      <c r="P37" s="358">
        <f>-IFERROR(VLOOKUP($A37,'PP DS Query'!$C$1:$R$1005,15,FALSE),0)</f>
        <v>6581.22</v>
      </c>
      <c r="Q37" s="358">
        <f>IFERROR(VLOOKUP($A37,'PP DS Query'!$C$1:$R$1005,16,FALSE),0)</f>
        <v>249575.75</v>
      </c>
      <c r="R37" s="48"/>
      <c r="S37" s="472">
        <f>IFERROR(ROUND(LEFT(A37,7)*100,0),0)</f>
        <v>31653</v>
      </c>
      <c r="T37" s="472" t="s">
        <v>962</v>
      </c>
      <c r="U37" s="474">
        <f>IFERROR(VLOOKUP($S37,#REF!,6,FALSE),0)</f>
        <v>0</v>
      </c>
      <c r="V37" s="473">
        <f>U37-F37</f>
        <v>-658122.23</v>
      </c>
    </row>
    <row r="38" spans="1:22" ht="15.95" customHeight="1" x14ac:dyDescent="0.2">
      <c r="A38" s="49" t="s">
        <v>590</v>
      </c>
      <c r="B38" s="499">
        <f>IFERROR(VLOOKUP($A38,'PP DS Query'!$C$1:$R$1005,5,FALSE),0)</f>
        <v>2041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132534.04999999999</v>
      </c>
      <c r="G38" s="523">
        <f>IFERROR(VLOOKUP($A38,'PP DS Query'!$C$1:$R$1005,7,FALSE),0)</f>
        <v>11.5</v>
      </c>
      <c r="H38" s="358">
        <f>IFERROR(VLOOKUP($A38,'PP DS Query'!$C$1:$R$1005,8,FALSE),0)</f>
        <v>1524141.58</v>
      </c>
      <c r="I38" s="523">
        <f>IFERROR(VLOOKUP($A38,'PP DS Query'!$C$1:$R$1005,9,FALSE),0)</f>
        <v>31.6</v>
      </c>
      <c r="J38" s="358">
        <f>IFERROR(VLOOKUP($A38,'PP DS Query'!$C$1:$R$1005,10,FALSE),0)</f>
        <v>4188075.98</v>
      </c>
      <c r="K38" s="523">
        <f>IFERROR(VLOOKUP($A38,'PP DS Query'!$C$1:$R$1005,11,FALSE),0)</f>
        <v>19.929283999999999</v>
      </c>
      <c r="L38" s="358">
        <f>IFERROR(VLOOKUP($A38,'PP DS Query'!$C$1:$R$1005,12,FALSE),0)</f>
        <v>2641308.7200000002</v>
      </c>
      <c r="M38" s="19">
        <f>IFERROR(VLOOKUP($A38,'PP DS Query'!$C$1:$R$1005,13,FALSE),0)</f>
        <v>0.37303342</v>
      </c>
      <c r="N38" s="358">
        <f>IFERROR(VLOOKUP($A38,'PP DS Query'!$C$1:$R$1005,14,FALSE),0)</f>
        <v>49439.63</v>
      </c>
      <c r="O38" s="56">
        <f>IFERROR(VLOOKUP($A38,'PP DS Query'!$C$1:$R$1005,4,FALSE),0)</f>
        <v>-0.01</v>
      </c>
      <c r="P38" s="358">
        <f>-IFERROR(VLOOKUP($A38,'PP DS Query'!$C$1:$R$1005,15,FALSE),0)</f>
        <v>1325.34</v>
      </c>
      <c r="Q38" s="358">
        <f>IFERROR(VLOOKUP($A38,'PP DS Query'!$C$1:$R$1005,16,FALSE),0)</f>
        <v>53267.92</v>
      </c>
      <c r="R38" s="48"/>
      <c r="S38" s="472">
        <f t="shared" ref="S38:S39" si="8">IFERROR(ROUND(LEFT(A38,7)*100,0),0)</f>
        <v>31653</v>
      </c>
      <c r="T38" s="472" t="s">
        <v>963</v>
      </c>
      <c r="U38" s="474">
        <f>IFERROR(VLOOKUP($S38,#REF!,7,FALSE),0)</f>
        <v>0</v>
      </c>
      <c r="V38" s="473">
        <f t="shared" ref="V38:V39" si="9">U38-F38</f>
        <v>-132534.04999999999</v>
      </c>
    </row>
    <row r="39" spans="1:22" ht="15.95" customHeight="1" thickBot="1" x14ac:dyDescent="0.25">
      <c r="A39" s="49" t="s">
        <v>591</v>
      </c>
      <c r="B39" s="499">
        <f>IFERROR(VLOOKUP($A39,'PP DS Query'!$C$1:$R$1005,5,FALSE),0)</f>
        <v>2041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34027.230000000003</v>
      </c>
      <c r="G39" s="524">
        <f>IFERROR(VLOOKUP($A39,'PP DS Query'!$C$1:$R$1005,7,FALSE),0)</f>
        <v>11.5</v>
      </c>
      <c r="H39" s="250">
        <f>IFERROR(VLOOKUP($A39,'PP DS Query'!$C$1:$R$1005,8,FALSE),0)</f>
        <v>391313.15</v>
      </c>
      <c r="I39" s="524">
        <f>IFERROR(VLOOKUP($A39,'PP DS Query'!$C$1:$R$1005,9,FALSE),0)</f>
        <v>20</v>
      </c>
      <c r="J39" s="250">
        <f>IFERROR(VLOOKUP($A39,'PP DS Query'!$C$1:$R$1005,10,FALSE),0)</f>
        <v>680544.6</v>
      </c>
      <c r="K39" s="524">
        <f>IFERROR(VLOOKUP($A39,'PP DS Query'!$C$1:$R$1005,11,FALSE),0)</f>
        <v>8.9267330000000005</v>
      </c>
      <c r="L39" s="250">
        <f>IFERROR(VLOOKUP($A39,'PP DS Query'!$C$1:$R$1005,12,FALSE),0)</f>
        <v>303752</v>
      </c>
      <c r="M39" s="21">
        <f>IFERROR(VLOOKUP($A39,'PP DS Query'!$C$1:$R$1005,13,FALSE),0)</f>
        <v>0.55920009000000004</v>
      </c>
      <c r="N39" s="250">
        <f>IFERROR(VLOOKUP($A39,'PP DS Query'!$C$1:$R$1005,14,FALSE),0)</f>
        <v>19028.03</v>
      </c>
      <c r="O39" s="57">
        <f>IFERROR(VLOOKUP($A39,'PP DS Query'!$C$1:$R$1005,4,FALSE),0)</f>
        <v>-0.01</v>
      </c>
      <c r="P39" s="250">
        <f>-IFERROR(VLOOKUP($A39,'PP DS Query'!$C$1:$R$1005,15,FALSE),0)</f>
        <v>340.27</v>
      </c>
      <c r="Q39" s="250">
        <f>IFERROR(VLOOKUP($A39,'PP DS Query'!$C$1:$R$1005,16,FALSE),0)</f>
        <v>20501.45</v>
      </c>
      <c r="R39" s="48"/>
      <c r="S39" s="472">
        <f t="shared" si="8"/>
        <v>31653</v>
      </c>
      <c r="T39" s="472" t="s">
        <v>964</v>
      </c>
      <c r="U39" s="475">
        <f>IFERROR(VLOOKUP($S39,#REF!,8,FALSE),0)</f>
        <v>0</v>
      </c>
      <c r="V39" s="476">
        <f t="shared" si="9"/>
        <v>-34027.230000000003</v>
      </c>
    </row>
    <row r="40" spans="1:22" ht="15.95" customHeight="1" x14ac:dyDescent="0.2">
      <c r="A40" s="49" t="s">
        <v>592</v>
      </c>
      <c r="B40" s="499">
        <f>IFERROR(VLOOKUP($A40,'PP DS Query'!$C$1:$R$1005,5,FALSE),0)</f>
        <v>2041</v>
      </c>
      <c r="C40" s="33"/>
      <c r="D40" s="34"/>
      <c r="E40" s="15"/>
      <c r="F40" s="443">
        <f>IFERROR(VLOOKUP($A40,'PP DS Query'!$C$1:$R$1005,6,FALSE),0)</f>
        <v>824683.51</v>
      </c>
      <c r="G40" s="525">
        <f>IFERROR(VLOOKUP($A40,'PP DS Query'!$C$1:$R$1005,7,FALSE),0)</f>
        <v>11.5</v>
      </c>
      <c r="H40" s="443">
        <f>IFERROR(VLOOKUP($A40,'PP DS Query'!$C$1:$R$1005,8,FALSE),0)</f>
        <v>9483860.3699999992</v>
      </c>
      <c r="I40" s="525">
        <f>IFERROR(VLOOKUP($A40,'PP DS Query'!$C$1:$R$1005,9,FALSE),0)</f>
        <v>32.238614990000002</v>
      </c>
      <c r="J40" s="443">
        <f>IFERROR(VLOOKUP($A40,'PP DS Query'!$C$1:$R$1005,10,FALSE),0)</f>
        <v>26586654.170000002</v>
      </c>
      <c r="K40" s="525">
        <f>IFERROR(VLOOKUP($A40,'PP DS Query'!$C$1:$R$1005,11,FALSE),0)</f>
        <v>20.728786809999999</v>
      </c>
      <c r="L40" s="443">
        <f>IFERROR(VLOOKUP($A40,'PP DS Query'!$C$1:$R$1005,12,FALSE),0)</f>
        <v>17094688.66</v>
      </c>
      <c r="M40" s="445">
        <f>IFERROR(VLOOKUP($A40,'PP DS Query'!$C$1:$R$1005,13,FALSE),0)</f>
        <v>0.36390535000000002</v>
      </c>
      <c r="N40" s="443">
        <f>IFERROR(VLOOKUP($A40,'PP DS Query'!$C$1:$R$1005,14,FALSE),0)</f>
        <v>300106.74</v>
      </c>
      <c r="O40" s="446">
        <f>IFERROR(VLOOKUP($A40,'PP DS Query'!$C$1:$R$1005,4,FALSE),0)</f>
        <v>-0.01</v>
      </c>
      <c r="P40" s="443">
        <f>-IFERROR(VLOOKUP($A40,'PP DS Query'!$C$1:$R$1005,15,FALSE),0)</f>
        <v>8246.84</v>
      </c>
      <c r="Q40" s="443">
        <f>IFERROR(VLOOKUP($A40,'PP DS Query'!$C$1:$R$1005,16,FALSE),0)</f>
        <v>323345.12</v>
      </c>
      <c r="R40" s="48"/>
      <c r="U40" s="473">
        <f>SUM(U37:U39)</f>
        <v>0</v>
      </c>
      <c r="V40" s="473">
        <f>SUM(V37:V39)</f>
        <v>-824683.51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3 SCR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36046187.089999996</v>
      </c>
      <c r="G44" s="523">
        <f>IF($F44=0,0,H44/$F44)</f>
        <v>11.500000000416133</v>
      </c>
      <c r="H44" s="358">
        <f>H13+H19+H25+H31+H37</f>
        <v>414531151.54999995</v>
      </c>
      <c r="I44" s="523">
        <f>IF($F44=0,0,J44/$F44)</f>
        <v>33.000000000000007</v>
      </c>
      <c r="J44" s="358">
        <f>J13+J19+J25+J31+J37</f>
        <v>1189524173.97</v>
      </c>
      <c r="K44" s="523">
        <f>IF($F44=0,0,L44/$F44)</f>
        <v>21.500000000416136</v>
      </c>
      <c r="L44" s="358">
        <f>L13+L19+L25+L31+L37</f>
        <v>774993022.45000005</v>
      </c>
      <c r="M44" s="19">
        <f>IF($F44=0,0,N44/$F44)</f>
        <v>0.35463716281787744</v>
      </c>
      <c r="N44" s="358">
        <f>N13+N19+N25+N31+N37</f>
        <v>12783317.52</v>
      </c>
      <c r="O44" s="56">
        <f>-IF($F44=0,0,P44/$F44)</f>
        <v>-1.7654467542186861E-2</v>
      </c>
      <c r="P44" s="358">
        <f t="shared" ref="P44:Q46" si="10">P13+P19+P25+P31+P37</f>
        <v>636376.24</v>
      </c>
      <c r="Q44" s="358">
        <f t="shared" si="10"/>
        <v>12978798.380000001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28982833.68</v>
      </c>
      <c r="G45" s="523">
        <f>IF($F45=0,0,H45/$F45)</f>
        <v>11.489604409516108</v>
      </c>
      <c r="H45" s="358">
        <f>H14+H20+H26+H32+H38</f>
        <v>333001293.64999998</v>
      </c>
      <c r="I45" s="523">
        <f>IF($F45=0,0,J45/$F45)</f>
        <v>31.590004556448879</v>
      </c>
      <c r="J45" s="358">
        <f>J14+J20+J26+J32+J38</f>
        <v>915567848.00999999</v>
      </c>
      <c r="K45" s="523">
        <f>IF($F45=0,0,L45/$F45)</f>
        <v>19.931680157231611</v>
      </c>
      <c r="L45" s="358">
        <f>L14+L20+L26+L32+L38</f>
        <v>577676570.96000004</v>
      </c>
      <c r="M45" s="19">
        <f>IF($F45=0,0,N45/$F45)</f>
        <v>0.38006771910647769</v>
      </c>
      <c r="N45" s="358">
        <f>N14+N20+N26+N32+N38</f>
        <v>11015439.49</v>
      </c>
      <c r="O45" s="56">
        <f>-IF($F45=0,0,P45/$F45)</f>
        <v>-2.9871654012817699E-2</v>
      </c>
      <c r="P45" s="358">
        <f t="shared" si="10"/>
        <v>865765.17999999993</v>
      </c>
      <c r="Q45" s="358">
        <f t="shared" si="10"/>
        <v>11223073.049999999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15286665.82</v>
      </c>
      <c r="G46" s="524">
        <f>IF($F46=0,0,H46/$F46)</f>
        <v>10.348397104555792</v>
      </c>
      <c r="H46" s="250">
        <f>H15+H21+H27+H33+H39</f>
        <v>158192488.31</v>
      </c>
      <c r="I46" s="524">
        <f>IF($F46=0,0,J46/$F46)</f>
        <v>19.982062175412949</v>
      </c>
      <c r="J46" s="250">
        <f>J15+J21+J27+J33+J39</f>
        <v>305459106.87</v>
      </c>
      <c r="K46" s="524">
        <f>IF($F46=0,0,L46/$F46)</f>
        <v>9.9539572521380588</v>
      </c>
      <c r="L46" s="250">
        <f>L15+L21+L27+L33+L39</f>
        <v>152162818.09999999</v>
      </c>
      <c r="M46" s="21">
        <f>IF($F46=0,0,N46/$F46)</f>
        <v>0.51682018845885913</v>
      </c>
      <c r="N46" s="250">
        <f>N15+N21+N27+N33+N39</f>
        <v>7900457.5100000007</v>
      </c>
      <c r="O46" s="57">
        <f>-IF($F46=0,0,P46/$F46)</f>
        <v>-2.9898415088137252E-2</v>
      </c>
      <c r="P46" s="250">
        <f t="shared" si="10"/>
        <v>457047.08</v>
      </c>
      <c r="Q46" s="250">
        <f t="shared" si="10"/>
        <v>8017810.7300000004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80315686.590000004</v>
      </c>
      <c r="G47" s="525">
        <f>IF($F47=0,0,H47/$F47)</f>
        <v>11.27706145542396</v>
      </c>
      <c r="H47" s="443">
        <f>SUM(H44:H46)</f>
        <v>905724933.50999999</v>
      </c>
      <c r="I47" s="525">
        <f>IF($F47=0,0,J47/$F47)</f>
        <v>30.013453550556267</v>
      </c>
      <c r="J47" s="443">
        <f>SUM(J44:J46)</f>
        <v>2410551128.8499999</v>
      </c>
      <c r="K47" s="525">
        <f>IF($F47=0,0,L47/$F47)</f>
        <v>18.736469491843511</v>
      </c>
      <c r="L47" s="443">
        <f>SUM(L44:L46)</f>
        <v>1504832411.51</v>
      </c>
      <c r="M47" s="445">
        <f>IF($F47=0,0,N47/$F47)</f>
        <v>0.39468273093175332</v>
      </c>
      <c r="N47" s="443">
        <f>SUM(N44:N46)</f>
        <v>31699214.52</v>
      </c>
      <c r="O47" s="446">
        <f>-IF($F47=0,0,P47/$F47)</f>
        <v>-2.43935971063956E-2</v>
      </c>
      <c r="P47" s="443">
        <f>SUM(P44:P46)</f>
        <v>1959188.5</v>
      </c>
      <c r="Q47" s="443">
        <f>SUM(Q44:Q46)</f>
        <v>32219682.16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31153</v>
      </c>
      <c r="F50" s="352">
        <f>IFERROR(VLOOKUP(E50,'2019 B-7'!C:P,14,FALSE),0)</f>
        <v>21689421.57</v>
      </c>
      <c r="G50" s="353">
        <f>F50-F16</f>
        <v>0</v>
      </c>
      <c r="P50" s="260">
        <f>E50</f>
        <v>31153</v>
      </c>
      <c r="Q50" s="352">
        <f>IFERROR(VLOOKUP(P50,'2019 B-9'!C:R,16,FALSE),0)</f>
        <v>7727824.9199999822</v>
      </c>
      <c r="R50" s="353">
        <f>Q50-Q16</f>
        <v>-1.7695128917694092E-8</v>
      </c>
    </row>
    <row r="51" spans="5:18" x14ac:dyDescent="0.2">
      <c r="E51" s="260">
        <v>31253</v>
      </c>
      <c r="F51" s="352">
        <f>IFERROR(VLOOKUP(E51,'2019 B-7'!C:P,14,FALSE),0)</f>
        <v>44040159.469999999</v>
      </c>
      <c r="G51" s="353">
        <f>F51-F22</f>
        <v>0</v>
      </c>
      <c r="P51" s="260">
        <f t="shared" ref="P51:P54" si="11">E51</f>
        <v>31253</v>
      </c>
      <c r="Q51" s="352">
        <f>IFERROR(VLOOKUP(P51,'2019 B-9'!C:R,16,FALSE),0)</f>
        <v>17922907.829999983</v>
      </c>
      <c r="R51" s="353">
        <f>Q51-Q22</f>
        <v>0</v>
      </c>
    </row>
    <row r="52" spans="5:18" x14ac:dyDescent="0.2">
      <c r="E52" s="260">
        <v>31453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31453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31553</v>
      </c>
      <c r="F53" s="352">
        <f>IFERROR(VLOOKUP(E53,'2019 B-7'!C:P,14,FALSE),0)</f>
        <v>13761422.039999999</v>
      </c>
      <c r="G53" s="353">
        <f>F53-F34</f>
        <v>0</v>
      </c>
      <c r="P53" s="260">
        <f t="shared" si="11"/>
        <v>31553</v>
      </c>
      <c r="Q53" s="352">
        <f>IFERROR(VLOOKUP(P53,'2019 B-9'!C:R,16,FALSE),0)</f>
        <v>6245604.2900000019</v>
      </c>
      <c r="R53" s="353">
        <f>Q53-Q34</f>
        <v>0</v>
      </c>
    </row>
    <row r="54" spans="5:18" x14ac:dyDescent="0.2">
      <c r="E54" s="260">
        <v>31653</v>
      </c>
      <c r="F54" s="352">
        <f>IFERROR(VLOOKUP(E54,'2019 B-7'!C:P,14,FALSE),0)</f>
        <v>824683.51</v>
      </c>
      <c r="G54" s="353">
        <f>F54-F40</f>
        <v>0</v>
      </c>
      <c r="P54" s="260">
        <f t="shared" si="11"/>
        <v>31653</v>
      </c>
      <c r="Q54" s="352">
        <f>IFERROR(VLOOKUP(P54,'2019 B-9'!C:R,16,FALSE),0)</f>
        <v>323345.11999999906</v>
      </c>
      <c r="R54" s="353">
        <f>Q54-Q40</f>
        <v>-9.3132257461547852E-10</v>
      </c>
    </row>
    <row r="55" spans="5:18" ht="13.5" thickBot="1" x14ac:dyDescent="0.25">
      <c r="E55" s="349" t="s">
        <v>40</v>
      </c>
      <c r="F55" s="354">
        <f>SUM(F50:F54)</f>
        <v>80315686.590000004</v>
      </c>
      <c r="G55" s="354">
        <f>SUM(G50:G54)</f>
        <v>0</v>
      </c>
      <c r="P55" s="349" t="s">
        <v>40</v>
      </c>
      <c r="Q55" s="354">
        <f>SUM(Q50:Q54)</f>
        <v>32219682.159999967</v>
      </c>
      <c r="R55" s="354">
        <f>SUM(R50:R54)</f>
        <v>-1.862645149230957E-8</v>
      </c>
    </row>
    <row r="56" spans="5:18" ht="13.5" thickTop="1" x14ac:dyDescent="0.2">
      <c r="E56" s="50"/>
      <c r="F56" s="353">
        <f>F55-F47</f>
        <v>0</v>
      </c>
      <c r="G56" s="353">
        <f>G55-F56</f>
        <v>0</v>
      </c>
      <c r="P56" s="50"/>
      <c r="Q56" s="353">
        <f>Q55-Q47</f>
        <v>-3.3527612686157227E-8</v>
      </c>
      <c r="R56" s="353">
        <f>R55-Q56</f>
        <v>1.4901161193847656E-8</v>
      </c>
    </row>
    <row r="57" spans="5:18" x14ac:dyDescent="0.2">
      <c r="E57" s="50"/>
      <c r="G57" s="18"/>
    </row>
    <row r="58" spans="5:18" x14ac:dyDescent="0.2">
      <c r="E58" s="50"/>
      <c r="G58" s="29"/>
    </row>
    <row r="59" spans="5:18" x14ac:dyDescent="0.2">
      <c r="E59" s="50"/>
    </row>
    <row r="60" spans="5:18" x14ac:dyDescent="0.2">
      <c r="E60" s="50"/>
    </row>
    <row r="61" spans="5:18" x14ac:dyDescent="0.2">
      <c r="E61" s="50"/>
      <c r="L61" s="348" t="s">
        <v>848</v>
      </c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4.28515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99</v>
      </c>
      <c r="D6" s="71"/>
      <c r="E6" s="29"/>
      <c r="G6" s="72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1222</v>
      </c>
      <c r="E12" s="50"/>
      <c r="P12" s="18"/>
      <c r="Q12" s="18"/>
      <c r="R12" s="48"/>
    </row>
    <row r="13" spans="1:22" ht="15.95" customHeight="1" x14ac:dyDescent="0.2">
      <c r="A13" s="49" t="s">
        <v>445</v>
      </c>
      <c r="B13" s="499">
        <f>IFERROR(VLOOKUP($A13,'PP DS Query'!$C$1:$R$1005,5,FALSE),0)</f>
        <v>2045</v>
      </c>
      <c r="C13" s="33">
        <f>IFERROR(VLOOKUP($A13,'PP DS Query'!$C$1:$R$1005,3,FALSE),0)</f>
        <v>60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16781793.32</v>
      </c>
      <c r="G13" s="523">
        <f>IFERROR(VLOOKUP($A13,'PP DS Query'!$C$1:$R$1005,7,FALSE),0)</f>
        <v>12.5</v>
      </c>
      <c r="H13" s="358">
        <f>IFERROR(VLOOKUP($A13,'PP DS Query'!$C$1:$R$1005,8,FALSE),0)</f>
        <v>209772416.5</v>
      </c>
      <c r="I13" s="523">
        <f>IFERROR(VLOOKUP($A13,'PP DS Query'!$C$1:$R$1005,9,FALSE),0)</f>
        <v>38</v>
      </c>
      <c r="J13" s="358">
        <f>IFERROR(VLOOKUP($A13,'PP DS Query'!$C$1:$R$1005,10,FALSE),0)</f>
        <v>637708146.15999997</v>
      </c>
      <c r="K13" s="523">
        <f>IFERROR(VLOOKUP($A13,'PP DS Query'!$C$1:$R$1005,11,FALSE),0)</f>
        <v>25.5</v>
      </c>
      <c r="L13" s="358">
        <f>IFERROR(VLOOKUP($A13,'PP DS Query'!$C$1:$R$1005,12,FALSE),0)</f>
        <v>427935729.66000003</v>
      </c>
      <c r="M13" s="19">
        <f>IFERROR(VLOOKUP($A13,'PP DS Query'!$C$1:$R$1005,13,FALSE),0)</f>
        <v>0.33223683999999998</v>
      </c>
      <c r="N13" s="358">
        <f>IFERROR(VLOOKUP($A13,'PP DS Query'!$C$1:$R$1005,14,FALSE),0)</f>
        <v>5575530.0199999996</v>
      </c>
      <c r="O13" s="56">
        <f>IFERROR(VLOOKUP($A13,'PP DS Query'!$C$1:$R$1005,4,FALSE),0)</f>
        <v>-0.01</v>
      </c>
      <c r="P13" s="358">
        <f>-IFERROR(VLOOKUP($A13,'PP DS Query'!$C$1:$R$1005,15,FALSE),0)</f>
        <v>167817.93</v>
      </c>
      <c r="Q13" s="358">
        <f>IFERROR(VLOOKUP($A13,'PP DS Query'!$C$1:$R$1005,16,FALSE),0)</f>
        <v>5032449.9000000004</v>
      </c>
      <c r="R13" s="48"/>
      <c r="S13" s="472">
        <f>IFERROR(ROUND(LEFT(A13,7)*100,0),0)</f>
        <v>31154</v>
      </c>
      <c r="T13" s="472" t="s">
        <v>962</v>
      </c>
      <c r="U13" s="474">
        <f>IFERROR(VLOOKUP($S13,#REF!,6,FALSE),0)</f>
        <v>0</v>
      </c>
      <c r="V13" s="473">
        <f>U13-F13</f>
        <v>-16781793.32</v>
      </c>
    </row>
    <row r="14" spans="1:22" ht="15.95" customHeight="1" x14ac:dyDescent="0.2">
      <c r="A14" s="49" t="s">
        <v>446</v>
      </c>
      <c r="B14" s="499">
        <f>IFERROR(VLOOKUP($A14,'PP DS Query'!$C$1:$R$1005,5,FALSE),0)</f>
        <v>2045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41552.78</v>
      </c>
      <c r="G14" s="523">
        <f>IFERROR(VLOOKUP($A14,'PP DS Query'!$C$1:$R$1005,7,FALSE),0)</f>
        <v>12.5</v>
      </c>
      <c r="H14" s="358">
        <f>IFERROR(VLOOKUP($A14,'PP DS Query'!$C$1:$R$1005,8,FALSE),0)</f>
        <v>519409.75</v>
      </c>
      <c r="I14" s="523">
        <f>IFERROR(VLOOKUP($A14,'PP DS Query'!$C$1:$R$1005,9,FALSE),0)</f>
        <v>34.1</v>
      </c>
      <c r="J14" s="358">
        <f>IFERROR(VLOOKUP($A14,'PP DS Query'!$C$1:$R$1005,10,FALSE),0)</f>
        <v>1416949.8</v>
      </c>
      <c r="K14" s="523">
        <f>IFERROR(VLOOKUP($A14,'PP DS Query'!$C$1:$R$1005,11,FALSE),0)</f>
        <v>21.273990000000001</v>
      </c>
      <c r="L14" s="358">
        <f>IFERROR(VLOOKUP($A14,'PP DS Query'!$C$1:$R$1005,12,FALSE),0)</f>
        <v>883993.43</v>
      </c>
      <c r="M14" s="19">
        <f>IFERROR(VLOOKUP($A14,'PP DS Query'!$C$1:$R$1005,13,FALSE),0)</f>
        <v>0.37990309999999999</v>
      </c>
      <c r="N14" s="358">
        <f>IFERROR(VLOOKUP($A14,'PP DS Query'!$C$1:$R$1005,14,FALSE),0)</f>
        <v>15786.03</v>
      </c>
      <c r="O14" s="56">
        <f>IFERROR(VLOOKUP($A14,'PP DS Query'!$C$1:$R$1005,4,FALSE),0)</f>
        <v>-0.01</v>
      </c>
      <c r="P14" s="358">
        <f>-IFERROR(VLOOKUP($A14,'PP DS Query'!$C$1:$R$1005,15,FALSE),0)</f>
        <v>415.53</v>
      </c>
      <c r="Q14" s="358">
        <f>IFERROR(VLOOKUP($A14,'PP DS Query'!$C$1:$R$1005,16,FALSE),0)</f>
        <v>14248.4</v>
      </c>
      <c r="R14" s="48"/>
      <c r="S14" s="472">
        <f t="shared" ref="S14:S15" si="0">IFERROR(ROUND(LEFT(A14,7)*100,0),0)</f>
        <v>31154</v>
      </c>
      <c r="T14" s="472" t="s">
        <v>963</v>
      </c>
      <c r="U14" s="474">
        <f>IFERROR(VLOOKUP($S14,#REF!,7,FALSE),0)</f>
        <v>0</v>
      </c>
      <c r="V14" s="473">
        <f t="shared" ref="V14:V15" si="1">U14-F14</f>
        <v>-41552.78</v>
      </c>
    </row>
    <row r="15" spans="1:22" ht="15.95" customHeight="1" thickBot="1" x14ac:dyDescent="0.25">
      <c r="A15" s="49" t="s">
        <v>447</v>
      </c>
      <c r="B15" s="499">
        <f>IFERROR(VLOOKUP($A15,'PP DS Query'!$C$1:$R$1005,5,FALSE),0)</f>
        <v>2045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33903.79</v>
      </c>
      <c r="G15" s="524">
        <f>IFERROR(VLOOKUP($A15,'PP DS Query'!$C$1:$R$1005,7,FALSE),0)</f>
        <v>12.5</v>
      </c>
      <c r="H15" s="250">
        <f>IFERROR(VLOOKUP($A15,'PP DS Query'!$C$1:$R$1005,8,FALSE),0)</f>
        <v>423797.38</v>
      </c>
      <c r="I15" s="524">
        <f>IFERROR(VLOOKUP($A15,'PP DS Query'!$C$1:$R$1005,9,FALSE),0)</f>
        <v>20</v>
      </c>
      <c r="J15" s="250">
        <f>IFERROR(VLOOKUP($A15,'PP DS Query'!$C$1:$R$1005,10,FALSE),0)</f>
        <v>678075.8</v>
      </c>
      <c r="K15" s="524">
        <f>IFERROR(VLOOKUP($A15,'PP DS Query'!$C$1:$R$1005,11,FALSE),0)</f>
        <v>8.1383229999999998</v>
      </c>
      <c r="L15" s="250">
        <f>IFERROR(VLOOKUP($A15,'PP DS Query'!$C$1:$R$1005,12,FALSE),0)</f>
        <v>275919.99</v>
      </c>
      <c r="M15" s="21">
        <f>IFERROR(VLOOKUP($A15,'PP DS Query'!$C$1:$R$1005,13,FALSE),0)</f>
        <v>0.59901473999999999</v>
      </c>
      <c r="N15" s="250">
        <f>IFERROR(VLOOKUP($A15,'PP DS Query'!$C$1:$R$1005,14,FALSE),0)</f>
        <v>20308.87</v>
      </c>
      <c r="O15" s="57">
        <f>IFERROR(VLOOKUP($A15,'PP DS Query'!$C$1:$R$1005,4,FALSE),0)</f>
        <v>-0.01</v>
      </c>
      <c r="P15" s="250">
        <f>-IFERROR(VLOOKUP($A15,'PP DS Query'!$C$1:$R$1005,15,FALSE),0)</f>
        <v>339.04</v>
      </c>
      <c r="Q15" s="250">
        <f>IFERROR(VLOOKUP($A15,'PP DS Query'!$C$1:$R$1005,16,FALSE),0)</f>
        <v>18330.7</v>
      </c>
      <c r="R15" s="48"/>
      <c r="S15" s="472">
        <f t="shared" si="0"/>
        <v>31154</v>
      </c>
      <c r="T15" s="472" t="s">
        <v>964</v>
      </c>
      <c r="U15" s="475">
        <f>IFERROR(VLOOKUP($S15,#REF!,8,FALSE),0)</f>
        <v>0</v>
      </c>
      <c r="V15" s="476">
        <f t="shared" si="1"/>
        <v>-33903.79</v>
      </c>
    </row>
    <row r="16" spans="1:22" ht="15.95" customHeight="1" x14ac:dyDescent="0.2">
      <c r="A16" s="49" t="s">
        <v>448</v>
      </c>
      <c r="B16" s="499">
        <f>IFERROR(VLOOKUP($A16,'PP DS Query'!$C$1:$R$1005,5,FALSE),0)</f>
        <v>2045</v>
      </c>
      <c r="C16" s="33"/>
      <c r="D16" s="34"/>
      <c r="E16" s="15"/>
      <c r="F16" s="443">
        <f>IFERROR(VLOOKUP($A16,'PP DS Query'!$C$1:$R$1005,6,FALSE),0)</f>
        <v>16857249.890000001</v>
      </c>
      <c r="G16" s="525">
        <f>IFERROR(VLOOKUP($A16,'PP DS Query'!$C$1:$R$1005,7,FALSE),0)</f>
        <v>12.5</v>
      </c>
      <c r="H16" s="443">
        <f>IFERROR(VLOOKUP($A16,'PP DS Query'!$C$1:$R$1005,8,FALSE),0)</f>
        <v>210715623.63</v>
      </c>
      <c r="I16" s="525">
        <f>IFERROR(VLOOKUP($A16,'PP DS Query'!$C$1:$R$1005,9,FALSE),0)</f>
        <v>37.95418446</v>
      </c>
      <c r="J16" s="443">
        <f>IFERROR(VLOOKUP($A16,'PP DS Query'!$C$1:$R$1005,10,FALSE),0)</f>
        <v>639803171.75999999</v>
      </c>
      <c r="K16" s="525">
        <f>IFERROR(VLOOKUP($A16,'PP DS Query'!$C$1:$R$1005,11,FALSE),0)</f>
        <v>25.454664659999999</v>
      </c>
      <c r="L16" s="443">
        <f>IFERROR(VLOOKUP($A16,'PP DS Query'!$C$1:$R$1005,12,FALSE),0)</f>
        <v>429095643.07999998</v>
      </c>
      <c r="M16" s="445">
        <f>IFERROR(VLOOKUP($A16,'PP DS Query'!$C$1:$R$1005,13,FALSE),0)</f>
        <v>0.33289088999999999</v>
      </c>
      <c r="N16" s="443">
        <f>IFERROR(VLOOKUP($A16,'PP DS Query'!$C$1:$R$1005,14,FALSE),0)</f>
        <v>5611624.9199999999</v>
      </c>
      <c r="O16" s="446">
        <f>IFERROR(VLOOKUP($A16,'PP DS Query'!$C$1:$R$1005,4,FALSE),0)</f>
        <v>-0.01</v>
      </c>
      <c r="P16" s="443">
        <f>-IFERROR(VLOOKUP($A16,'PP DS Query'!$C$1:$R$1005,15,FALSE),0)</f>
        <v>168572.5</v>
      </c>
      <c r="Q16" s="443">
        <f>IFERROR(VLOOKUP($A16,'PP DS Query'!$C$1:$R$1005,16,FALSE),0)</f>
        <v>5065029</v>
      </c>
      <c r="R16" s="48"/>
      <c r="U16" s="473">
        <f>SUM(U13:U15)</f>
        <v>0</v>
      </c>
      <c r="V16" s="473">
        <f>SUM(V13:V15)</f>
        <v>-16857249.890000001</v>
      </c>
    </row>
    <row r="17" spans="1:22" ht="15.95" customHeight="1" x14ac:dyDescent="0.2">
      <c r="A17" s="49"/>
      <c r="B17" s="49"/>
      <c r="C17" s="15"/>
      <c r="E17" s="360"/>
      <c r="G17" s="35"/>
      <c r="I17" s="35"/>
      <c r="K17" s="35"/>
      <c r="O17" s="59"/>
      <c r="P17" s="18"/>
      <c r="Q17" s="18"/>
      <c r="R17" s="48"/>
    </row>
    <row r="18" spans="1:22" ht="15.95" customHeight="1" x14ac:dyDescent="0.2">
      <c r="A18" s="49"/>
      <c r="B18" s="49"/>
      <c r="C18" s="24" t="s">
        <v>1223</v>
      </c>
      <c r="E18" s="360"/>
      <c r="G18" s="35"/>
      <c r="I18" s="35"/>
      <c r="K18" s="35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489</v>
      </c>
      <c r="B19" s="499">
        <f>IFERROR(VLOOKUP($A19,'PP DS Query'!$C$1:$R$1005,5,FALSE),0)</f>
        <v>2045</v>
      </c>
      <c r="C19" s="33">
        <f>IFERROR(VLOOKUP($A19,'PP DS Query'!$C$1:$R$1005,3,FALSE),0)</f>
        <v>60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8137425.3700000001</v>
      </c>
      <c r="G19" s="523">
        <f>IFERROR(VLOOKUP($A19,'PP DS Query'!$C$1:$R$1005,7,FALSE),0)</f>
        <v>12.14324588</v>
      </c>
      <c r="H19" s="358">
        <f>IFERROR(VLOOKUP($A19,'PP DS Query'!$C$1:$R$1005,8,FALSE),0)</f>
        <v>98814757.109999999</v>
      </c>
      <c r="I19" s="523">
        <f>IFERROR(VLOOKUP($A19,'PP DS Query'!$C$1:$R$1005,9,FALSE),0)</f>
        <v>37.51</v>
      </c>
      <c r="J19" s="358">
        <f>IFERROR(VLOOKUP($A19,'PP DS Query'!$C$1:$R$1005,10,FALSE),0)</f>
        <v>305234825.63</v>
      </c>
      <c r="K19" s="523">
        <f>IFERROR(VLOOKUP($A19,'PP DS Query'!$C$1:$R$1005,11,FALSE),0)</f>
        <v>25.5</v>
      </c>
      <c r="L19" s="358">
        <f>IFERROR(VLOOKUP($A19,'PP DS Query'!$C$1:$R$1005,12,FALSE),0)</f>
        <v>207504346.94</v>
      </c>
      <c r="M19" s="19">
        <f>IFERROR(VLOOKUP($A19,'PP DS Query'!$C$1:$R$1005,13,FALSE),0)</f>
        <v>0.32970894000000001</v>
      </c>
      <c r="N19" s="358">
        <f>IFERROR(VLOOKUP($A19,'PP DS Query'!$C$1:$R$1005,14,FALSE),0)</f>
        <v>2682981.9</v>
      </c>
      <c r="O19" s="56">
        <f>IFERROR(VLOOKUP($A19,'PP DS Query'!$C$1:$R$1005,4,FALSE),0)</f>
        <v>-0.03</v>
      </c>
      <c r="P19" s="358">
        <f>-IFERROR(VLOOKUP($A19,'PP DS Query'!$C$1:$R$1005,15,FALSE),0)</f>
        <v>244122.76</v>
      </c>
      <c r="Q19" s="358">
        <f>IFERROR(VLOOKUP($A19,'PP DS Query'!$C$1:$R$1005,16,FALSE),0)</f>
        <v>1996545.29</v>
      </c>
      <c r="R19" s="48"/>
      <c r="S19" s="472">
        <f>IFERROR(ROUND(LEFT(A19,7)*100,0),0)</f>
        <v>31254</v>
      </c>
      <c r="T19" s="472" t="s">
        <v>962</v>
      </c>
      <c r="U19" s="474">
        <f>IFERROR(VLOOKUP($S19,#REF!,6,FALSE),0)</f>
        <v>0</v>
      </c>
      <c r="V19" s="473">
        <f>U19-F19</f>
        <v>-8137425.3700000001</v>
      </c>
    </row>
    <row r="20" spans="1:22" ht="15.95" customHeight="1" x14ac:dyDescent="0.2">
      <c r="A20" s="49" t="s">
        <v>490</v>
      </c>
      <c r="B20" s="499">
        <f>IFERROR(VLOOKUP($A20,'PP DS Query'!$C$1:$R$1005,5,FALSE),0)</f>
        <v>2045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16919317.530000001</v>
      </c>
      <c r="G20" s="523">
        <f>IFERROR(VLOOKUP($A20,'PP DS Query'!$C$1:$R$1005,7,FALSE),0)</f>
        <v>12.113546149999999</v>
      </c>
      <c r="H20" s="358">
        <f>IFERROR(VLOOKUP($A20,'PP DS Query'!$C$1:$R$1005,8,FALSE),0)</f>
        <v>204952933.71000001</v>
      </c>
      <c r="I20" s="523">
        <f>IFERROR(VLOOKUP($A20,'PP DS Query'!$C$1:$R$1005,9,FALSE),0)</f>
        <v>33.81</v>
      </c>
      <c r="J20" s="358">
        <f>IFERROR(VLOOKUP($A20,'PP DS Query'!$C$1:$R$1005,10,FALSE),0)</f>
        <v>572042125.69000006</v>
      </c>
      <c r="K20" s="523">
        <f>IFERROR(VLOOKUP($A20,'PP DS Query'!$C$1:$R$1005,11,FALSE),0)</f>
        <v>21.460412000000002</v>
      </c>
      <c r="L20" s="358">
        <f>IFERROR(VLOOKUP($A20,'PP DS Query'!$C$1:$R$1005,12,FALSE),0)</f>
        <v>363095524.94999999</v>
      </c>
      <c r="M20" s="19">
        <f>IFERROR(VLOOKUP($A20,'PP DS Query'!$C$1:$R$1005,13,FALSE),0)</f>
        <v>0.37618541999999999</v>
      </c>
      <c r="N20" s="358">
        <f>IFERROR(VLOOKUP($A20,'PP DS Query'!$C$1:$R$1005,14,FALSE),0)</f>
        <v>6364800.5800000001</v>
      </c>
      <c r="O20" s="56">
        <f>IFERROR(VLOOKUP($A20,'PP DS Query'!$C$1:$R$1005,4,FALSE),0)</f>
        <v>-0.03</v>
      </c>
      <c r="P20" s="358">
        <f>-IFERROR(VLOOKUP($A20,'PP DS Query'!$C$1:$R$1005,15,FALSE),0)</f>
        <v>507579.53</v>
      </c>
      <c r="Q20" s="358">
        <f>IFERROR(VLOOKUP($A20,'PP DS Query'!$C$1:$R$1005,16,FALSE),0)</f>
        <v>4736376.57</v>
      </c>
      <c r="R20" s="48"/>
      <c r="S20" s="472">
        <f t="shared" ref="S20:S21" si="2">IFERROR(ROUND(LEFT(A20,7)*100,0),0)</f>
        <v>31254</v>
      </c>
      <c r="T20" s="472" t="s">
        <v>963</v>
      </c>
      <c r="U20" s="474">
        <f>IFERROR(VLOOKUP($S20,#REF!,7,FALSE),0)</f>
        <v>0</v>
      </c>
      <c r="V20" s="473">
        <f t="shared" ref="V20:V21" si="3">U20-F20</f>
        <v>-16919317.530000001</v>
      </c>
    </row>
    <row r="21" spans="1:22" ht="15.95" customHeight="1" thickBot="1" x14ac:dyDescent="0.25">
      <c r="A21" s="49" t="s">
        <v>491</v>
      </c>
      <c r="B21" s="499">
        <f>IFERROR(VLOOKUP($A21,'PP DS Query'!$C$1:$R$1005,5,FALSE),0)</f>
        <v>2045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5316448.2699999996</v>
      </c>
      <c r="G21" s="524">
        <f>IFERROR(VLOOKUP($A21,'PP DS Query'!$C$1:$R$1005,7,FALSE),0)</f>
        <v>6.95506549</v>
      </c>
      <c r="H21" s="250">
        <f>IFERROR(VLOOKUP($A21,'PP DS Query'!$C$1:$R$1005,8,FALSE),0)</f>
        <v>36976245.880000003</v>
      </c>
      <c r="I21" s="524">
        <f>IFERROR(VLOOKUP($A21,'PP DS Query'!$C$1:$R$1005,9,FALSE),0)</f>
        <v>20</v>
      </c>
      <c r="J21" s="250">
        <f>IFERROR(VLOOKUP($A21,'PP DS Query'!$C$1:$R$1005,10,FALSE),0)</f>
        <v>106328965.40000001</v>
      </c>
      <c r="K21" s="524">
        <f>IFERROR(VLOOKUP($A21,'PP DS Query'!$C$1:$R$1005,11,FALSE),0)</f>
        <v>13.274353</v>
      </c>
      <c r="L21" s="250">
        <f>IFERROR(VLOOKUP($A21,'PP DS Query'!$C$1:$R$1005,12,FALSE),0)</f>
        <v>70572411.040000007</v>
      </c>
      <c r="M21" s="21">
        <f>IFERROR(VLOOKUP($A21,'PP DS Query'!$C$1:$R$1005,13,FALSE),0)</f>
        <v>0.34637080999999997</v>
      </c>
      <c r="N21" s="250">
        <f>IFERROR(VLOOKUP($A21,'PP DS Query'!$C$1:$R$1005,14,FALSE),0)</f>
        <v>1841462.48</v>
      </c>
      <c r="O21" s="57">
        <f>IFERROR(VLOOKUP($A21,'PP DS Query'!$C$1:$R$1005,4,FALSE),0)</f>
        <v>-0.03</v>
      </c>
      <c r="P21" s="250">
        <f>-IFERROR(VLOOKUP($A21,'PP DS Query'!$C$1:$R$1005,15,FALSE),0)</f>
        <v>159493.45000000001</v>
      </c>
      <c r="Q21" s="250">
        <f>IFERROR(VLOOKUP($A21,'PP DS Query'!$C$1:$R$1005,16,FALSE),0)</f>
        <v>1370327.26</v>
      </c>
      <c r="R21" s="48"/>
      <c r="S21" s="472">
        <f t="shared" si="2"/>
        <v>31254</v>
      </c>
      <c r="T21" s="472" t="s">
        <v>964</v>
      </c>
      <c r="U21" s="475">
        <f>IFERROR(VLOOKUP($S21,#REF!,8,FALSE),0)</f>
        <v>0</v>
      </c>
      <c r="V21" s="476">
        <f t="shared" si="3"/>
        <v>-5316448.2699999996</v>
      </c>
    </row>
    <row r="22" spans="1:22" ht="15.95" customHeight="1" x14ac:dyDescent="0.2">
      <c r="A22" s="49" t="s">
        <v>492</v>
      </c>
      <c r="B22" s="499">
        <f>IFERROR(VLOOKUP($A22,'PP DS Query'!$C$1:$R$1005,5,FALSE),0)</f>
        <v>2045</v>
      </c>
      <c r="C22" s="33"/>
      <c r="D22" s="34"/>
      <c r="E22" s="15"/>
      <c r="F22" s="443">
        <f>IFERROR(VLOOKUP($A22,'PP DS Query'!$C$1:$R$1005,6,FALSE),0)</f>
        <v>30373191.170000002</v>
      </c>
      <c r="G22" s="525">
        <f>IFERROR(VLOOKUP($A22,'PP DS Query'!$C$1:$R$1005,7,FALSE),0)</f>
        <v>11.218575449999999</v>
      </c>
      <c r="H22" s="443">
        <f>IFERROR(VLOOKUP($A22,'PP DS Query'!$C$1:$R$1005,8,FALSE),0)</f>
        <v>340743936.69999999</v>
      </c>
      <c r="I22" s="525">
        <f>IFERROR(VLOOKUP($A22,'PP DS Query'!$C$1:$R$1005,9,FALSE),0)</f>
        <v>32.384016260000003</v>
      </c>
      <c r="J22" s="443">
        <f>IFERROR(VLOOKUP($A22,'PP DS Query'!$C$1:$R$1005,10,FALSE),0)</f>
        <v>983605916.72000003</v>
      </c>
      <c r="K22" s="525">
        <f>IFERROR(VLOOKUP($A22,'PP DS Query'!$C$1:$R$1005,11,FALSE),0)</f>
        <v>21.109809609999999</v>
      </c>
      <c r="L22" s="443">
        <f>IFERROR(VLOOKUP($A22,'PP DS Query'!$C$1:$R$1005,12,FALSE),0)</f>
        <v>641172282.92999995</v>
      </c>
      <c r="M22" s="445">
        <f>IFERROR(VLOOKUP($A22,'PP DS Query'!$C$1:$R$1005,13,FALSE),0)</f>
        <v>0.35851501000000002</v>
      </c>
      <c r="N22" s="443">
        <f>IFERROR(VLOOKUP($A22,'PP DS Query'!$C$1:$R$1005,14,FALSE),0)</f>
        <v>10889244.960000001</v>
      </c>
      <c r="O22" s="446">
        <f>IFERROR(VLOOKUP($A22,'PP DS Query'!$C$1:$R$1005,4,FALSE),0)</f>
        <v>-0.03</v>
      </c>
      <c r="P22" s="443">
        <f>-IFERROR(VLOOKUP($A22,'PP DS Query'!$C$1:$R$1005,15,FALSE),0)</f>
        <v>911195.74</v>
      </c>
      <c r="Q22" s="443">
        <f>IFERROR(VLOOKUP($A22,'PP DS Query'!$C$1:$R$1005,16,FALSE),0)</f>
        <v>8103249.1200000001</v>
      </c>
      <c r="R22" s="48"/>
      <c r="U22" s="473">
        <f>SUM(U19:U21)</f>
        <v>0</v>
      </c>
      <c r="V22" s="473">
        <f>SUM(V19:V21)</f>
        <v>-30373191.170000002</v>
      </c>
    </row>
    <row r="23" spans="1:22" ht="15.95" customHeight="1" x14ac:dyDescent="0.2">
      <c r="A23" s="49"/>
      <c r="B23" s="49"/>
      <c r="C23" s="15"/>
      <c r="E23" s="360"/>
      <c r="G23" s="35"/>
      <c r="I23" s="35"/>
      <c r="K23" s="35"/>
      <c r="O23" s="59"/>
      <c r="P23" s="29"/>
      <c r="Q23" s="29"/>
      <c r="R23" s="48"/>
    </row>
    <row r="24" spans="1:22" ht="15.95" customHeight="1" x14ac:dyDescent="0.2">
      <c r="A24" s="49"/>
      <c r="B24" s="49"/>
      <c r="C24" s="24" t="s">
        <v>1224</v>
      </c>
      <c r="E24" s="360"/>
      <c r="G24" s="35"/>
      <c r="I24" s="35"/>
      <c r="K24" s="35"/>
      <c r="O24" s="59"/>
      <c r="P24" s="29"/>
      <c r="Q24" s="29"/>
      <c r="R24" s="48"/>
    </row>
    <row r="25" spans="1:22" ht="15.95" customHeight="1" x14ac:dyDescent="0.2">
      <c r="A25" s="396" t="s">
        <v>1035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31454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1036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31454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1037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31454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1089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35"/>
      <c r="I29" s="35"/>
      <c r="K29" s="35"/>
      <c r="O29" s="59"/>
      <c r="P29" s="29"/>
      <c r="Q29" s="29"/>
      <c r="R29" s="48"/>
    </row>
    <row r="30" spans="1:22" ht="15.95" customHeight="1" x14ac:dyDescent="0.2">
      <c r="A30" s="49"/>
      <c r="B30" s="49"/>
      <c r="C30" s="24" t="s">
        <v>1225</v>
      </c>
      <c r="E30" s="360"/>
      <c r="G30" s="35"/>
      <c r="I30" s="35"/>
      <c r="K30" s="35"/>
      <c r="O30" s="59"/>
      <c r="P30" s="29"/>
      <c r="Q30" s="29"/>
      <c r="R30" s="48"/>
    </row>
    <row r="31" spans="1:22" ht="15.95" customHeight="1" x14ac:dyDescent="0.2">
      <c r="A31" s="49" t="s">
        <v>553</v>
      </c>
      <c r="B31" s="499">
        <f>IFERROR(VLOOKUP($A31,'PP DS Query'!$C$1:$R$1005,5,FALSE),0)</f>
        <v>2045</v>
      </c>
      <c r="C31" s="33">
        <f>IFERROR(VLOOKUP($A31,'PP DS Query'!$C$1:$R$1005,3,FALSE),0)</f>
        <v>60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2737605.37</v>
      </c>
      <c r="G31" s="523">
        <f>IFERROR(VLOOKUP($A31,'PP DS Query'!$C$1:$R$1005,7,FALSE),0)</f>
        <v>12.5</v>
      </c>
      <c r="H31" s="358">
        <f>IFERROR(VLOOKUP($A31,'PP DS Query'!$C$1:$R$1005,8,FALSE),0)</f>
        <v>34220067.130000003</v>
      </c>
      <c r="I31" s="523">
        <f>IFERROR(VLOOKUP($A31,'PP DS Query'!$C$1:$R$1005,9,FALSE),0)</f>
        <v>38</v>
      </c>
      <c r="J31" s="358">
        <f>IFERROR(VLOOKUP($A31,'PP DS Query'!$C$1:$R$1005,10,FALSE),0)</f>
        <v>104029004.06</v>
      </c>
      <c r="K31" s="523">
        <f>IFERROR(VLOOKUP($A31,'PP DS Query'!$C$1:$R$1005,11,FALSE),0)</f>
        <v>25.5</v>
      </c>
      <c r="L31" s="358">
        <f>IFERROR(VLOOKUP($A31,'PP DS Query'!$C$1:$R$1005,12,FALSE),0)</f>
        <v>69808936.939999998</v>
      </c>
      <c r="M31" s="19">
        <f>IFERROR(VLOOKUP($A31,'PP DS Query'!$C$1:$R$1005,13,FALSE),0)</f>
        <v>0.33881579000000001</v>
      </c>
      <c r="N31" s="358">
        <f>IFERROR(VLOOKUP($A31,'PP DS Query'!$C$1:$R$1005,14,FALSE),0)</f>
        <v>927543.92</v>
      </c>
      <c r="O31" s="56">
        <f>IFERROR(VLOOKUP($A31,'PP DS Query'!$C$1:$R$1005,4,FALSE),0)</f>
        <v>-0.03</v>
      </c>
      <c r="P31" s="358">
        <f>-IFERROR(VLOOKUP($A31,'PP DS Query'!$C$1:$R$1005,15,FALSE),0)</f>
        <v>82128.160000000003</v>
      </c>
      <c r="Q31" s="358">
        <f>IFERROR(VLOOKUP($A31,'PP DS Query'!$C$1:$R$1005,16,FALSE),0)</f>
        <v>1071600.27</v>
      </c>
      <c r="R31" s="48"/>
      <c r="S31" s="472">
        <f>IFERROR(ROUND(LEFT(A31,7)*100,0),0)</f>
        <v>31554</v>
      </c>
      <c r="T31" s="472" t="s">
        <v>962</v>
      </c>
      <c r="U31" s="474">
        <f>IFERROR(VLOOKUP($S31,#REF!,6,FALSE),0)</f>
        <v>0</v>
      </c>
      <c r="V31" s="473">
        <f>U31-F31</f>
        <v>-2737605.37</v>
      </c>
    </row>
    <row r="32" spans="1:22" ht="15.95" customHeight="1" x14ac:dyDescent="0.2">
      <c r="A32" s="49" t="s">
        <v>554</v>
      </c>
      <c r="B32" s="499">
        <f>IFERROR(VLOOKUP($A32,'PP DS Query'!$C$1:$R$1005,5,FALSE),0)</f>
        <v>2045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5631820.0599999996</v>
      </c>
      <c r="G32" s="523">
        <f>IFERROR(VLOOKUP($A32,'PP DS Query'!$C$1:$R$1005,7,FALSE),0)</f>
        <v>12.5</v>
      </c>
      <c r="H32" s="358">
        <f>IFERROR(VLOOKUP($A32,'PP DS Query'!$C$1:$R$1005,8,FALSE),0)</f>
        <v>70397750.75</v>
      </c>
      <c r="I32" s="523">
        <f>IFERROR(VLOOKUP($A32,'PP DS Query'!$C$1:$R$1005,9,FALSE),0)</f>
        <v>34.1</v>
      </c>
      <c r="J32" s="358">
        <f>IFERROR(VLOOKUP($A32,'PP DS Query'!$C$1:$R$1005,10,FALSE),0)</f>
        <v>192045064.05000001</v>
      </c>
      <c r="K32" s="523">
        <f>IFERROR(VLOOKUP($A32,'PP DS Query'!$C$1:$R$1005,11,FALSE),0)</f>
        <v>21.273990000000001</v>
      </c>
      <c r="L32" s="358">
        <f>IFERROR(VLOOKUP($A32,'PP DS Query'!$C$1:$R$1005,12,FALSE),0)</f>
        <v>119811283.64</v>
      </c>
      <c r="M32" s="19">
        <f>IFERROR(VLOOKUP($A32,'PP DS Query'!$C$1:$R$1005,13,FALSE),0)</f>
        <v>0.38742605000000002</v>
      </c>
      <c r="N32" s="358">
        <f>IFERROR(VLOOKUP($A32,'PP DS Query'!$C$1:$R$1005,14,FALSE),0)</f>
        <v>2181913.8199999998</v>
      </c>
      <c r="O32" s="56">
        <f>IFERROR(VLOOKUP($A32,'PP DS Query'!$C$1:$R$1005,4,FALSE),0)</f>
        <v>-0.03</v>
      </c>
      <c r="P32" s="358">
        <f>-IFERROR(VLOOKUP($A32,'PP DS Query'!$C$1:$R$1005,15,FALSE),0)</f>
        <v>168954.6</v>
      </c>
      <c r="Q32" s="358">
        <f>IFERROR(VLOOKUP($A32,'PP DS Query'!$C$1:$R$1005,16,FALSE),0)</f>
        <v>2520785.69</v>
      </c>
      <c r="R32" s="48"/>
      <c r="S32" s="472">
        <f t="shared" ref="S32:S33" si="6">IFERROR(ROUND(LEFT(A32,7)*100,0),0)</f>
        <v>31554</v>
      </c>
      <c r="T32" s="472" t="s">
        <v>963</v>
      </c>
      <c r="U32" s="474">
        <f>IFERROR(VLOOKUP($S32,#REF!,7,FALSE),0)</f>
        <v>0</v>
      </c>
      <c r="V32" s="473">
        <f t="shared" ref="V32:V33" si="7">U32-F32</f>
        <v>-5631820.0599999996</v>
      </c>
    </row>
    <row r="33" spans="1:22" ht="15.95" customHeight="1" thickBot="1" x14ac:dyDescent="0.25">
      <c r="A33" s="49" t="s">
        <v>555</v>
      </c>
      <c r="B33" s="499">
        <f>IFERROR(VLOOKUP($A33,'PP DS Query'!$C$1:$R$1005,5,FALSE),0)</f>
        <v>2045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2272601.4</v>
      </c>
      <c r="G33" s="524">
        <f>IFERROR(VLOOKUP($A33,'PP DS Query'!$C$1:$R$1005,7,FALSE),0)</f>
        <v>12.5</v>
      </c>
      <c r="H33" s="250">
        <f>IFERROR(VLOOKUP($A33,'PP DS Query'!$C$1:$R$1005,8,FALSE),0)</f>
        <v>28407517.5</v>
      </c>
      <c r="I33" s="524">
        <f>IFERROR(VLOOKUP($A33,'PP DS Query'!$C$1:$R$1005,9,FALSE),0)</f>
        <v>20</v>
      </c>
      <c r="J33" s="250">
        <f>IFERROR(VLOOKUP($A33,'PP DS Query'!$C$1:$R$1005,10,FALSE),0)</f>
        <v>45452028</v>
      </c>
      <c r="K33" s="524">
        <f>IFERROR(VLOOKUP($A33,'PP DS Query'!$C$1:$R$1005,11,FALSE),0)</f>
        <v>8.1383229999999998</v>
      </c>
      <c r="L33" s="250">
        <f>IFERROR(VLOOKUP($A33,'PP DS Query'!$C$1:$R$1005,12,FALSE),0)</f>
        <v>18495164.239999998</v>
      </c>
      <c r="M33" s="21">
        <f>IFERROR(VLOOKUP($A33,'PP DS Query'!$C$1:$R$1005,13,FALSE),0)</f>
        <v>0.61087639000000005</v>
      </c>
      <c r="N33" s="250">
        <f>IFERROR(VLOOKUP($A33,'PP DS Query'!$C$1:$R$1005,14,FALSE),0)</f>
        <v>1388278.53</v>
      </c>
      <c r="O33" s="57">
        <f>IFERROR(VLOOKUP($A33,'PP DS Query'!$C$1:$R$1005,4,FALSE),0)</f>
        <v>-0.03</v>
      </c>
      <c r="P33" s="250">
        <f>-IFERROR(VLOOKUP($A33,'PP DS Query'!$C$1:$R$1005,15,FALSE),0)</f>
        <v>68178.039999999994</v>
      </c>
      <c r="Q33" s="250">
        <f>IFERROR(VLOOKUP($A33,'PP DS Query'!$C$1:$R$1005,16,FALSE),0)</f>
        <v>1603891.32</v>
      </c>
      <c r="R33" s="48"/>
      <c r="S33" s="472">
        <f t="shared" si="6"/>
        <v>31554</v>
      </c>
      <c r="T33" s="472" t="s">
        <v>964</v>
      </c>
      <c r="U33" s="475">
        <f>IFERROR(VLOOKUP($S33,#REF!,8,FALSE),0)</f>
        <v>0</v>
      </c>
      <c r="V33" s="476">
        <f t="shared" si="7"/>
        <v>-2272601.4</v>
      </c>
    </row>
    <row r="34" spans="1:22" ht="15.95" customHeight="1" x14ac:dyDescent="0.2">
      <c r="A34" s="49" t="s">
        <v>556</v>
      </c>
      <c r="B34" s="499">
        <f>IFERROR(VLOOKUP($A34,'PP DS Query'!$C$1:$R$1005,5,FALSE),0)</f>
        <v>2045</v>
      </c>
      <c r="C34" s="33"/>
      <c r="D34" s="34"/>
      <c r="E34" s="15"/>
      <c r="F34" s="443">
        <f>IFERROR(VLOOKUP($A34,'PP DS Query'!$C$1:$R$1005,6,FALSE),0)</f>
        <v>10642026.83</v>
      </c>
      <c r="G34" s="525">
        <f>IFERROR(VLOOKUP($A34,'PP DS Query'!$C$1:$R$1005,7,FALSE),0)</f>
        <v>12.5</v>
      </c>
      <c r="H34" s="443">
        <f>IFERROR(VLOOKUP($A34,'PP DS Query'!$C$1:$R$1005,8,FALSE),0)</f>
        <v>133025335.38</v>
      </c>
      <c r="I34" s="525">
        <f>IFERROR(VLOOKUP($A34,'PP DS Query'!$C$1:$R$1005,9,FALSE),0)</f>
        <v>32.092204010000003</v>
      </c>
      <c r="J34" s="443">
        <f>IFERROR(VLOOKUP($A34,'PP DS Query'!$C$1:$R$1005,10,FALSE),0)</f>
        <v>341526096.11000001</v>
      </c>
      <c r="K34" s="525">
        <f>IFERROR(VLOOKUP($A34,'PP DS Query'!$C$1:$R$1005,11,FALSE),0)</f>
        <v>19.555991370000001</v>
      </c>
      <c r="L34" s="443">
        <f>IFERROR(VLOOKUP($A34,'PP DS Query'!$C$1:$R$1005,12,FALSE),0)</f>
        <v>208115384.81999999</v>
      </c>
      <c r="M34" s="445">
        <f>IFERROR(VLOOKUP($A34,'PP DS Query'!$C$1:$R$1005,13,FALSE),0)</f>
        <v>0.42263907000000001</v>
      </c>
      <c r="N34" s="443">
        <f>IFERROR(VLOOKUP($A34,'PP DS Query'!$C$1:$R$1005,14,FALSE),0)</f>
        <v>4497736.2699999996</v>
      </c>
      <c r="O34" s="446">
        <f>IFERROR(VLOOKUP($A34,'PP DS Query'!$C$1:$R$1005,4,FALSE),0)</f>
        <v>-0.03</v>
      </c>
      <c r="P34" s="443">
        <f>-IFERROR(VLOOKUP($A34,'PP DS Query'!$C$1:$R$1005,15,FALSE),0)</f>
        <v>319260.79999999999</v>
      </c>
      <c r="Q34" s="443">
        <f>IFERROR(VLOOKUP($A34,'PP DS Query'!$C$1:$R$1005,16,FALSE),0)</f>
        <v>5196277.28</v>
      </c>
      <c r="R34" s="48"/>
      <c r="U34" s="473">
        <f>SUM(U31:U33)</f>
        <v>0</v>
      </c>
      <c r="V34" s="473">
        <f>SUM(V31:V33)</f>
        <v>-10642026.83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4" t="s">
        <v>1226</v>
      </c>
      <c r="E36" s="360"/>
      <c r="G36" s="35"/>
      <c r="I36" s="35"/>
      <c r="K36" s="35"/>
      <c r="O36" s="59"/>
      <c r="P36" s="29"/>
      <c r="Q36" s="29"/>
      <c r="R36" s="48"/>
    </row>
    <row r="37" spans="1:22" ht="15.95" customHeight="1" x14ac:dyDescent="0.2">
      <c r="A37" s="49" t="s">
        <v>593</v>
      </c>
      <c r="B37" s="499">
        <f>IFERROR(VLOOKUP($A37,'PP DS Query'!$C$1:$R$1005,5,FALSE),0)</f>
        <v>2045</v>
      </c>
      <c r="C37" s="33">
        <f>IFERROR(VLOOKUP($A37,'PP DS Query'!$C$1:$R$1005,3,FALSE),0)</f>
        <v>60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555474.96</v>
      </c>
      <c r="G37" s="523">
        <f>IFERROR(VLOOKUP($A37,'PP DS Query'!$C$1:$R$1005,7,FALSE),0)</f>
        <v>12.5</v>
      </c>
      <c r="H37" s="358">
        <f>IFERROR(VLOOKUP($A37,'PP DS Query'!$C$1:$R$1005,8,FALSE),0)</f>
        <v>6943437</v>
      </c>
      <c r="I37" s="523">
        <f>IFERROR(VLOOKUP($A37,'PP DS Query'!$C$1:$R$1005,9,FALSE),0)</f>
        <v>38</v>
      </c>
      <c r="J37" s="358">
        <f>IFERROR(VLOOKUP($A37,'PP DS Query'!$C$1:$R$1005,10,FALSE),0)</f>
        <v>21108048.48</v>
      </c>
      <c r="K37" s="523">
        <f>IFERROR(VLOOKUP($A37,'PP DS Query'!$C$1:$R$1005,11,FALSE),0)</f>
        <v>25.5</v>
      </c>
      <c r="L37" s="358">
        <f>IFERROR(VLOOKUP($A37,'PP DS Query'!$C$1:$R$1005,12,FALSE),0)</f>
        <v>14164611.48</v>
      </c>
      <c r="M37" s="19">
        <f>IFERROR(VLOOKUP($A37,'PP DS Query'!$C$1:$R$1005,13,FALSE),0)</f>
        <v>0.33223684999999997</v>
      </c>
      <c r="N37" s="358">
        <f>IFERROR(VLOOKUP($A37,'PP DS Query'!$C$1:$R$1005,14,FALSE),0)</f>
        <v>184549.25</v>
      </c>
      <c r="O37" s="56">
        <f>IFERROR(VLOOKUP($A37,'PP DS Query'!$C$1:$R$1005,4,FALSE),0)</f>
        <v>-0.01</v>
      </c>
      <c r="P37" s="358">
        <f>-IFERROR(VLOOKUP($A37,'PP DS Query'!$C$1:$R$1005,15,FALSE),0)</f>
        <v>5554.75</v>
      </c>
      <c r="Q37" s="358">
        <f>IFERROR(VLOOKUP($A37,'PP DS Query'!$C$1:$R$1005,16,FALSE),0)</f>
        <v>222047.03</v>
      </c>
      <c r="R37" s="48"/>
      <c r="S37" s="472">
        <f>IFERROR(ROUND(LEFT(A37,7)*100,0),0)</f>
        <v>31654</v>
      </c>
      <c r="T37" s="472" t="s">
        <v>962</v>
      </c>
      <c r="U37" s="474">
        <f>IFERROR(VLOOKUP($S37,#REF!,6,FALSE),0)</f>
        <v>0</v>
      </c>
      <c r="V37" s="473">
        <f>U37-F37</f>
        <v>-555474.96</v>
      </c>
    </row>
    <row r="38" spans="1:22" ht="15.95" customHeight="1" x14ac:dyDescent="0.2">
      <c r="A38" s="49" t="s">
        <v>594</v>
      </c>
      <c r="B38" s="499">
        <f>IFERROR(VLOOKUP($A38,'PP DS Query'!$C$1:$R$1005,5,FALSE),0)</f>
        <v>2045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132459.4</v>
      </c>
      <c r="G38" s="523">
        <f>IFERROR(VLOOKUP($A38,'PP DS Query'!$C$1:$R$1005,7,FALSE),0)</f>
        <v>12.5</v>
      </c>
      <c r="H38" s="358">
        <f>IFERROR(VLOOKUP($A38,'PP DS Query'!$C$1:$R$1005,8,FALSE),0)</f>
        <v>1655742.5</v>
      </c>
      <c r="I38" s="523">
        <f>IFERROR(VLOOKUP($A38,'PP DS Query'!$C$1:$R$1005,9,FALSE),0)</f>
        <v>34.1</v>
      </c>
      <c r="J38" s="358">
        <f>IFERROR(VLOOKUP($A38,'PP DS Query'!$C$1:$R$1005,10,FALSE),0)</f>
        <v>4516865.54</v>
      </c>
      <c r="K38" s="523">
        <f>IFERROR(VLOOKUP($A38,'PP DS Query'!$C$1:$R$1005,11,FALSE),0)</f>
        <v>21.273990000000001</v>
      </c>
      <c r="L38" s="358">
        <f>IFERROR(VLOOKUP($A38,'PP DS Query'!$C$1:$R$1005,12,FALSE),0)</f>
        <v>2817939.95</v>
      </c>
      <c r="M38" s="19">
        <f>IFERROR(VLOOKUP($A38,'PP DS Query'!$C$1:$R$1005,13,FALSE),0)</f>
        <v>0.3799032</v>
      </c>
      <c r="N38" s="358">
        <f>IFERROR(VLOOKUP($A38,'PP DS Query'!$C$1:$R$1005,14,FALSE),0)</f>
        <v>50321.75</v>
      </c>
      <c r="O38" s="56">
        <f>IFERROR(VLOOKUP($A38,'PP DS Query'!$C$1:$R$1005,4,FALSE),0)</f>
        <v>-0.01</v>
      </c>
      <c r="P38" s="358">
        <f>-IFERROR(VLOOKUP($A38,'PP DS Query'!$C$1:$R$1005,15,FALSE),0)</f>
        <v>1324.59</v>
      </c>
      <c r="Q38" s="358">
        <f>IFERROR(VLOOKUP($A38,'PP DS Query'!$C$1:$R$1005,16,FALSE),0)</f>
        <v>60546.41</v>
      </c>
      <c r="R38" s="48"/>
      <c r="S38" s="472">
        <f t="shared" ref="S38:S39" si="8">IFERROR(ROUND(LEFT(A38,7)*100,0),0)</f>
        <v>31654</v>
      </c>
      <c r="T38" s="472" t="s">
        <v>963</v>
      </c>
      <c r="U38" s="474">
        <f>IFERROR(VLOOKUP($S38,#REF!,7,FALSE),0)</f>
        <v>0</v>
      </c>
      <c r="V38" s="473">
        <f t="shared" ref="V38:V39" si="9">U38-F38</f>
        <v>-132459.4</v>
      </c>
    </row>
    <row r="39" spans="1:22" ht="15.95" customHeight="1" thickBot="1" x14ac:dyDescent="0.25">
      <c r="A39" s="396" t="s">
        <v>937</v>
      </c>
      <c r="B39" s="499">
        <f>IFERROR(VLOOKUP($A39,'PP DS Query'!$C$1:$R$1005,5,FALSE),0)</f>
        <v>0</v>
      </c>
      <c r="C39" s="33">
        <f>IFERROR(VLOOKUP($A39,'PP DS Query'!$C$1:$R$1005,3,FALSE),0)</f>
        <v>0</v>
      </c>
      <c r="D39" s="34" t="s">
        <v>22</v>
      </c>
      <c r="E39" s="61">
        <f>IFERROR(VLOOKUP($A39,'PP DS Query'!$C$1:$R$1005,2,FALSE),0)</f>
        <v>0</v>
      </c>
      <c r="F39" s="250">
        <f>IFERROR(VLOOKUP($A39,'PP DS Query'!$C$1:$R$1005,6,FALSE),0)</f>
        <v>0</v>
      </c>
      <c r="G39" s="524">
        <f>IFERROR(VLOOKUP($A39,'PP DS Query'!$C$1:$R$1005,7,FALSE),0)</f>
        <v>0</v>
      </c>
      <c r="H39" s="250">
        <f>IFERROR(VLOOKUP($A39,'PP DS Query'!$C$1:$R$1005,8,FALSE),0)</f>
        <v>0</v>
      </c>
      <c r="I39" s="524">
        <f>IFERROR(VLOOKUP($A39,'PP DS Query'!$C$1:$R$1005,9,FALSE),0)</f>
        <v>0</v>
      </c>
      <c r="J39" s="250">
        <f>IFERROR(VLOOKUP($A39,'PP DS Query'!$C$1:$R$1005,10,FALSE),0)</f>
        <v>0</v>
      </c>
      <c r="K39" s="524">
        <f>IFERROR(VLOOKUP($A39,'PP DS Query'!$C$1:$R$1005,11,FALSE),0)</f>
        <v>0</v>
      </c>
      <c r="L39" s="250">
        <f>IFERROR(VLOOKUP($A39,'PP DS Query'!$C$1:$R$1005,12,FALSE),0)</f>
        <v>0</v>
      </c>
      <c r="M39" s="21">
        <f>IFERROR(VLOOKUP($A39,'PP DS Query'!$C$1:$R$1005,13,FALSE),0)</f>
        <v>0</v>
      </c>
      <c r="N39" s="250">
        <f>IFERROR(VLOOKUP($A39,'PP DS Query'!$C$1:$R$1005,14,FALSE),0)</f>
        <v>0</v>
      </c>
      <c r="O39" s="57">
        <f>IFERROR(VLOOKUP($A39,'PP DS Query'!$C$1:$R$1005,4,FALSE),0)</f>
        <v>0</v>
      </c>
      <c r="P39" s="250">
        <f>-IFERROR(VLOOKUP($A39,'PP DS Query'!$C$1:$R$1005,15,FALSE),0)</f>
        <v>0</v>
      </c>
      <c r="Q39" s="250">
        <f>IFERROR(VLOOKUP($A39,'PP DS Query'!$C$1:$R$1005,16,FALSE),0)</f>
        <v>0</v>
      </c>
      <c r="R39" s="48"/>
      <c r="S39" s="472">
        <f t="shared" si="8"/>
        <v>31654</v>
      </c>
      <c r="T39" s="472" t="s">
        <v>964</v>
      </c>
      <c r="U39" s="475">
        <f>IFERROR(VLOOKUP($S39,#REF!,8,FALSE),0)</f>
        <v>0</v>
      </c>
      <c r="V39" s="476">
        <f t="shared" si="9"/>
        <v>0</v>
      </c>
    </row>
    <row r="40" spans="1:22" ht="15.95" customHeight="1" x14ac:dyDescent="0.2">
      <c r="A40" s="49" t="s">
        <v>595</v>
      </c>
      <c r="B40" s="499">
        <f>IFERROR(VLOOKUP($A40,'PP DS Query'!$C$1:$R$1005,5,FALSE),0)</f>
        <v>2045</v>
      </c>
      <c r="C40" s="33"/>
      <c r="D40" s="34"/>
      <c r="E40" s="15"/>
      <c r="F40" s="443">
        <f>IFERROR(VLOOKUP($A40,'PP DS Query'!$C$1:$R$1005,6,FALSE),0)</f>
        <v>687934.36</v>
      </c>
      <c r="G40" s="525">
        <f>IFERROR(VLOOKUP($A40,'PP DS Query'!$C$1:$R$1005,7,FALSE),0)</f>
        <v>12.5</v>
      </c>
      <c r="H40" s="443">
        <f>IFERROR(VLOOKUP($A40,'PP DS Query'!$C$1:$R$1005,8,FALSE),0)</f>
        <v>8599179.5</v>
      </c>
      <c r="I40" s="525">
        <f>IFERROR(VLOOKUP($A40,'PP DS Query'!$C$1:$R$1005,9,FALSE),0)</f>
        <v>37.249068379999997</v>
      </c>
      <c r="J40" s="443">
        <f>IFERROR(VLOOKUP($A40,'PP DS Query'!$C$1:$R$1005,10,FALSE),0)</f>
        <v>25624914.02</v>
      </c>
      <c r="K40" s="525">
        <f>IFERROR(VLOOKUP($A40,'PP DS Query'!$C$1:$R$1005,11,FALSE),0)</f>
        <v>24.686296280000001</v>
      </c>
      <c r="L40" s="443">
        <f>IFERROR(VLOOKUP($A40,'PP DS Query'!$C$1:$R$1005,12,FALSE),0)</f>
        <v>16982551.43</v>
      </c>
      <c r="M40" s="445">
        <f>IFERROR(VLOOKUP($A40,'PP DS Query'!$C$1:$R$1005,13,FALSE),0)</f>
        <v>0.34141484</v>
      </c>
      <c r="N40" s="443">
        <f>IFERROR(VLOOKUP($A40,'PP DS Query'!$C$1:$R$1005,14,FALSE),0)</f>
        <v>234871</v>
      </c>
      <c r="O40" s="446">
        <f>IFERROR(VLOOKUP($A40,'PP DS Query'!$C$1:$R$1005,4,FALSE),0)</f>
        <v>-0.01</v>
      </c>
      <c r="P40" s="443">
        <f>-IFERROR(VLOOKUP($A40,'PP DS Query'!$C$1:$R$1005,15,FALSE),0)</f>
        <v>6879.34</v>
      </c>
      <c r="Q40" s="443">
        <f>IFERROR(VLOOKUP($A40,'PP DS Query'!$C$1:$R$1005,16,FALSE),0)</f>
        <v>282593.44</v>
      </c>
      <c r="R40" s="48"/>
      <c r="U40" s="473">
        <f>SUM(U37:U39)</f>
        <v>0</v>
      </c>
      <c r="V40" s="473">
        <f>SUM(V37:V39)</f>
        <v>-687934.36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4 SCR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60</v>
      </c>
      <c r="D44" s="34" t="s">
        <v>22</v>
      </c>
      <c r="E44" s="360" t="s">
        <v>359</v>
      </c>
      <c r="F44" s="358">
        <f>F13+F19+F25+F31+F37</f>
        <v>28212299.020000003</v>
      </c>
      <c r="G44" s="523">
        <f>IF($F44=0,0,H44/$F44)</f>
        <v>12.397099488136645</v>
      </c>
      <c r="H44" s="358">
        <f>H13+H19+H25+H31+H37</f>
        <v>349750677.74000001</v>
      </c>
      <c r="I44" s="523">
        <f>IF($F44=0,0,J44/$F44)</f>
        <v>37.858666660693849</v>
      </c>
      <c r="J44" s="358">
        <f>J13+J19+J25+J31+J37</f>
        <v>1068080024.3299999</v>
      </c>
      <c r="K44" s="523">
        <f>IF($F44=0,0,L44/$F44)</f>
        <v>25.500000000354451</v>
      </c>
      <c r="L44" s="358">
        <f>L13+L19+L25+L31+L37</f>
        <v>719413625.01999998</v>
      </c>
      <c r="M44" s="19">
        <f>IF($F44=0,0,N44/$F44)</f>
        <v>0.33214609994588096</v>
      </c>
      <c r="N44" s="358">
        <f>N13+N19+N25+N31+N37</f>
        <v>9370605.0899999999</v>
      </c>
      <c r="O44" s="56">
        <f>-IF($F44=0,0,P44/$F44)</f>
        <v>-1.7709425227834547E-2</v>
      </c>
      <c r="P44" s="358">
        <f t="shared" ref="P44:Q46" si="10">P13+P19+P25+P31+P37</f>
        <v>499623.6</v>
      </c>
      <c r="Q44" s="358">
        <f t="shared" si="10"/>
        <v>8322642.4900000012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22725149.77</v>
      </c>
      <c r="G45" s="523">
        <f>IF($F45=0,0,H45/$F45)</f>
        <v>12.212277565552874</v>
      </c>
      <c r="H45" s="358">
        <f>H14+H20+H26+H32+H38</f>
        <v>277525836.71000004</v>
      </c>
      <c r="I45" s="523">
        <f>IF($F45=0,0,J45/$F45)</f>
        <v>33.884089340371375</v>
      </c>
      <c r="J45" s="358">
        <f>J14+J20+J26+J32+J38</f>
        <v>770021005.07999992</v>
      </c>
      <c r="K45" s="523">
        <f>IF($F45=0,0,L45/$F45)</f>
        <v>21.412784817479334</v>
      </c>
      <c r="L45" s="358">
        <f>L14+L20+L26+L32+L38</f>
        <v>486608741.96999997</v>
      </c>
      <c r="M45" s="19">
        <f>IF($F45=0,0,N45/$F45)</f>
        <v>0.37899957831609044</v>
      </c>
      <c r="N45" s="358">
        <f>N14+N20+N26+N32+N38</f>
        <v>8612822.1799999997</v>
      </c>
      <c r="O45" s="56">
        <f>-IF($F45=0,0,P45/$F45)</f>
        <v>-2.9846854998307016E-2</v>
      </c>
      <c r="P45" s="358">
        <f t="shared" si="10"/>
        <v>678274.25</v>
      </c>
      <c r="Q45" s="358">
        <f t="shared" si="10"/>
        <v>7331957.0700000003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7622953.459999999</v>
      </c>
      <c r="G46" s="524">
        <f>IF($F46=0,0,H46/$F46)</f>
        <v>8.632816808512958</v>
      </c>
      <c r="H46" s="250">
        <f>H15+H21+H27+H33+H39</f>
        <v>65807560.760000005</v>
      </c>
      <c r="I46" s="524">
        <f>IF($F46=0,0,J46/$F46)</f>
        <v>20</v>
      </c>
      <c r="J46" s="250">
        <f>J15+J21+J27+J33+J39</f>
        <v>152459069.19999999</v>
      </c>
      <c r="K46" s="524">
        <f>IF($F46=0,0,L46/$F46)</f>
        <v>11.72032542751481</v>
      </c>
      <c r="L46" s="250">
        <f>L15+L21+L27+L33+L39</f>
        <v>89343495.269999996</v>
      </c>
      <c r="M46" s="21">
        <f>IF($F46=0,0,N46/$F46)</f>
        <v>0.42635048174621815</v>
      </c>
      <c r="N46" s="250">
        <f>N15+N21+N27+N33+N39</f>
        <v>3250049.88</v>
      </c>
      <c r="O46" s="57">
        <f>-IF($F46=0,0,P46/$F46)</f>
        <v>-2.9911048414035583E-2</v>
      </c>
      <c r="P46" s="250">
        <f t="shared" si="10"/>
        <v>228010.53000000003</v>
      </c>
      <c r="Q46" s="250">
        <f t="shared" si="10"/>
        <v>2992549.2800000003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58560402.250000007</v>
      </c>
      <c r="G47" s="525">
        <f>IF($F47=0,0,H47/$F47)</f>
        <v>11.835370806558965</v>
      </c>
      <c r="H47" s="443">
        <f>SUM(H44:H46)</f>
        <v>693084075.21000004</v>
      </c>
      <c r="I47" s="525">
        <f>IF($F47=0,0,J47/$F47)</f>
        <v>33.991571473708575</v>
      </c>
      <c r="J47" s="443">
        <f>SUM(J44:J46)</f>
        <v>1990560098.6099999</v>
      </c>
      <c r="K47" s="525">
        <f>IF($F47=0,0,L47/$F47)</f>
        <v>22.120166742194804</v>
      </c>
      <c r="L47" s="443">
        <f>SUM(L44:L46)</f>
        <v>1295365862.26</v>
      </c>
      <c r="M47" s="445">
        <f>IF($F47=0,0,N47/$F47)</f>
        <v>0.36259103992066577</v>
      </c>
      <c r="N47" s="443">
        <f>SUM(N44:N46)</f>
        <v>21233477.149999999</v>
      </c>
      <c r="O47" s="446">
        <f>-IF($F47=0,0,P47/$F47)</f>
        <v>-2.4007833381984665E-2</v>
      </c>
      <c r="P47" s="443">
        <f>SUM(P44:P46)</f>
        <v>1405908.3800000001</v>
      </c>
      <c r="Q47" s="443">
        <f>SUM(Q44:Q46)</f>
        <v>18647148.840000004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31154</v>
      </c>
      <c r="F50" s="352">
        <f>IFERROR(VLOOKUP(E50,'2019 B-7'!C:P,14,FALSE),0)</f>
        <v>16857249.890000001</v>
      </c>
      <c r="G50" s="353">
        <f>F50-F16</f>
        <v>0</v>
      </c>
      <c r="P50" s="260">
        <f>E50</f>
        <v>31154</v>
      </c>
      <c r="Q50" s="352">
        <f>IFERROR(VLOOKUP(P50,'2019 B-9'!C:R,16,FALSE),0)</f>
        <v>5065029</v>
      </c>
      <c r="R50" s="353">
        <f>Q50-Q16</f>
        <v>0</v>
      </c>
    </row>
    <row r="51" spans="5:18" x14ac:dyDescent="0.2">
      <c r="E51" s="260">
        <v>31254</v>
      </c>
      <c r="F51" s="352">
        <f>IFERROR(VLOOKUP(E51,'2019 B-7'!C:P,14,FALSE),0)</f>
        <v>30373191.169999998</v>
      </c>
      <c r="G51" s="353">
        <f>F51-F22</f>
        <v>0</v>
      </c>
      <c r="P51" s="260">
        <f t="shared" ref="P51:P54" si="11">E51</f>
        <v>31254</v>
      </c>
      <c r="Q51" s="352">
        <f>IFERROR(VLOOKUP(P51,'2019 B-9'!C:R,16,FALSE),0)</f>
        <v>8103249.1199999936</v>
      </c>
      <c r="R51" s="353">
        <f>Q51-Q22</f>
        <v>0</v>
      </c>
    </row>
    <row r="52" spans="5:18" x14ac:dyDescent="0.2">
      <c r="E52" s="260">
        <v>31454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31454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31554</v>
      </c>
      <c r="F53" s="352">
        <f>IFERROR(VLOOKUP(E53,'2019 B-7'!C:P,14,FALSE),0)</f>
        <v>10642026.83</v>
      </c>
      <c r="G53" s="353">
        <f>F53-F34</f>
        <v>0</v>
      </c>
      <c r="P53" s="260">
        <f t="shared" si="11"/>
        <v>31554</v>
      </c>
      <c r="Q53" s="352">
        <f>IFERROR(VLOOKUP(P53,'2019 B-9'!C:R,16,FALSE),0)</f>
        <v>5196277.2799999891</v>
      </c>
      <c r="R53" s="353">
        <f>Q53-Q34</f>
        <v>-1.1175870895385742E-8</v>
      </c>
    </row>
    <row r="54" spans="5:18" x14ac:dyDescent="0.2">
      <c r="E54" s="260">
        <v>31654</v>
      </c>
      <c r="F54" s="352">
        <f>IFERROR(VLOOKUP(E54,'2019 B-7'!C:P,14,FALSE),0)</f>
        <v>687934.36</v>
      </c>
      <c r="G54" s="353">
        <f>F54-F40</f>
        <v>0</v>
      </c>
      <c r="P54" s="260">
        <f t="shared" si="11"/>
        <v>31654</v>
      </c>
      <c r="Q54" s="352">
        <f>IFERROR(VLOOKUP(P54,'2019 B-9'!C:R,16,FALSE),0)</f>
        <v>282593.44000000058</v>
      </c>
      <c r="R54" s="353">
        <f>Q54-Q40</f>
        <v>5.8207660913467407E-10</v>
      </c>
    </row>
    <row r="55" spans="5:18" ht="13.5" thickBot="1" x14ac:dyDescent="0.25">
      <c r="E55" s="349" t="s">
        <v>40</v>
      </c>
      <c r="F55" s="354">
        <f>SUM(F50:F54)</f>
        <v>58560402.25</v>
      </c>
      <c r="G55" s="354">
        <f>SUM(G50:G54)</f>
        <v>0</v>
      </c>
      <c r="P55" s="349" t="s">
        <v>40</v>
      </c>
      <c r="Q55" s="354">
        <f>SUM(Q50:Q54)</f>
        <v>18647148.839999985</v>
      </c>
      <c r="R55" s="354">
        <f>SUM(R50:R54)</f>
        <v>-1.0593794286251068E-8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-1.0593794286251068E-8</v>
      </c>
    </row>
    <row r="57" spans="5:18" x14ac:dyDescent="0.2">
      <c r="E57" s="29"/>
      <c r="G57" s="18"/>
    </row>
    <row r="58" spans="5:18" x14ac:dyDescent="0.2">
      <c r="E58" s="50"/>
      <c r="G58" s="18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theme="7" tint="-0.249977111117893"/>
    <pageSetUpPr fitToPage="1"/>
  </sheetPr>
  <dimension ref="A1:X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4.71093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1.85546875" style="37" bestFit="1" customWidth="1"/>
    <col min="23" max="23" width="9.140625" style="37"/>
    <col min="24" max="24" width="12.28515625" style="37" customWidth="1"/>
    <col min="25" max="16384" width="9.140625" style="37"/>
  </cols>
  <sheetData>
    <row r="1" spans="1:24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4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4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4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4" x14ac:dyDescent="0.2">
      <c r="A5" s="49"/>
      <c r="B5" s="49"/>
      <c r="R5" s="48"/>
    </row>
    <row r="6" spans="1:24" ht="15.75" x14ac:dyDescent="0.25">
      <c r="A6" s="49"/>
      <c r="B6" s="49"/>
      <c r="C6" s="73" t="s">
        <v>84</v>
      </c>
      <c r="D6" s="71"/>
      <c r="E6" s="29"/>
      <c r="G6" s="29"/>
      <c r="M6" s="404"/>
      <c r="N6" s="404"/>
      <c r="R6" s="48"/>
    </row>
    <row r="7" spans="1:24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4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4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4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4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4" ht="15.95" customHeight="1" x14ac:dyDescent="0.2">
      <c r="A12" s="49"/>
      <c r="B12" s="49"/>
      <c r="C12" s="231" t="s">
        <v>1192</v>
      </c>
      <c r="E12" s="50"/>
      <c r="P12" s="18"/>
      <c r="Q12" s="18"/>
      <c r="R12" s="48"/>
    </row>
    <row r="13" spans="1:24" ht="15.95" customHeight="1" x14ac:dyDescent="0.2">
      <c r="A13" s="49" t="s">
        <v>614</v>
      </c>
      <c r="B13" s="499">
        <f>IFERROR(VLOOKUP($A13,'PP DS Query'!$C$1:$R$1005,5,FALSE),0)</f>
        <v>2049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1377903.93</v>
      </c>
      <c r="G13" s="523">
        <f>IFERROR(VLOOKUP($A13,'PP DS Query'!$C$1:$R$1005,7,FALSE),0)</f>
        <v>10.5</v>
      </c>
      <c r="H13" s="358">
        <f>IFERROR(VLOOKUP($A13,'PP DS Query'!$C$1:$R$1005,8,FALSE),0)</f>
        <v>14467991.27</v>
      </c>
      <c r="I13" s="523">
        <f>IFERROR(VLOOKUP($A13,'PP DS Query'!$C$1:$R$1005,9,FALSE),0)</f>
        <v>40</v>
      </c>
      <c r="J13" s="358">
        <f>IFERROR(VLOOKUP($A13,'PP DS Query'!$C$1:$R$1005,10,FALSE),0)</f>
        <v>55116157.200000003</v>
      </c>
      <c r="K13" s="523">
        <f>IFERROR(VLOOKUP($A13,'PP DS Query'!$C$1:$R$1005,11,FALSE),0)</f>
        <v>29.5</v>
      </c>
      <c r="L13" s="358">
        <f>IFERROR(VLOOKUP($A13,'PP DS Query'!$C$1:$R$1005,12,FALSE),0)</f>
        <v>40648165.939999998</v>
      </c>
      <c r="M13" s="19">
        <f>IFERROR(VLOOKUP($A13,'PP DS Query'!$C$1:$R$1005,13,FALSE),0)</f>
        <v>0.26774999999999999</v>
      </c>
      <c r="N13" s="358">
        <f>IFERROR(VLOOKUP($A13,'PP DS Query'!$C$1:$R$1005,14,FALSE),0)</f>
        <v>368933.78</v>
      </c>
      <c r="O13" s="56">
        <f>IFERROR(VLOOKUP($A13,'PP DS Query'!$C$1:$R$1005,4,FALSE),0)</f>
        <v>-0.02</v>
      </c>
      <c r="P13" s="358">
        <f>-IFERROR(VLOOKUP($A13,'PP DS Query'!$C$1:$R$1005,15,FALSE),0)</f>
        <v>27558.080000000002</v>
      </c>
      <c r="Q13" s="358">
        <f>IFERROR(VLOOKUP($A13,'PP DS Query'!$C$1:$R$1005,16,FALSE),0)</f>
        <v>181352</v>
      </c>
      <c r="R13" s="48"/>
      <c r="S13" s="472">
        <f>IFERROR(ROUND(LEFT(A13,7)*100,0),0)</f>
        <v>34144</v>
      </c>
      <c r="T13" s="472" t="s">
        <v>962</v>
      </c>
      <c r="U13" s="474">
        <f>IFERROR(VLOOKUP($S13,#REF!,6,FALSE),0)</f>
        <v>0</v>
      </c>
      <c r="V13" s="473">
        <f>U13-F13</f>
        <v>-1377903.93</v>
      </c>
    </row>
    <row r="14" spans="1:24" ht="15.95" customHeight="1" x14ac:dyDescent="0.2">
      <c r="A14" s="49" t="s">
        <v>615</v>
      </c>
      <c r="B14" s="499">
        <f>IFERROR(VLOOKUP($A14,'PP DS Query'!$C$1:$R$1005,5,FALSE),0)</f>
        <v>2049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1933179.16</v>
      </c>
      <c r="G14" s="523">
        <f>IFERROR(VLOOKUP($A14,'PP DS Query'!$C$1:$R$1005,7,FALSE),0)</f>
        <v>10.39974696</v>
      </c>
      <c r="H14" s="358">
        <f>IFERROR(VLOOKUP($A14,'PP DS Query'!$C$1:$R$1005,8,FALSE),0)</f>
        <v>20104574.100000001</v>
      </c>
      <c r="I14" s="523">
        <f>IFERROR(VLOOKUP($A14,'PP DS Query'!$C$1:$R$1005,9,FALSE),0)</f>
        <v>30</v>
      </c>
      <c r="J14" s="358">
        <f>IFERROR(VLOOKUP($A14,'PP DS Query'!$C$1:$R$1005,10,FALSE),0)</f>
        <v>57995374.799999997</v>
      </c>
      <c r="K14" s="523">
        <f>IFERROR(VLOOKUP($A14,'PP DS Query'!$C$1:$R$1005,11,FALSE),0)</f>
        <v>19.545589</v>
      </c>
      <c r="L14" s="358">
        <f>IFERROR(VLOOKUP($A14,'PP DS Query'!$C$1:$R$1005,12,FALSE),0)</f>
        <v>37785125.32</v>
      </c>
      <c r="M14" s="19">
        <f>IFERROR(VLOOKUP($A14,'PP DS Query'!$C$1:$R$1005,13,FALSE),0)</f>
        <v>0.35535136000000001</v>
      </c>
      <c r="N14" s="358">
        <f>IFERROR(VLOOKUP($A14,'PP DS Query'!$C$1:$R$1005,14,FALSE),0)</f>
        <v>686957.85</v>
      </c>
      <c r="O14" s="56">
        <f>IFERROR(VLOOKUP($A14,'PP DS Query'!$C$1:$R$1005,4,FALSE),0)</f>
        <v>-0.02</v>
      </c>
      <c r="P14" s="358">
        <f>-IFERROR(VLOOKUP($A14,'PP DS Query'!$C$1:$R$1005,15,FALSE),0)</f>
        <v>38663.58</v>
      </c>
      <c r="Q14" s="358">
        <f>IFERROR(VLOOKUP($A14,'PP DS Query'!$C$1:$R$1005,16,FALSE),0)</f>
        <v>337678.98</v>
      </c>
      <c r="R14" s="48"/>
      <c r="S14" s="472">
        <f t="shared" ref="S14:S15" si="0">IFERROR(ROUND(LEFT(A14,7)*100,0),0)</f>
        <v>34144</v>
      </c>
      <c r="T14" s="472" t="s">
        <v>963</v>
      </c>
      <c r="U14" s="474">
        <f>IFERROR(VLOOKUP($S14,#REF!,7,FALSE),0)</f>
        <v>0</v>
      </c>
      <c r="V14" s="473">
        <f t="shared" ref="V14:V15" si="1">U14-F14</f>
        <v>-1933179.16</v>
      </c>
    </row>
    <row r="15" spans="1:24" ht="15.95" customHeight="1" thickBot="1" x14ac:dyDescent="0.25">
      <c r="A15" s="49" t="s">
        <v>616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61">
        <f>IFERROR(VLOOKUP($A15,'PP DS Query'!$C$1:$R$1005,2,FALSE),0)</f>
        <v>0</v>
      </c>
      <c r="F15" s="250">
        <f>IFERROR(VLOOKUP($A15,'PP DS Query'!$C$1:$R$1005,6,FALSE),0)</f>
        <v>0</v>
      </c>
      <c r="G15" s="524">
        <f>IFERROR(VLOOKUP($A15,'PP DS Query'!$C$1:$R$1005,7,FALSE),0)</f>
        <v>0</v>
      </c>
      <c r="H15" s="250">
        <f>IFERROR(VLOOKUP($A15,'PP DS Query'!$C$1:$R$1005,8,FALSE),0)</f>
        <v>0</v>
      </c>
      <c r="I15" s="524">
        <f>IFERROR(VLOOKUP($A15,'PP DS Query'!$C$1:$R$1005,9,FALSE),0)</f>
        <v>0</v>
      </c>
      <c r="J15" s="250">
        <f>IFERROR(VLOOKUP($A15,'PP DS Query'!$C$1:$R$1005,10,FALSE),0)</f>
        <v>0</v>
      </c>
      <c r="K15" s="524">
        <f>IFERROR(VLOOKUP($A15,'PP DS Query'!$C$1:$R$1005,11,FALSE),0)</f>
        <v>0</v>
      </c>
      <c r="L15" s="250">
        <f>IFERROR(VLOOKUP($A15,'PP DS Query'!$C$1:$R$1005,12,FALSE),0)</f>
        <v>0</v>
      </c>
      <c r="M15" s="21">
        <f>IFERROR(VLOOKUP($A15,'PP DS Query'!$C$1:$R$1005,13,FALSE),0)</f>
        <v>0</v>
      </c>
      <c r="N15" s="250">
        <f>IFERROR(VLOOKUP($A15,'PP DS Query'!$C$1:$R$1005,14,FALSE),0)</f>
        <v>0</v>
      </c>
      <c r="O15" s="57">
        <f>IFERROR(VLOOKUP($A15,'PP DS Query'!$C$1:$R$1005,4,FALSE),0)</f>
        <v>0</v>
      </c>
      <c r="P15" s="250">
        <f>-IFERROR(VLOOKUP($A15,'PP DS Query'!$C$1:$R$1005,15,FALSE),0)</f>
        <v>0</v>
      </c>
      <c r="Q15" s="250">
        <f>IFERROR(VLOOKUP($A15,'PP DS Query'!$C$1:$R$1005,16,FALSE),0)</f>
        <v>0</v>
      </c>
      <c r="R15" s="48"/>
      <c r="S15" s="472">
        <f t="shared" si="0"/>
        <v>34144</v>
      </c>
      <c r="T15" s="472" t="s">
        <v>964</v>
      </c>
      <c r="U15" s="475">
        <f>IFERROR(VLOOKUP($S15,#REF!,8,FALSE),0)</f>
        <v>0</v>
      </c>
      <c r="V15" s="476">
        <f t="shared" si="1"/>
        <v>0</v>
      </c>
      <c r="X15" s="497"/>
    </row>
    <row r="16" spans="1:24" ht="15.95" customHeight="1" x14ac:dyDescent="0.2">
      <c r="A16" s="49" t="s">
        <v>617</v>
      </c>
      <c r="B16" s="499">
        <f>IFERROR(VLOOKUP($A16,'PP DS Query'!$C$1:$R$1005,5,FALSE),0)</f>
        <v>2049</v>
      </c>
      <c r="C16" s="33"/>
      <c r="D16" s="34"/>
      <c r="E16" s="15"/>
      <c r="F16" s="443">
        <f>IFERROR(VLOOKUP($A16,'PP DS Query'!$C$1:$R$1005,6,FALSE),0)</f>
        <v>3311083.09</v>
      </c>
      <c r="G16" s="525">
        <f>IFERROR(VLOOKUP($A16,'PP DS Query'!$C$1:$R$1005,7,FALSE),0)</f>
        <v>10.441467166563919</v>
      </c>
      <c r="H16" s="443">
        <f>IFERROR(VLOOKUP($A16,'PP DS Query'!$C$1:$R$1005,8,FALSE),0)</f>
        <v>34572565.370000005</v>
      </c>
      <c r="I16" s="525">
        <f>IFERROR(VLOOKUP($A16,'PP DS Query'!$C$1:$R$1005,9,FALSE),0)</f>
        <v>34.16149003980447</v>
      </c>
      <c r="J16" s="443">
        <f>IFERROR(VLOOKUP($A16,'PP DS Query'!$C$1:$R$1005,10,FALSE),0)</f>
        <v>113111532</v>
      </c>
      <c r="K16" s="525">
        <f>IFERROR(VLOOKUP($A16,'PP DS Query'!$C$1:$R$1005,11,FALSE),0)</f>
        <v>23.688107222944982</v>
      </c>
      <c r="L16" s="443">
        <f>IFERROR(VLOOKUP($A16,'PP DS Query'!$C$1:$R$1005,12,FALSE),0)</f>
        <v>78433291.25999999</v>
      </c>
      <c r="M16" s="445">
        <f>IFERROR(VLOOKUP($A16,'PP DS Query'!$C$1:$R$1005,13,FALSE),0)</f>
        <v>0.31889614404089145</v>
      </c>
      <c r="N16" s="443">
        <f>IFERROR(VLOOKUP($A16,'PP DS Query'!$C$1:$R$1005,14,FALSE),0)</f>
        <v>1055891.6299999999</v>
      </c>
      <c r="O16" s="446">
        <f>IFERROR(VLOOKUP($A16,'PP DS Query'!$C$1:$R$1005,4,FALSE),0)</f>
        <v>-0.02</v>
      </c>
      <c r="P16" s="443">
        <f>-IFERROR(VLOOKUP($A16,'PP DS Query'!$C$1:$R$1005,15,FALSE),0)</f>
        <v>66221.66</v>
      </c>
      <c r="Q16" s="443">
        <f>IFERROR(VLOOKUP($A16,'PP DS Query'!$C$1:$R$1005,16,FALSE),0)</f>
        <v>519030.98</v>
      </c>
      <c r="R16" s="48"/>
      <c r="U16" s="473">
        <f>SUM(U13:U15)</f>
        <v>0</v>
      </c>
      <c r="V16" s="473">
        <f>SUM(V13:V15)</f>
        <v>-3311083.09</v>
      </c>
      <c r="X16" s="497"/>
    </row>
    <row r="17" spans="1:24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  <c r="X17" s="497"/>
    </row>
    <row r="18" spans="1:24" ht="15.95" customHeight="1" x14ac:dyDescent="0.2">
      <c r="A18" s="49"/>
      <c r="B18" s="49"/>
      <c r="C18" s="232" t="s">
        <v>1193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4" ht="15.95" customHeight="1" x14ac:dyDescent="0.2">
      <c r="A19" s="49" t="s">
        <v>618</v>
      </c>
      <c r="B19" s="499">
        <f>IFERROR(VLOOKUP($A19,'PP DS Query'!$C$1:$R$1005,5,FALSE),0)</f>
        <v>2049</v>
      </c>
      <c r="C19" s="33">
        <f>IFERROR(VLOOKUP($A19,'PP DS Query'!$C$1:$R$1005,3,FALSE),0)</f>
        <v>40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2307722.5699999998</v>
      </c>
      <c r="G19" s="523">
        <f>IFERROR(VLOOKUP($A19,'PP DS Query'!$C$1:$R$1005,7,FALSE),0)</f>
        <v>10.5</v>
      </c>
      <c r="H19" s="358">
        <f>IFERROR(VLOOKUP($A19,'PP DS Query'!$C$1:$R$1005,8,FALSE),0)</f>
        <v>24231086.989999998</v>
      </c>
      <c r="I19" s="523">
        <f>IFERROR(VLOOKUP($A19,'PP DS Query'!$C$1:$R$1005,9,FALSE),0)</f>
        <v>40</v>
      </c>
      <c r="J19" s="358">
        <f>IFERROR(VLOOKUP($A19,'PP DS Query'!$C$1:$R$1005,10,FALSE),0)</f>
        <v>92308902.799999997</v>
      </c>
      <c r="K19" s="523">
        <f>IFERROR(VLOOKUP($A19,'PP DS Query'!$C$1:$R$1005,11,FALSE),0)</f>
        <v>29.5</v>
      </c>
      <c r="L19" s="358">
        <f>IFERROR(VLOOKUP($A19,'PP DS Query'!$C$1:$R$1005,12,FALSE),0)</f>
        <v>68077815.819999993</v>
      </c>
      <c r="M19" s="19">
        <f>IFERROR(VLOOKUP($A19,'PP DS Query'!$C$1:$R$1005,13,FALSE),0)</f>
        <v>0.27562500000000001</v>
      </c>
      <c r="N19" s="358">
        <f>IFERROR(VLOOKUP($A19,'PP DS Query'!$C$1:$R$1005,14,FALSE),0)</f>
        <v>636066.03</v>
      </c>
      <c r="O19" s="56">
        <f>IFERROR(VLOOKUP($A19,'PP DS Query'!$C$1:$R$1005,4,FALSE),0)</f>
        <v>-0.05</v>
      </c>
      <c r="P19" s="358">
        <f>-IFERROR(VLOOKUP($A19,'PP DS Query'!$C$1:$R$1005,15,FALSE),0)</f>
        <v>115386.13</v>
      </c>
      <c r="Q19" s="358">
        <f>IFERROR(VLOOKUP($A19,'PP DS Query'!$C$1:$R$1005,16,FALSE),0)</f>
        <v>652570.29</v>
      </c>
      <c r="R19" s="48"/>
      <c r="S19" s="472">
        <f>IFERROR(ROUND(LEFT(A19,7)*100,0),0)</f>
        <v>34244</v>
      </c>
      <c r="T19" s="472" t="s">
        <v>962</v>
      </c>
      <c r="U19" s="474">
        <f>IFERROR(VLOOKUP($S19,#REF!,6,FALSE),0)</f>
        <v>0</v>
      </c>
      <c r="V19" s="473">
        <f>U19-F19</f>
        <v>-2307722.5699999998</v>
      </c>
    </row>
    <row r="20" spans="1:24" ht="15.95" customHeight="1" x14ac:dyDescent="0.2">
      <c r="A20" s="49" t="s">
        <v>619</v>
      </c>
      <c r="B20" s="499">
        <f>IFERROR(VLOOKUP($A20,'PP DS Query'!$C$1:$R$1005,5,FALSE),0)</f>
        <v>0</v>
      </c>
      <c r="C20" s="33">
        <f>IFERROR(VLOOKUP($A20,'PP DS Query'!$C$1:$R$1005,3,FALSE),0)</f>
        <v>0</v>
      </c>
      <c r="D20" s="34" t="s">
        <v>22</v>
      </c>
      <c r="E20" s="360">
        <f>IFERROR(VLOOKUP($A20,'PP DS Query'!$C$1:$R$1005,2,FALSE),0)</f>
        <v>0</v>
      </c>
      <c r="F20" s="358">
        <f>IFERROR(VLOOKUP($A20,'PP DS Query'!$C$1:$R$1005,6,FALSE),0)</f>
        <v>0</v>
      </c>
      <c r="G20" s="523">
        <f>IFERROR(VLOOKUP($A20,'PP DS Query'!$C$1:$R$1005,7,FALSE),0)</f>
        <v>0</v>
      </c>
      <c r="H20" s="358">
        <f>IFERROR(VLOOKUP($A20,'PP DS Query'!$C$1:$R$1005,8,FALSE),0)</f>
        <v>0</v>
      </c>
      <c r="I20" s="523">
        <f>IFERROR(VLOOKUP($A20,'PP DS Query'!$C$1:$R$1005,9,FALSE),0)</f>
        <v>0</v>
      </c>
      <c r="J20" s="358">
        <f>IFERROR(VLOOKUP($A20,'PP DS Query'!$C$1:$R$1005,10,FALSE),0)</f>
        <v>0</v>
      </c>
      <c r="K20" s="523">
        <f>IFERROR(VLOOKUP($A20,'PP DS Query'!$C$1:$R$1005,11,FALSE),0)</f>
        <v>0</v>
      </c>
      <c r="L20" s="358">
        <f>IFERROR(VLOOKUP($A20,'PP DS Query'!$C$1:$R$1005,12,FALSE),0)</f>
        <v>0</v>
      </c>
      <c r="M20" s="19">
        <f>IFERROR(VLOOKUP($A20,'PP DS Query'!$C$1:$R$1005,13,FALSE),0)</f>
        <v>0</v>
      </c>
      <c r="N20" s="358">
        <f>IFERROR(VLOOKUP($A20,'PP DS Query'!$C$1:$R$1005,14,FALSE),0)</f>
        <v>0</v>
      </c>
      <c r="O20" s="56">
        <f>IFERROR(VLOOKUP($A20,'PP DS Query'!$C$1:$R$1005,4,FALSE),0)</f>
        <v>0</v>
      </c>
      <c r="P20" s="358">
        <f>-IFERROR(VLOOKUP($A20,'PP DS Query'!$C$1:$R$1005,15,FALSE),0)</f>
        <v>0</v>
      </c>
      <c r="Q20" s="358">
        <f>IFERROR(VLOOKUP($A20,'PP DS Query'!$C$1:$R$1005,16,FALSE),0)</f>
        <v>0</v>
      </c>
      <c r="R20" s="48"/>
      <c r="S20" s="472">
        <f t="shared" ref="S20:S21" si="2">IFERROR(ROUND(LEFT(A20,7)*100,0),0)</f>
        <v>34244</v>
      </c>
      <c r="T20" s="472" t="s">
        <v>963</v>
      </c>
      <c r="U20" s="474">
        <f>IFERROR(VLOOKUP($S20,#REF!,7,FALSE),0)</f>
        <v>0</v>
      </c>
      <c r="V20" s="473">
        <f t="shared" ref="V20:V21" si="3">U20-F20</f>
        <v>0</v>
      </c>
    </row>
    <row r="21" spans="1:24" ht="15.95" customHeight="1" thickBot="1" x14ac:dyDescent="0.25">
      <c r="A21" s="49" t="s">
        <v>620</v>
      </c>
      <c r="B21" s="499">
        <f>IFERROR(VLOOKUP($A21,'PP DS Query'!$C$1:$R$1005,5,FALSE),0)</f>
        <v>2049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45458.9</v>
      </c>
      <c r="G21" s="524">
        <f>IFERROR(VLOOKUP($A21,'PP DS Query'!$C$1:$R$1005,7,FALSE),0)</f>
        <v>5.6775223300000004</v>
      </c>
      <c r="H21" s="250">
        <f>IFERROR(VLOOKUP($A21,'PP DS Query'!$C$1:$R$1005,8,FALSE),0)</f>
        <v>258093.92</v>
      </c>
      <c r="I21" s="524">
        <f>IFERROR(VLOOKUP($A21,'PP DS Query'!$C$1:$R$1005,9,FALSE),0)</f>
        <v>20</v>
      </c>
      <c r="J21" s="250">
        <f>IFERROR(VLOOKUP($A21,'PP DS Query'!$C$1:$R$1005,10,FALSE),0)</f>
        <v>909178</v>
      </c>
      <c r="K21" s="524">
        <f>IFERROR(VLOOKUP($A21,'PP DS Query'!$C$1:$R$1005,11,FALSE),0)</f>
        <v>14.329784</v>
      </c>
      <c r="L21" s="250">
        <f>IFERROR(VLOOKUP($A21,'PP DS Query'!$C$1:$R$1005,12,FALSE),0)</f>
        <v>651416.22</v>
      </c>
      <c r="M21" s="21">
        <f>IFERROR(VLOOKUP($A21,'PP DS Query'!$C$1:$R$1005,13,FALSE),0)</f>
        <v>0.29768625999999998</v>
      </c>
      <c r="N21" s="250">
        <f>IFERROR(VLOOKUP($A21,'PP DS Query'!$C$1:$R$1005,14,FALSE),0)</f>
        <v>13532.49</v>
      </c>
      <c r="O21" s="57">
        <f>IFERROR(VLOOKUP($A21,'PP DS Query'!$C$1:$R$1005,4,FALSE),0)</f>
        <v>-0.05</v>
      </c>
      <c r="P21" s="250">
        <f>-IFERROR(VLOOKUP($A21,'PP DS Query'!$C$1:$R$1005,15,FALSE),0)</f>
        <v>2272.9499999999998</v>
      </c>
      <c r="Q21" s="250">
        <f>IFERROR(VLOOKUP($A21,'PP DS Query'!$C$1:$R$1005,16,FALSE),0)</f>
        <v>13774.45</v>
      </c>
      <c r="R21" s="48"/>
      <c r="S21" s="472">
        <f t="shared" si="2"/>
        <v>34244</v>
      </c>
      <c r="T21" s="472" t="s">
        <v>964</v>
      </c>
      <c r="U21" s="475">
        <f>IFERROR(VLOOKUP($S21,#REF!,8,FALSE),0)</f>
        <v>0</v>
      </c>
      <c r="V21" s="476">
        <f t="shared" si="3"/>
        <v>-45458.9</v>
      </c>
    </row>
    <row r="22" spans="1:24" ht="15.95" customHeight="1" x14ac:dyDescent="0.2">
      <c r="A22" s="49" t="s">
        <v>621</v>
      </c>
      <c r="B22" s="499">
        <f>IFERROR(VLOOKUP($A22,'PP DS Query'!$C$1:$R$1005,5,FALSE),0)</f>
        <v>2049</v>
      </c>
      <c r="C22" s="33"/>
      <c r="D22" s="34"/>
      <c r="E22" s="15"/>
      <c r="F22" s="443">
        <f>IFERROR(VLOOKUP($A22,'PP DS Query'!$C$1:$R$1005,6,FALSE),0)</f>
        <v>2353181.4699999997</v>
      </c>
      <c r="G22" s="525">
        <f>IFERROR(VLOOKUP($A22,'PP DS Query'!$C$1:$R$1005,7,FALSE),0)</f>
        <v>10.406839090909552</v>
      </c>
      <c r="H22" s="443">
        <f>IFERROR(VLOOKUP($A22,'PP DS Query'!$C$1:$R$1005,8,FALSE),0)</f>
        <v>24489180.91</v>
      </c>
      <c r="I22" s="525">
        <f>IFERROR(VLOOKUP($A22,'PP DS Query'!$C$1:$R$1005,9,FALSE),0)</f>
        <v>39.613638807040246</v>
      </c>
      <c r="J22" s="443">
        <f>IFERROR(VLOOKUP($A22,'PP DS Query'!$C$1:$R$1005,10,FALSE),0)</f>
        <v>93218080.799999997</v>
      </c>
      <c r="K22" s="525">
        <f>IFERROR(VLOOKUP($A22,'PP DS Query'!$C$1:$R$1005,11,FALSE),0)</f>
        <v>29.20694086546585</v>
      </c>
      <c r="L22" s="443">
        <f>IFERROR(VLOOKUP($A22,'PP DS Query'!$C$1:$R$1005,12,FALSE),0)</f>
        <v>68729232.039999992</v>
      </c>
      <c r="M22" s="445">
        <f>IFERROR(VLOOKUP($A22,'PP DS Query'!$C$1:$R$1005,13,FALSE),0)</f>
        <v>0.27605117934232248</v>
      </c>
      <c r="N22" s="443">
        <f>IFERROR(VLOOKUP($A22,'PP DS Query'!$C$1:$R$1005,14,FALSE),0)</f>
        <v>649598.52</v>
      </c>
      <c r="O22" s="446">
        <f>IFERROR(VLOOKUP($A22,'PP DS Query'!$C$1:$R$1005,4,FALSE),0)</f>
        <v>-0.05</v>
      </c>
      <c r="P22" s="443">
        <f>-IFERROR(VLOOKUP($A22,'PP DS Query'!$C$1:$R$1005,15,FALSE),0)</f>
        <v>117659.08</v>
      </c>
      <c r="Q22" s="443">
        <f>IFERROR(VLOOKUP($A22,'PP DS Query'!$C$1:$R$1005,16,FALSE),0)</f>
        <v>666344.74</v>
      </c>
      <c r="R22" s="48"/>
      <c r="U22" s="473">
        <f>SUM(U19:U21)</f>
        <v>0</v>
      </c>
      <c r="V22" s="473">
        <f>SUM(V19:V21)</f>
        <v>-2353181.4699999997</v>
      </c>
    </row>
    <row r="23" spans="1:24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4" ht="15.95" customHeight="1" x14ac:dyDescent="0.2">
      <c r="A24" s="49"/>
      <c r="B24" s="49"/>
      <c r="C24" s="232" t="s">
        <v>1194</v>
      </c>
      <c r="E24" s="360"/>
      <c r="G24" s="523"/>
      <c r="I24" s="523"/>
      <c r="K24" s="523"/>
      <c r="O24" s="59"/>
      <c r="P24" s="29"/>
      <c r="Q24" s="29"/>
      <c r="R24" s="48"/>
    </row>
    <row r="25" spans="1:24" ht="15.95" customHeight="1" x14ac:dyDescent="0.2">
      <c r="A25" s="49" t="s">
        <v>622</v>
      </c>
      <c r="B25" s="499">
        <f>IFERROR(VLOOKUP($A25,'PP DS Query'!$C$1:$R$1005,5,FALSE),0)</f>
        <v>2049</v>
      </c>
      <c r="C25" s="33">
        <f>IFERROR(VLOOKUP($A25,'PP DS Query'!$C$1:$R$1005,3,FALSE),0)</f>
        <v>40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2108275</v>
      </c>
      <c r="G25" s="523">
        <f>IFERROR(VLOOKUP($A25,'PP DS Query'!$C$1:$R$1005,7,FALSE),0)</f>
        <v>10.103720989999999</v>
      </c>
      <c r="H25" s="358">
        <f>IFERROR(VLOOKUP($A25,'PP DS Query'!$C$1:$R$1005,8,FALSE),0)</f>
        <v>21301422.359999999</v>
      </c>
      <c r="I25" s="523">
        <f>IFERROR(VLOOKUP($A25,'PP DS Query'!$C$1:$R$1005,9,FALSE),0)</f>
        <v>39.51</v>
      </c>
      <c r="J25" s="358">
        <f>IFERROR(VLOOKUP($A25,'PP DS Query'!$C$1:$R$1005,10,FALSE),0)</f>
        <v>83297945.25</v>
      </c>
      <c r="K25" s="523">
        <f>IFERROR(VLOOKUP($A25,'PP DS Query'!$C$1:$R$1005,11,FALSE),0)</f>
        <v>29.5</v>
      </c>
      <c r="L25" s="358">
        <f>IFERROR(VLOOKUP($A25,'PP DS Query'!$C$1:$R$1005,12,FALSE),0)</f>
        <v>62194112.5</v>
      </c>
      <c r="M25" s="19">
        <f>IFERROR(VLOOKUP($A25,'PP DS Query'!$C$1:$R$1005,13,FALSE),0)</f>
        <v>0.27110851000000002</v>
      </c>
      <c r="N25" s="358">
        <f>IFERROR(VLOOKUP($A25,'PP DS Query'!$C$1:$R$1005,14,FALSE),0)</f>
        <v>571571.29</v>
      </c>
      <c r="O25" s="56">
        <f>IFERROR(VLOOKUP($A25,'PP DS Query'!$C$1:$R$1005,4,FALSE),0)</f>
        <v>-7.0000000000000007E-2</v>
      </c>
      <c r="P25" s="358">
        <f>-IFERROR(VLOOKUP($A25,'PP DS Query'!$C$1:$R$1005,15,FALSE),0)</f>
        <v>147579.25</v>
      </c>
      <c r="Q25" s="358">
        <f>IFERROR(VLOOKUP($A25,'PP DS Query'!$C$1:$R$1005,16,FALSE),0)</f>
        <v>684817.51</v>
      </c>
      <c r="R25" s="48"/>
      <c r="S25" s="472">
        <f>IFERROR(ROUND(LEFT(A25,7)*100,0),0)</f>
        <v>34344</v>
      </c>
      <c r="T25" s="472" t="s">
        <v>962</v>
      </c>
      <c r="U25" s="474">
        <f>IFERROR(VLOOKUP($S25,#REF!,6,FALSE),0)</f>
        <v>0</v>
      </c>
      <c r="V25" s="473">
        <f>U25-F25</f>
        <v>-2108275</v>
      </c>
    </row>
    <row r="26" spans="1:24" ht="15.95" customHeight="1" x14ac:dyDescent="0.2">
      <c r="A26" s="49" t="s">
        <v>623</v>
      </c>
      <c r="B26" s="499">
        <f>IFERROR(VLOOKUP($A26,'PP DS Query'!$C$1:$R$1005,5,FALSE),0)</f>
        <v>2049</v>
      </c>
      <c r="C26" s="33">
        <f>IFERROR(VLOOKUP($A26,'PP DS Query'!$C$1:$R$1005,3,FALSE),0)</f>
        <v>30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16083891.66</v>
      </c>
      <c r="G26" s="523">
        <f>IFERROR(VLOOKUP($A26,'PP DS Query'!$C$1:$R$1005,7,FALSE),0)</f>
        <v>9.4834491199999995</v>
      </c>
      <c r="H26" s="358">
        <f>IFERROR(VLOOKUP($A26,'PP DS Query'!$C$1:$R$1005,8,FALSE),0)</f>
        <v>152530768.16999999</v>
      </c>
      <c r="I26" s="523">
        <f>IFERROR(VLOOKUP($A26,'PP DS Query'!$C$1:$R$1005,9,FALSE),0)</f>
        <v>29.8</v>
      </c>
      <c r="J26" s="358">
        <f>IFERROR(VLOOKUP($A26,'PP DS Query'!$C$1:$R$1005,10,FALSE),0)</f>
        <v>479299971.47000003</v>
      </c>
      <c r="K26" s="523">
        <f>IFERROR(VLOOKUP($A26,'PP DS Query'!$C$1:$R$1005,11,FALSE),0)</f>
        <v>20.310752000000001</v>
      </c>
      <c r="L26" s="358">
        <f>IFERROR(VLOOKUP($A26,'PP DS Query'!$C$1:$R$1005,12,FALSE),0)</f>
        <v>326675934.69999999</v>
      </c>
      <c r="M26" s="19">
        <f>IFERROR(VLOOKUP($A26,'PP DS Query'!$C$1:$R$1005,13,FALSE),0)</f>
        <v>0.34071432000000001</v>
      </c>
      <c r="N26" s="358">
        <f>IFERROR(VLOOKUP($A26,'PP DS Query'!$C$1:$R$1005,14,FALSE),0)</f>
        <v>5480012.1900000004</v>
      </c>
      <c r="O26" s="56">
        <f>IFERROR(VLOOKUP($A26,'PP DS Query'!$C$1:$R$1005,4,FALSE),0)</f>
        <v>-7.0000000000000007E-2</v>
      </c>
      <c r="P26" s="358">
        <f>-IFERROR(VLOOKUP($A26,'PP DS Query'!$C$1:$R$1005,15,FALSE),0)</f>
        <v>1125872.42</v>
      </c>
      <c r="Q26" s="358">
        <f>IFERROR(VLOOKUP($A26,'PP DS Query'!$C$1:$R$1005,16,FALSE),0)</f>
        <v>6565774.6500000004</v>
      </c>
      <c r="R26" s="48"/>
      <c r="S26" s="472">
        <f t="shared" ref="S26:S27" si="4">IFERROR(ROUND(LEFT(A26,7)*100,0),0)</f>
        <v>34344</v>
      </c>
      <c r="T26" s="472" t="s">
        <v>963</v>
      </c>
      <c r="U26" s="474">
        <f>IFERROR(VLOOKUP($S26,#REF!,7,FALSE),0)</f>
        <v>0</v>
      </c>
      <c r="V26" s="473">
        <f t="shared" ref="V26:V27" si="5">U26-F26</f>
        <v>-16083891.66</v>
      </c>
    </row>
    <row r="27" spans="1:24" ht="15.95" customHeight="1" thickBot="1" x14ac:dyDescent="0.25">
      <c r="A27" s="49" t="s">
        <v>624</v>
      </c>
      <c r="B27" s="499">
        <f>IFERROR(VLOOKUP($A27,'PP DS Query'!$C$1:$R$1005,5,FALSE),0)</f>
        <v>2049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1556639.37</v>
      </c>
      <c r="G27" s="524">
        <f>IFERROR(VLOOKUP($A27,'PP DS Query'!$C$1:$R$1005,7,FALSE),0)</f>
        <v>9.3636588100000004</v>
      </c>
      <c r="H27" s="250">
        <f>IFERROR(VLOOKUP($A27,'PP DS Query'!$C$1:$R$1005,8,FALSE),0)</f>
        <v>14575839.949999999</v>
      </c>
      <c r="I27" s="524">
        <f>IFERROR(VLOOKUP($A27,'PP DS Query'!$C$1:$R$1005,9,FALSE),0)</f>
        <v>20</v>
      </c>
      <c r="J27" s="250">
        <f>IFERROR(VLOOKUP($A27,'PP DS Query'!$C$1:$R$1005,10,FALSE),0)</f>
        <v>31132787.399999999</v>
      </c>
      <c r="K27" s="524">
        <f>IFERROR(VLOOKUP($A27,'PP DS Query'!$C$1:$R$1005,11,FALSE),0)</f>
        <v>10.860607999999999</v>
      </c>
      <c r="L27" s="250">
        <f>IFERROR(VLOOKUP($A27,'PP DS Query'!$C$1:$R$1005,12,FALSE),0)</f>
        <v>16906049.989999998</v>
      </c>
      <c r="M27" s="21">
        <f>IFERROR(VLOOKUP($A27,'PP DS Query'!$C$1:$R$1005,13,FALSE),0)</f>
        <v>0.48895745000000002</v>
      </c>
      <c r="N27" s="250">
        <f>IFERROR(VLOOKUP($A27,'PP DS Query'!$C$1:$R$1005,14,FALSE),0)</f>
        <v>761130.41</v>
      </c>
      <c r="O27" s="57">
        <f>IFERROR(VLOOKUP($A27,'PP DS Query'!$C$1:$R$1005,4,FALSE),0)</f>
        <v>-7.0000000000000007E-2</v>
      </c>
      <c r="P27" s="250">
        <f>-IFERROR(VLOOKUP($A27,'PP DS Query'!$C$1:$R$1005,15,FALSE),0)</f>
        <v>108964.76</v>
      </c>
      <c r="Q27" s="250">
        <f>IFERROR(VLOOKUP($A27,'PP DS Query'!$C$1:$R$1005,16,FALSE),0)</f>
        <v>911934.24</v>
      </c>
      <c r="R27" s="48"/>
      <c r="S27" s="472">
        <f t="shared" si="4"/>
        <v>34344</v>
      </c>
      <c r="T27" s="472" t="s">
        <v>964</v>
      </c>
      <c r="U27" s="475">
        <f>IFERROR(VLOOKUP($S27,#REF!,8,FALSE),0)</f>
        <v>0</v>
      </c>
      <c r="V27" s="476">
        <f t="shared" si="5"/>
        <v>-1556639.37</v>
      </c>
    </row>
    <row r="28" spans="1:24" ht="15.95" customHeight="1" x14ac:dyDescent="0.2">
      <c r="A28" s="49" t="s">
        <v>625</v>
      </c>
      <c r="B28" s="499">
        <f>IFERROR(VLOOKUP($A28,'PP DS Query'!$C$1:$R$1005,5,FALSE),0)</f>
        <v>2049</v>
      </c>
      <c r="C28" s="33"/>
      <c r="D28" s="34"/>
      <c r="E28" s="15"/>
      <c r="F28" s="443">
        <f>IFERROR(VLOOKUP($A28,'PP DS Query'!$C$1:$R$1005,6,FALSE),0)</f>
        <v>19748806.030000001</v>
      </c>
      <c r="G28" s="525">
        <f>IFERROR(VLOOKUP($A28,'PP DS Query'!$C$1:$R$1005,7,FALSE),0)</f>
        <v>9.5402238599999993</v>
      </c>
      <c r="H28" s="443">
        <f>IFERROR(VLOOKUP($A28,'PP DS Query'!$C$1:$R$1005,8,FALSE),0)</f>
        <v>188408030.47999999</v>
      </c>
      <c r="I28" s="525">
        <f>IFERROR(VLOOKUP($A28,'PP DS Query'!$C$1:$R$1005,9,FALSE),0)</f>
        <v>30.064131629999999</v>
      </c>
      <c r="J28" s="443">
        <f>IFERROR(VLOOKUP($A28,'PP DS Query'!$C$1:$R$1005,10,FALSE),0)</f>
        <v>593730704.12</v>
      </c>
      <c r="K28" s="525">
        <f>IFERROR(VLOOKUP($A28,'PP DS Query'!$C$1:$R$1005,11,FALSE),0)</f>
        <v>20.54686732</v>
      </c>
      <c r="L28" s="443">
        <f>IFERROR(VLOOKUP($A28,'PP DS Query'!$C$1:$R$1005,12,FALSE),0)</f>
        <v>405776097.19999999</v>
      </c>
      <c r="M28" s="445">
        <f>IFERROR(VLOOKUP($A28,'PP DS Query'!$C$1:$R$1005,13,FALSE),0)</f>
        <v>0.34496839000000001</v>
      </c>
      <c r="N28" s="443">
        <f>IFERROR(VLOOKUP($A28,'PP DS Query'!$C$1:$R$1005,14,FALSE),0)</f>
        <v>6812713.8899999997</v>
      </c>
      <c r="O28" s="446">
        <f>IFERROR(VLOOKUP($A28,'PP DS Query'!$C$1:$R$1005,4,FALSE),0)</f>
        <v>-7.0000000000000007E-2</v>
      </c>
      <c r="P28" s="443">
        <f>-IFERROR(VLOOKUP($A28,'PP DS Query'!$C$1:$R$1005,15,FALSE),0)</f>
        <v>1382416.42</v>
      </c>
      <c r="Q28" s="443">
        <f>IFERROR(VLOOKUP($A28,'PP DS Query'!$C$1:$R$1005,16,FALSE),0)</f>
        <v>8162526.4000000004</v>
      </c>
      <c r="R28" s="48"/>
      <c r="U28" s="473">
        <f>SUM(U25:U27)</f>
        <v>0</v>
      </c>
      <c r="V28" s="473">
        <f>SUM(V25:V27)</f>
        <v>-19748806.030000001</v>
      </c>
    </row>
    <row r="29" spans="1:24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4" ht="15.95" customHeight="1" x14ac:dyDescent="0.2">
      <c r="A30" s="49"/>
      <c r="B30" s="49"/>
      <c r="C30" s="232" t="s">
        <v>1195</v>
      </c>
      <c r="E30" s="360"/>
      <c r="G30" s="523"/>
      <c r="I30" s="523"/>
      <c r="K30" s="523"/>
      <c r="O30" s="59"/>
      <c r="P30" s="29"/>
      <c r="Q30" s="29"/>
      <c r="R30" s="48"/>
    </row>
    <row r="31" spans="1:24" ht="15.95" customHeight="1" x14ac:dyDescent="0.2">
      <c r="A31" s="49" t="s">
        <v>626</v>
      </c>
      <c r="B31" s="499">
        <f>IFERROR(VLOOKUP($A31,'PP DS Query'!$C$1:$R$1005,5,FALSE),0)</f>
        <v>2049</v>
      </c>
      <c r="C31" s="33">
        <f>IFERROR(VLOOKUP($A31,'PP DS Query'!$C$1:$R$1005,3,FALSE),0)</f>
        <v>40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10760221.800000001</v>
      </c>
      <c r="G31" s="523">
        <f>IFERROR(VLOOKUP($A31,'PP DS Query'!$C$1:$R$1005,7,FALSE),0)</f>
        <v>10.489903610000001</v>
      </c>
      <c r="H31" s="358">
        <f>IFERROR(VLOOKUP($A31,'PP DS Query'!$C$1:$R$1005,8,FALSE),0)</f>
        <v>112873689.45999999</v>
      </c>
      <c r="I31" s="523">
        <f>IFERROR(VLOOKUP($A31,'PP DS Query'!$C$1:$R$1005,9,FALSE),0)</f>
        <v>39.99</v>
      </c>
      <c r="J31" s="358">
        <f>IFERROR(VLOOKUP($A31,'PP DS Query'!$C$1:$R$1005,10,FALSE),0)</f>
        <v>430301269.77999997</v>
      </c>
      <c r="K31" s="523">
        <f>IFERROR(VLOOKUP($A31,'PP DS Query'!$C$1:$R$1005,11,FALSE),0)</f>
        <v>29.5</v>
      </c>
      <c r="L31" s="358">
        <f>IFERROR(VLOOKUP($A31,'PP DS Query'!$C$1:$R$1005,12,FALSE),0)</f>
        <v>317426543.10000002</v>
      </c>
      <c r="M31" s="19">
        <f>IFERROR(VLOOKUP($A31,'PP DS Query'!$C$1:$R$1005,13,FALSE),0)</f>
        <v>0.27540782000000003</v>
      </c>
      <c r="N31" s="358">
        <f>IFERROR(VLOOKUP($A31,'PP DS Query'!$C$1:$R$1005,14,FALSE),0)</f>
        <v>2963449.25</v>
      </c>
      <c r="O31" s="56">
        <f>IFERROR(VLOOKUP($A31,'PP DS Query'!$C$1:$R$1005,4,FALSE),0)</f>
        <v>-0.05</v>
      </c>
      <c r="P31" s="358">
        <f>-IFERROR(VLOOKUP($A31,'PP DS Query'!$C$1:$R$1005,15,FALSE),0)</f>
        <v>538011.09</v>
      </c>
      <c r="Q31" s="358">
        <f>IFERROR(VLOOKUP($A31,'PP DS Query'!$C$1:$R$1005,16,FALSE),0)</f>
        <v>3189036.4</v>
      </c>
      <c r="R31" s="48"/>
      <c r="S31" s="472">
        <f>IFERROR(ROUND(LEFT(A31,7)*100,0),0)</f>
        <v>34544</v>
      </c>
      <c r="T31" s="472" t="s">
        <v>962</v>
      </c>
      <c r="U31" s="474">
        <f>IFERROR(VLOOKUP($S31,#REF!,6,FALSE),0)</f>
        <v>0</v>
      </c>
      <c r="V31" s="473">
        <f>U31-F31</f>
        <v>-10760221.800000001</v>
      </c>
    </row>
    <row r="32" spans="1:24" ht="15.95" customHeight="1" x14ac:dyDescent="0.2">
      <c r="A32" s="49" t="s">
        <v>627</v>
      </c>
      <c r="B32" s="499">
        <f>IFERROR(VLOOKUP($A32,'PP DS Query'!$C$1:$R$1005,5,FALSE),0)</f>
        <v>2049</v>
      </c>
      <c r="C32" s="33">
        <f>IFERROR(VLOOKUP($A32,'PP DS Query'!$C$1:$R$1005,3,FALSE),0)</f>
        <v>30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1915300.39</v>
      </c>
      <c r="G32" s="523">
        <f>IFERROR(VLOOKUP($A32,'PP DS Query'!$C$1:$R$1005,7,FALSE),0)</f>
        <v>10.32475966</v>
      </c>
      <c r="H32" s="358">
        <f>IFERROR(VLOOKUP($A32,'PP DS Query'!$C$1:$R$1005,8,FALSE),0)</f>
        <v>19775016.199999999</v>
      </c>
      <c r="I32" s="523">
        <f>IFERROR(VLOOKUP($A32,'PP DS Query'!$C$1:$R$1005,9,FALSE),0)</f>
        <v>29.97</v>
      </c>
      <c r="J32" s="358">
        <f>IFERROR(VLOOKUP($A32,'PP DS Query'!$C$1:$R$1005,10,FALSE),0)</f>
        <v>57401552.689999998</v>
      </c>
      <c r="K32" s="523">
        <f>IFERROR(VLOOKUP($A32,'PP DS Query'!$C$1:$R$1005,11,FALSE),0)</f>
        <v>19.605642</v>
      </c>
      <c r="L32" s="358">
        <f>IFERROR(VLOOKUP($A32,'PP DS Query'!$C$1:$R$1005,12,FALSE),0)</f>
        <v>37550693.770000003</v>
      </c>
      <c r="M32" s="19">
        <f>IFERROR(VLOOKUP($A32,'PP DS Query'!$C$1:$R$1005,13,FALSE),0)</f>
        <v>0.36316642999999998</v>
      </c>
      <c r="N32" s="358">
        <f>IFERROR(VLOOKUP($A32,'PP DS Query'!$C$1:$R$1005,14,FALSE),0)</f>
        <v>695572.81</v>
      </c>
      <c r="O32" s="56">
        <f>IFERROR(VLOOKUP($A32,'PP DS Query'!$C$1:$R$1005,4,FALSE),0)</f>
        <v>-0.05</v>
      </c>
      <c r="P32" s="358">
        <f>-IFERROR(VLOOKUP($A32,'PP DS Query'!$C$1:$R$1005,15,FALSE),0)</f>
        <v>95765.02</v>
      </c>
      <c r="Q32" s="358">
        <f>IFERROR(VLOOKUP($A32,'PP DS Query'!$C$1:$R$1005,16,FALSE),0)</f>
        <v>748522.02</v>
      </c>
      <c r="R32" s="48"/>
      <c r="S32" s="472">
        <f t="shared" ref="S32:S33" si="6">IFERROR(ROUND(LEFT(A32,7)*100,0),0)</f>
        <v>34544</v>
      </c>
      <c r="T32" s="472" t="s">
        <v>963</v>
      </c>
      <c r="U32" s="474">
        <f>IFERROR(VLOOKUP($S32,#REF!,7,FALSE),0)</f>
        <v>0</v>
      </c>
      <c r="V32" s="473">
        <f t="shared" ref="V32:V33" si="7">U32-F32</f>
        <v>-1915300.39</v>
      </c>
    </row>
    <row r="33" spans="1:22" ht="15.95" customHeight="1" thickBot="1" x14ac:dyDescent="0.25">
      <c r="A33" s="49" t="s">
        <v>628</v>
      </c>
      <c r="B33" s="499">
        <f>IFERROR(VLOOKUP($A33,'PP DS Query'!$C$1:$R$1005,5,FALSE),0)</f>
        <v>2049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2242878.4</v>
      </c>
      <c r="G33" s="524">
        <f>IFERROR(VLOOKUP($A33,'PP DS Query'!$C$1:$R$1005,7,FALSE),0)</f>
        <v>10.448367429999999</v>
      </c>
      <c r="H33" s="250">
        <f>IFERROR(VLOOKUP($A33,'PP DS Query'!$C$1:$R$1005,8,FALSE),0)</f>
        <v>23434417.620000001</v>
      </c>
      <c r="I33" s="524">
        <f>IFERROR(VLOOKUP($A33,'PP DS Query'!$C$1:$R$1005,9,FALSE),0)</f>
        <v>20</v>
      </c>
      <c r="J33" s="250">
        <f>IFERROR(VLOOKUP($A33,'PP DS Query'!$C$1:$R$1005,10,FALSE),0)</f>
        <v>44857568</v>
      </c>
      <c r="K33" s="524">
        <f>IFERROR(VLOOKUP($A33,'PP DS Query'!$C$1:$R$1005,11,FALSE),0)</f>
        <v>9.8177520000000005</v>
      </c>
      <c r="L33" s="250">
        <f>IFERROR(VLOOKUP($A33,'PP DS Query'!$C$1:$R$1005,12,FALSE),0)</f>
        <v>22020023.899999999</v>
      </c>
      <c r="M33" s="21">
        <f>IFERROR(VLOOKUP($A33,'PP DS Query'!$C$1:$R$1005,13,FALSE),0)</f>
        <v>0.53456802000000003</v>
      </c>
      <c r="N33" s="250">
        <f>IFERROR(VLOOKUP($A33,'PP DS Query'!$C$1:$R$1005,14,FALSE),0)</f>
        <v>1198971.06</v>
      </c>
      <c r="O33" s="57">
        <f>IFERROR(VLOOKUP($A33,'PP DS Query'!$C$1:$R$1005,4,FALSE),0)</f>
        <v>-0.05</v>
      </c>
      <c r="P33" s="250">
        <f>-IFERROR(VLOOKUP($A33,'PP DS Query'!$C$1:$R$1005,15,FALSE),0)</f>
        <v>112143.92</v>
      </c>
      <c r="Q33" s="250">
        <f>IFERROR(VLOOKUP($A33,'PP DS Query'!$C$1:$R$1005,16,FALSE),0)</f>
        <v>1290240.53</v>
      </c>
      <c r="R33" s="48"/>
      <c r="S33" s="472">
        <f t="shared" si="6"/>
        <v>34544</v>
      </c>
      <c r="T33" s="472" t="s">
        <v>964</v>
      </c>
      <c r="U33" s="475">
        <f>IFERROR(VLOOKUP($S33,#REF!,8,FALSE),0)</f>
        <v>0</v>
      </c>
      <c r="V33" s="476">
        <f t="shared" si="7"/>
        <v>-2242878.4</v>
      </c>
    </row>
    <row r="34" spans="1:22" ht="15.95" customHeight="1" x14ac:dyDescent="0.2">
      <c r="A34" s="49" t="s">
        <v>629</v>
      </c>
      <c r="B34" s="499">
        <f>IFERROR(VLOOKUP($A34,'PP DS Query'!$C$1:$R$1005,5,FALSE),0)</f>
        <v>2049</v>
      </c>
      <c r="C34" s="33"/>
      <c r="D34" s="34"/>
      <c r="E34" s="15"/>
      <c r="F34" s="443">
        <f>IFERROR(VLOOKUP($A34,'PP DS Query'!$C$1:$R$1005,6,FALSE),0)</f>
        <v>14918400.59</v>
      </c>
      <c r="G34" s="525">
        <f>IFERROR(VLOOKUP($A34,'PP DS Query'!$C$1:$R$1005,7,FALSE),0)</f>
        <v>10.46245691</v>
      </c>
      <c r="H34" s="443">
        <f>IFERROR(VLOOKUP($A34,'PP DS Query'!$C$1:$R$1005,8,FALSE),0)</f>
        <v>156083123.28</v>
      </c>
      <c r="I34" s="525">
        <f>IFERROR(VLOOKUP($A34,'PP DS Query'!$C$1:$R$1005,9,FALSE),0)</f>
        <v>35.698222960000003</v>
      </c>
      <c r="J34" s="443">
        <f>IFERROR(VLOOKUP($A34,'PP DS Query'!$C$1:$R$1005,10,FALSE),0)</f>
        <v>532560390.47000003</v>
      </c>
      <c r="K34" s="525">
        <f>IFERROR(VLOOKUP($A34,'PP DS Query'!$C$1:$R$1005,11,FALSE),0)</f>
        <v>25.270621909999999</v>
      </c>
      <c r="L34" s="443">
        <f>IFERROR(VLOOKUP($A34,'PP DS Query'!$C$1:$R$1005,12,FALSE),0)</f>
        <v>376997260.76999998</v>
      </c>
      <c r="M34" s="445">
        <f>IFERROR(VLOOKUP($A34,'PP DS Query'!$C$1:$R$1005,13,FALSE),0)</f>
        <v>0.32563766</v>
      </c>
      <c r="N34" s="443">
        <f>IFERROR(VLOOKUP($A34,'PP DS Query'!$C$1:$R$1005,14,FALSE),0)</f>
        <v>4857993.12</v>
      </c>
      <c r="O34" s="446">
        <f>IFERROR(VLOOKUP($A34,'PP DS Query'!$C$1:$R$1005,4,FALSE),0)</f>
        <v>-0.05</v>
      </c>
      <c r="P34" s="443">
        <f>-IFERROR(VLOOKUP($A34,'PP DS Query'!$C$1:$R$1005,15,FALSE),0)</f>
        <v>745920.03</v>
      </c>
      <c r="Q34" s="443">
        <f>IFERROR(VLOOKUP($A34,'PP DS Query'!$C$1:$R$1005,16,FALSE),0)</f>
        <v>5227798.95</v>
      </c>
      <c r="R34" s="48"/>
      <c r="U34" s="473">
        <f>SUM(U31:U33)</f>
        <v>0</v>
      </c>
      <c r="V34" s="473">
        <f>SUM(V31:V33)</f>
        <v>-14918400.590000002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1196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630</v>
      </c>
      <c r="B37" s="499">
        <f>IFERROR(VLOOKUP($A37,'PP DS Query'!$C$1:$R$1005,5,FALSE),0)</f>
        <v>2049</v>
      </c>
      <c r="C37" s="33">
        <f>IFERROR(VLOOKUP($A37,'PP DS Query'!$C$1:$R$1005,3,FALSE),0)</f>
        <v>40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206790.28</v>
      </c>
      <c r="G37" s="523">
        <f>IFERROR(VLOOKUP($A37,'PP DS Query'!$C$1:$R$1005,7,FALSE),0)</f>
        <v>10.12233288</v>
      </c>
      <c r="H37" s="358">
        <f>IFERROR(VLOOKUP($A37,'PP DS Query'!$C$1:$R$1005,8,FALSE),0)</f>
        <v>2093200.05</v>
      </c>
      <c r="I37" s="523">
        <f>IFERROR(VLOOKUP($A37,'PP DS Query'!$C$1:$R$1005,9,FALSE),0)</f>
        <v>39.6</v>
      </c>
      <c r="J37" s="358">
        <f>IFERROR(VLOOKUP($A37,'PP DS Query'!$C$1:$R$1005,10,FALSE),0)</f>
        <v>8188895.0899999999</v>
      </c>
      <c r="K37" s="523">
        <f>IFERROR(VLOOKUP($A37,'PP DS Query'!$C$1:$R$1005,11,FALSE),0)</f>
        <v>29.5</v>
      </c>
      <c r="L37" s="358">
        <f>IFERROR(VLOOKUP($A37,'PP DS Query'!$C$1:$R$1005,12,FALSE),0)</f>
        <v>6100313.2599999998</v>
      </c>
      <c r="M37" s="19">
        <f>IFERROR(VLOOKUP($A37,'PP DS Query'!$C$1:$R$1005,13,FALSE),0)</f>
        <v>0.26007160000000001</v>
      </c>
      <c r="N37" s="358">
        <f>IFERROR(VLOOKUP($A37,'PP DS Query'!$C$1:$R$1005,14,FALSE),0)</f>
        <v>53780.28</v>
      </c>
      <c r="O37" s="56">
        <f>IFERROR(VLOOKUP($A37,'PP DS Query'!$C$1:$R$1005,4,FALSE),0)</f>
        <v>-0.02</v>
      </c>
      <c r="P37" s="358">
        <f>-IFERROR(VLOOKUP($A37,'PP DS Query'!$C$1:$R$1005,15,FALSE),0)</f>
        <v>4135.8100000000004</v>
      </c>
      <c r="Q37" s="358">
        <f>IFERROR(VLOOKUP($A37,'PP DS Query'!$C$1:$R$1005,16,FALSE),0)</f>
        <v>55754.11</v>
      </c>
      <c r="R37" s="48"/>
      <c r="S37" s="472">
        <f>IFERROR(ROUND(LEFT(A37,7)*100,0),0)</f>
        <v>34644</v>
      </c>
      <c r="T37" s="472" t="s">
        <v>962</v>
      </c>
      <c r="U37" s="474">
        <f>IFERROR(VLOOKUP($S37,#REF!,6,FALSE),0)</f>
        <v>0</v>
      </c>
      <c r="V37" s="473">
        <f>U37-F37</f>
        <v>-206790.28</v>
      </c>
    </row>
    <row r="38" spans="1:22" ht="15.95" customHeight="1" x14ac:dyDescent="0.2">
      <c r="A38" s="49" t="s">
        <v>631</v>
      </c>
      <c r="B38" s="499">
        <f>IFERROR(VLOOKUP($A38,'PP DS Query'!$C$1:$R$1005,5,FALSE),0)</f>
        <v>2049</v>
      </c>
      <c r="C38" s="33">
        <f>IFERROR(VLOOKUP($A38,'PP DS Query'!$C$1:$R$1005,3,FALSE),0)</f>
        <v>30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303874.43</v>
      </c>
      <c r="G38" s="523">
        <f>IFERROR(VLOOKUP($A38,'PP DS Query'!$C$1:$R$1005,7,FALSE),0)</f>
        <v>10.3998589</v>
      </c>
      <c r="H38" s="358">
        <f>IFERROR(VLOOKUP($A38,'PP DS Query'!$C$1:$R$1005,8,FALSE),0)</f>
        <v>3160251.2</v>
      </c>
      <c r="I38" s="523">
        <f>IFERROR(VLOOKUP($A38,'PP DS Query'!$C$1:$R$1005,9,FALSE),0)</f>
        <v>30</v>
      </c>
      <c r="J38" s="358">
        <f>IFERROR(VLOOKUP($A38,'PP DS Query'!$C$1:$R$1005,10,FALSE),0)</f>
        <v>9116232.9000000004</v>
      </c>
      <c r="K38" s="523">
        <f>IFERROR(VLOOKUP($A38,'PP DS Query'!$C$1:$R$1005,11,FALSE),0)</f>
        <v>19.547896999999999</v>
      </c>
      <c r="L38" s="358">
        <f>IFERROR(VLOOKUP($A38,'PP DS Query'!$C$1:$R$1005,12,FALSE),0)</f>
        <v>5940106.0599999996</v>
      </c>
      <c r="M38" s="19">
        <f>IFERROR(VLOOKUP($A38,'PP DS Query'!$C$1:$R$1005,13,FALSE),0)</f>
        <v>0.35537149000000001</v>
      </c>
      <c r="N38" s="358">
        <f>IFERROR(VLOOKUP($A38,'PP DS Query'!$C$1:$R$1005,14,FALSE),0)</f>
        <v>107988.31</v>
      </c>
      <c r="O38" s="56">
        <f>IFERROR(VLOOKUP($A38,'PP DS Query'!$C$1:$R$1005,4,FALSE),0)</f>
        <v>-0.02</v>
      </c>
      <c r="P38" s="358">
        <f>-IFERROR(VLOOKUP($A38,'PP DS Query'!$C$1:$R$1005,15,FALSE),0)</f>
        <v>6077.49</v>
      </c>
      <c r="Q38" s="358">
        <f>IFERROR(VLOOKUP($A38,'PP DS Query'!$C$1:$R$1005,16,FALSE),0)</f>
        <v>111951.67</v>
      </c>
      <c r="R38" s="48"/>
      <c r="S38" s="472">
        <f t="shared" ref="S38:S39" si="8">IFERROR(ROUND(LEFT(A38,7)*100,0),0)</f>
        <v>34644</v>
      </c>
      <c r="T38" s="472" t="s">
        <v>963</v>
      </c>
      <c r="U38" s="474">
        <f>IFERROR(VLOOKUP($S38,#REF!,7,FALSE),0)</f>
        <v>0</v>
      </c>
      <c r="V38" s="473">
        <f t="shared" ref="V38:V39" si="9">U38-F38</f>
        <v>-303874.43</v>
      </c>
    </row>
    <row r="39" spans="1:22" ht="15.95" customHeight="1" thickBot="1" x14ac:dyDescent="0.25">
      <c r="A39" s="396" t="s">
        <v>936</v>
      </c>
      <c r="B39" s="499">
        <f>IFERROR(VLOOKUP($A39,'PP DS Query'!$C$1:$R$1005,5,FALSE),0)</f>
        <v>0</v>
      </c>
      <c r="C39" s="33">
        <f>IFERROR(VLOOKUP($A39,'PP DS Query'!$C$1:$R$1005,3,FALSE),0)</f>
        <v>0</v>
      </c>
      <c r="D39" s="34" t="s">
        <v>22</v>
      </c>
      <c r="E39" s="61">
        <f>IFERROR(VLOOKUP($A39,'PP DS Query'!$C$1:$R$1005,2,FALSE),0)</f>
        <v>0</v>
      </c>
      <c r="F39" s="250">
        <f>IFERROR(VLOOKUP($A39,'PP DS Query'!$C$1:$R$1005,6,FALSE),0)</f>
        <v>0</v>
      </c>
      <c r="G39" s="524">
        <f>IFERROR(VLOOKUP($A39,'PP DS Query'!$C$1:$R$1005,7,FALSE),0)</f>
        <v>0</v>
      </c>
      <c r="H39" s="250">
        <f>IFERROR(VLOOKUP($A39,'PP DS Query'!$C$1:$R$1005,8,FALSE),0)</f>
        <v>0</v>
      </c>
      <c r="I39" s="524">
        <f>IFERROR(VLOOKUP($A39,'PP DS Query'!$C$1:$R$1005,9,FALSE),0)</f>
        <v>0</v>
      </c>
      <c r="J39" s="250">
        <f>IFERROR(VLOOKUP($A39,'PP DS Query'!$C$1:$R$1005,10,FALSE),0)</f>
        <v>0</v>
      </c>
      <c r="K39" s="524">
        <f>IFERROR(VLOOKUP($A39,'PP DS Query'!$C$1:$R$1005,11,FALSE),0)</f>
        <v>0</v>
      </c>
      <c r="L39" s="250">
        <f>IFERROR(VLOOKUP($A39,'PP DS Query'!$C$1:$R$1005,12,FALSE),0)</f>
        <v>0</v>
      </c>
      <c r="M39" s="21">
        <f>IFERROR(VLOOKUP($A39,'PP DS Query'!$C$1:$R$1005,13,FALSE),0)</f>
        <v>0</v>
      </c>
      <c r="N39" s="250">
        <f>IFERROR(VLOOKUP($A39,'PP DS Query'!$C$1:$R$1005,14,FALSE),0)</f>
        <v>0</v>
      </c>
      <c r="O39" s="57">
        <f>IFERROR(VLOOKUP($A39,'PP DS Query'!$C$1:$R$1005,4,FALSE),0)</f>
        <v>0</v>
      </c>
      <c r="P39" s="250">
        <f>-IFERROR(VLOOKUP($A39,'PP DS Query'!$C$1:$R$1005,15,FALSE),0)</f>
        <v>0</v>
      </c>
      <c r="Q39" s="250">
        <f>IFERROR(VLOOKUP($A39,'PP DS Query'!$C$1:$R$1005,16,FALSE),0)</f>
        <v>0</v>
      </c>
      <c r="R39" s="48"/>
      <c r="S39" s="472">
        <f t="shared" si="8"/>
        <v>34644</v>
      </c>
      <c r="T39" s="472" t="s">
        <v>964</v>
      </c>
      <c r="U39" s="475">
        <f>IFERROR(VLOOKUP($S39,#REF!,8,FALSE),0)</f>
        <v>0</v>
      </c>
      <c r="V39" s="476">
        <f t="shared" si="9"/>
        <v>0</v>
      </c>
    </row>
    <row r="40" spans="1:22" ht="15.95" customHeight="1" x14ac:dyDescent="0.2">
      <c r="A40" s="49" t="s">
        <v>632</v>
      </c>
      <c r="B40" s="499">
        <f>IFERROR(VLOOKUP($A40,'PP DS Query'!$C$1:$R$1005,5,FALSE),0)</f>
        <v>2049</v>
      </c>
      <c r="C40" s="33"/>
      <c r="D40" s="34"/>
      <c r="E40" s="15"/>
      <c r="F40" s="443">
        <f>IFERROR(VLOOKUP($A40,'PP DS Query'!$C$1:$R$1005,6,FALSE),0)</f>
        <v>510664.71</v>
      </c>
      <c r="G40" s="525">
        <f>IFERROR(VLOOKUP($A40,'PP DS Query'!$C$1:$R$1005,7,FALSE),0)</f>
        <v>10.28747658</v>
      </c>
      <c r="H40" s="443">
        <f>IFERROR(VLOOKUP($A40,'PP DS Query'!$C$1:$R$1005,8,FALSE),0)</f>
        <v>5253451.25</v>
      </c>
      <c r="I40" s="525">
        <f>IFERROR(VLOOKUP($A40,'PP DS Query'!$C$1:$R$1005,9,FALSE),0)</f>
        <v>33.887456190000002</v>
      </c>
      <c r="J40" s="443">
        <f>IFERROR(VLOOKUP($A40,'PP DS Query'!$C$1:$R$1005,10,FALSE),0)</f>
        <v>17305127.989999998</v>
      </c>
      <c r="K40" s="525">
        <f>IFERROR(VLOOKUP($A40,'PP DS Query'!$C$1:$R$1005,11,FALSE),0)</f>
        <v>23.57793496</v>
      </c>
      <c r="L40" s="443">
        <f>IFERROR(VLOOKUP($A40,'PP DS Query'!$C$1:$R$1005,12,FALSE),0)</f>
        <v>12040419.32</v>
      </c>
      <c r="M40" s="445">
        <f>IFERROR(VLOOKUP($A40,'PP DS Query'!$C$1:$R$1005,13,FALSE),0)</f>
        <v>0.31678044</v>
      </c>
      <c r="N40" s="443">
        <f>IFERROR(VLOOKUP($A40,'PP DS Query'!$C$1:$R$1005,14,FALSE),0)</f>
        <v>161768.59</v>
      </c>
      <c r="O40" s="446">
        <f>IFERROR(VLOOKUP($A40,'PP DS Query'!$C$1:$R$1005,4,FALSE),0)</f>
        <v>-0.02</v>
      </c>
      <c r="P40" s="443">
        <f>-IFERROR(VLOOKUP($A40,'PP DS Query'!$C$1:$R$1005,15,FALSE),0)</f>
        <v>10213.290000000001</v>
      </c>
      <c r="Q40" s="443">
        <f>IFERROR(VLOOKUP($A40,'PP DS Query'!$C$1:$R$1005,16,FALSE),0)</f>
        <v>167705.78</v>
      </c>
      <c r="R40" s="48"/>
      <c r="U40" s="473">
        <f>SUM(U37:U39)</f>
        <v>0</v>
      </c>
      <c r="V40" s="473">
        <f>SUM(V37:V39)</f>
        <v>-510664.70999999996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CT Unit #4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40</v>
      </c>
      <c r="D44" s="34" t="s">
        <v>22</v>
      </c>
      <c r="E44" s="360" t="s">
        <v>359</v>
      </c>
      <c r="F44" s="358">
        <f>F13+F19+F25+F31+F37</f>
        <v>16760913.58</v>
      </c>
      <c r="G44" s="523">
        <f>IF($F44=0,0,H44/$F44)</f>
        <v>10.439012724150087</v>
      </c>
      <c r="H44" s="358">
        <f>H13+H19+H25+H31+H37</f>
        <v>174967390.13</v>
      </c>
      <c r="I44" s="523">
        <f>IF($F44=0,0,J44/$F44)</f>
        <v>39.927010358107225</v>
      </c>
      <c r="J44" s="358">
        <f>J13+J19+J25+J31+J37</f>
        <v>669213170.12</v>
      </c>
      <c r="K44" s="523">
        <f>IF($F44=0,0,L44/$F44)</f>
        <v>29.500000000596625</v>
      </c>
      <c r="L44" s="358">
        <f>L13+L19+L25+L31+L37</f>
        <v>494446950.62</v>
      </c>
      <c r="M44" s="19">
        <f>IF($F44=0,0,N44/$F44)</f>
        <v>0.27407817647133287</v>
      </c>
      <c r="N44" s="358">
        <f>N13+N19+N25+N31+N37</f>
        <v>4593800.63</v>
      </c>
      <c r="O44" s="56">
        <f>-IF($F44=0,0,P44/$F44)</f>
        <v>-4.9679294390825211E-2</v>
      </c>
      <c r="P44" s="358">
        <f t="shared" ref="P44:P46" si="10">P13+P19+P25+P31+P37</f>
        <v>832670.3600000001</v>
      </c>
      <c r="Q44" s="358">
        <f>Q13+Q19+Q25+Q31+Q37</f>
        <v>4763530.3100000005</v>
      </c>
      <c r="R44" s="48"/>
    </row>
    <row r="45" spans="1:22" ht="15.95" customHeight="1" x14ac:dyDescent="0.2">
      <c r="A45" s="49"/>
      <c r="B45" s="49"/>
      <c r="C45" s="33">
        <v>30</v>
      </c>
      <c r="D45" s="34" t="s">
        <v>22</v>
      </c>
      <c r="E45" s="360" t="s">
        <v>405</v>
      </c>
      <c r="F45" s="358">
        <f>F14+F20+F26+F32+F38</f>
        <v>20236245.640000001</v>
      </c>
      <c r="G45" s="523">
        <f>IF($F45=0,0,H45/$F45)</f>
        <v>9.6643721937939446</v>
      </c>
      <c r="H45" s="358">
        <f>H14+H20+H26+H32+H38</f>
        <v>195570609.66999996</v>
      </c>
      <c r="I45" s="523">
        <f>IF($F45=0,0,J45/$F45)</f>
        <v>29.838199367696546</v>
      </c>
      <c r="J45" s="358">
        <f>J14+J20+J26+J32+J38</f>
        <v>603813131.86000001</v>
      </c>
      <c r="K45" s="523">
        <f>IF($F45=0,0,L45/$F45)</f>
        <v>20.159463722046414</v>
      </c>
      <c r="L45" s="358">
        <f>L14+L20+L26+L32+L38</f>
        <v>407951859.84999996</v>
      </c>
      <c r="M45" s="19">
        <f>IF($F45=0,0,N45/$F45)</f>
        <v>0.34445772620103454</v>
      </c>
      <c r="N45" s="358">
        <f>N14+N20+N26+N32+N38</f>
        <v>6970531.1599999992</v>
      </c>
      <c r="O45" s="56">
        <f>-IF($F45=0,0,P45/$F45)</f>
        <v>-6.2579716244243022E-2</v>
      </c>
      <c r="P45" s="358">
        <f t="shared" si="10"/>
        <v>1266378.51</v>
      </c>
      <c r="Q45" s="358">
        <f>Q14+Q20+Q26+Q32+Q38</f>
        <v>7763927.3200000003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3844976.67</v>
      </c>
      <c r="G46" s="524">
        <f>IF($F46=0,0,H46/$F46)</f>
        <v>9.9528176044823713</v>
      </c>
      <c r="H46" s="250">
        <f>H15+H21+H27+H33+H39</f>
        <v>38268351.490000002</v>
      </c>
      <c r="I46" s="524">
        <f>IF($F46=0,0,J46/$F46)</f>
        <v>20.000000000000004</v>
      </c>
      <c r="J46" s="250">
        <f>J15+J21+J27+J33+J39</f>
        <v>76899533.400000006</v>
      </c>
      <c r="K46" s="524">
        <f>IF($F46=0,0,L46/$F46)</f>
        <v>10.293297855042642</v>
      </c>
      <c r="L46" s="250">
        <f>L15+L21+L27+L33+L39</f>
        <v>39577490.109999999</v>
      </c>
      <c r="M46" s="21">
        <f>IF($F46=0,0,N46/$F46)</f>
        <v>0.51330193376699995</v>
      </c>
      <c r="N46" s="250">
        <f>N15+N21+N27+N33+N39</f>
        <v>1973633.96</v>
      </c>
      <c r="O46" s="57">
        <f>-IF($F46=0,0,P46/$F46)</f>
        <v>-5.8097005306406713E-2</v>
      </c>
      <c r="P46" s="250">
        <f t="shared" si="10"/>
        <v>223381.63</v>
      </c>
      <c r="Q46" s="250">
        <f>Q15+Q21+Q27+Q33+Q39</f>
        <v>2215949.2199999997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40842135.890000001</v>
      </c>
      <c r="G47" s="525">
        <f>IF($F47=0,0,H47/$F47)</f>
        <v>10.00942635299576</v>
      </c>
      <c r="H47" s="443">
        <f>SUM(H44:H46)</f>
        <v>408806351.28999996</v>
      </c>
      <c r="I47" s="525">
        <f>IF($F47=0,0,J47/$F47)</f>
        <v>33.052283039646881</v>
      </c>
      <c r="J47" s="443">
        <f>SUM(J44:J46)</f>
        <v>1349925835.3800001</v>
      </c>
      <c r="K47" s="525">
        <f>IF($F47=0,0,L47/$F47)</f>
        <v>23.063835425184958</v>
      </c>
      <c r="L47" s="443">
        <f>SUM(L44:L46)</f>
        <v>941976300.58000004</v>
      </c>
      <c r="M47" s="445">
        <f>IF($F47=0,0,N47/$F47)</f>
        <v>0.33147056232469724</v>
      </c>
      <c r="N47" s="443">
        <f>SUM(N44:N46)</f>
        <v>13537965.75</v>
      </c>
      <c r="O47" s="446">
        <f>-IF($F47=0,0,P47/$F47)</f>
        <v>-5.6863590735190608E-2</v>
      </c>
      <c r="P47" s="443">
        <f>SUM(P44:P46)</f>
        <v>2322430.5</v>
      </c>
      <c r="Q47" s="443">
        <f>SUM(Q44:Q46)</f>
        <v>14743406.850000001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34144</v>
      </c>
      <c r="F50" s="352">
        <f>IFERROR(VLOOKUP(E50,'2019 B-7'!C:P,14,FALSE),0)</f>
        <v>3311083.09</v>
      </c>
      <c r="G50" s="353">
        <f>F50-F16</f>
        <v>0</v>
      </c>
      <c r="P50" s="260">
        <f>E50</f>
        <v>34144</v>
      </c>
      <c r="Q50" s="352">
        <f>IFERROR(VLOOKUP(P50,'2019 B-9'!C:R,16,FALSE),0)</f>
        <v>519030.98000000021</v>
      </c>
      <c r="R50" s="353">
        <f>Q50-Q16</f>
        <v>0</v>
      </c>
    </row>
    <row r="51" spans="5:18" x14ac:dyDescent="0.2">
      <c r="E51" s="260">
        <v>34244</v>
      </c>
      <c r="F51" s="352">
        <f>IFERROR(VLOOKUP(E51,'2019 B-7'!C:P,14,FALSE),0)</f>
        <v>2353181.4699999997</v>
      </c>
      <c r="G51" s="353">
        <f>F51-F22</f>
        <v>0</v>
      </c>
      <c r="P51" s="260">
        <f t="shared" ref="P51:P54" si="11">E51</f>
        <v>34244</v>
      </c>
      <c r="Q51" s="352">
        <f>IFERROR(VLOOKUP(P51,'2019 B-9'!C:R,16,FALSE),0)</f>
        <v>666344.74000000069</v>
      </c>
      <c r="R51" s="353">
        <f>Q51-Q22</f>
        <v>0</v>
      </c>
    </row>
    <row r="52" spans="5:18" x14ac:dyDescent="0.2">
      <c r="E52" s="260">
        <v>34344</v>
      </c>
      <c r="F52" s="352">
        <f>IFERROR(VLOOKUP(E52,'2019 B-7'!C:P,14,FALSE),0)</f>
        <v>19748806.030000001</v>
      </c>
      <c r="G52" s="353">
        <f>F52-F28</f>
        <v>0</v>
      </c>
      <c r="P52" s="260">
        <f t="shared" si="11"/>
        <v>34344</v>
      </c>
      <c r="Q52" s="352">
        <f>IFERROR(VLOOKUP(P52,'2019 B-9'!C:R,16,FALSE),0)</f>
        <v>8162526.4000000041</v>
      </c>
      <c r="R52" s="353">
        <f>Q52-Q28</f>
        <v>0</v>
      </c>
    </row>
    <row r="53" spans="5:18" x14ac:dyDescent="0.2">
      <c r="E53" s="260">
        <v>34544</v>
      </c>
      <c r="F53" s="352">
        <f>IFERROR(VLOOKUP(E53,'2019 B-7'!C:P,14,FALSE),0)</f>
        <v>14918400.59</v>
      </c>
      <c r="G53" s="353">
        <f>F53-F34</f>
        <v>0</v>
      </c>
      <c r="P53" s="260">
        <f t="shared" si="11"/>
        <v>34544</v>
      </c>
      <c r="Q53" s="352">
        <f>IFERROR(VLOOKUP(P53,'2019 B-9'!C:R,16,FALSE),0)</f>
        <v>5227798.9499999955</v>
      </c>
      <c r="R53" s="353">
        <f>Q53-Q34</f>
        <v>0</v>
      </c>
    </row>
    <row r="54" spans="5:18" x14ac:dyDescent="0.2">
      <c r="E54" s="260">
        <v>34644</v>
      </c>
      <c r="F54" s="352">
        <f>IFERROR(VLOOKUP(E54,'2019 B-7'!C:P,14,FALSE),0)</f>
        <v>510664.71</v>
      </c>
      <c r="G54" s="353">
        <f>F54-F40</f>
        <v>0</v>
      </c>
      <c r="P54" s="260">
        <f t="shared" si="11"/>
        <v>34644</v>
      </c>
      <c r="Q54" s="352">
        <f>IFERROR(VLOOKUP(P54,'2019 B-9'!C:R,16,FALSE),0)</f>
        <v>167705.78000000017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40842135.890000001</v>
      </c>
      <c r="G55" s="354">
        <f>SUM(G50:G54)</f>
        <v>0</v>
      </c>
      <c r="P55" s="349" t="s">
        <v>40</v>
      </c>
      <c r="Q55" s="354">
        <f>SUM(Q50:Q54)</f>
        <v>14743406.85</v>
      </c>
      <c r="R55" s="354">
        <f>SUM(R50:R54)</f>
        <v>0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0</v>
      </c>
    </row>
    <row r="57" spans="5:18" x14ac:dyDescent="0.2">
      <c r="E57" s="29"/>
      <c r="G57" s="18"/>
    </row>
    <row r="58" spans="5:18" x14ac:dyDescent="0.2">
      <c r="E58" s="50"/>
      <c r="G58" s="18"/>
    </row>
    <row r="59" spans="5:18" x14ac:dyDescent="0.2">
      <c r="E59" s="50"/>
      <c r="G59" s="18"/>
    </row>
    <row r="60" spans="5:18" x14ac:dyDescent="0.2">
      <c r="E60" s="50"/>
      <c r="G60" s="29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140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30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1227</v>
      </c>
      <c r="E12" s="50"/>
      <c r="P12" s="18"/>
      <c r="Q12" s="18"/>
      <c r="R12" s="48"/>
    </row>
    <row r="13" spans="1:22" ht="15.95" customHeight="1" x14ac:dyDescent="0.2">
      <c r="A13" s="49" t="s">
        <v>596</v>
      </c>
      <c r="B13" s="499">
        <f>IFERROR(VLOOKUP($A13,'PP DS Query'!$C$1:$R$1005,5,FALSE),0)</f>
        <v>2049</v>
      </c>
      <c r="C13" s="33">
        <f>IFERROR(VLOOKUP($A13,'PP DS Query'!$C$1:$R$1005,3,FALSE),0)</f>
        <v>46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62305702.170000002</v>
      </c>
      <c r="G13" s="523">
        <f>IFERROR(VLOOKUP($A13,'PP DS Query'!$C$1:$R$1005,7,FALSE),0)</f>
        <v>17.85870817</v>
      </c>
      <c r="H13" s="358">
        <f>IFERROR(VLOOKUP($A13,'PP DS Query'!$C$1:$R$1005,8,FALSE),0)</f>
        <v>1112699352.4400001</v>
      </c>
      <c r="I13" s="523">
        <f>IFERROR(VLOOKUP($A13,'PP DS Query'!$C$1:$R$1005,9,FALSE),0)</f>
        <v>41.66</v>
      </c>
      <c r="J13" s="358">
        <f>IFERROR(VLOOKUP($A13,'PP DS Query'!$C$1:$R$1005,10,FALSE),0)</f>
        <v>2595655552.4000001</v>
      </c>
      <c r="K13" s="523">
        <f>IFERROR(VLOOKUP($A13,'PP DS Query'!$C$1:$R$1005,11,FALSE),0)</f>
        <v>25.807818999999999</v>
      </c>
      <c r="L13" s="358">
        <f>IFERROR(VLOOKUP($A13,'PP DS Query'!$C$1:$R$1005,12,FALSE),0)</f>
        <v>1607974284.27</v>
      </c>
      <c r="M13" s="19">
        <f>IFERROR(VLOOKUP($A13,'PP DS Query'!$C$1:$R$1005,13,FALSE),0)</f>
        <v>0.40065136000000001</v>
      </c>
      <c r="N13" s="358">
        <f>IFERROR(VLOOKUP($A13,'PP DS Query'!$C$1:$R$1005,14,FALSE),0)</f>
        <v>24962864.039999999</v>
      </c>
      <c r="O13" s="56">
        <f>IFERROR(VLOOKUP($A13,'PP DS Query'!$C$1:$R$1005,4,FALSE),0)</f>
        <v>-0.02</v>
      </c>
      <c r="P13" s="358">
        <f>-IFERROR(VLOOKUP($A13,'PP DS Query'!$C$1:$R$1005,15,FALSE),0)</f>
        <v>1246114.04</v>
      </c>
      <c r="Q13" s="358">
        <f>IFERROR(VLOOKUP($A13,'PP DS Query'!$C$1:$R$1005,16,FALSE),0)</f>
        <v>14178218.43</v>
      </c>
      <c r="R13" s="48"/>
      <c r="S13" s="472">
        <f>IFERROR(ROUND(LEFT(A13,7)*100,0),0)</f>
        <v>34130</v>
      </c>
      <c r="T13" s="472" t="s">
        <v>962</v>
      </c>
      <c r="U13" s="474">
        <f>IFERROR(VLOOKUP($S13,#REF!,6,FALSE),0)</f>
        <v>0</v>
      </c>
      <c r="V13" s="473">
        <f>U13-F13</f>
        <v>-62305702.170000002</v>
      </c>
    </row>
    <row r="14" spans="1:22" ht="15.95" customHeight="1" x14ac:dyDescent="0.2">
      <c r="A14" s="49" t="s">
        <v>597</v>
      </c>
      <c r="B14" s="499">
        <f>IFERROR(VLOOKUP($A14,'PP DS Query'!$C$1:$R$1005,5,FALSE),0)</f>
        <v>2049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12819310.18</v>
      </c>
      <c r="G14" s="523">
        <f>IFERROR(VLOOKUP($A14,'PP DS Query'!$C$1:$R$1005,7,FALSE),0)</f>
        <v>14.35476673</v>
      </c>
      <c r="H14" s="358">
        <f>IFERROR(VLOOKUP($A14,'PP DS Query'!$C$1:$R$1005,8,FALSE),0)</f>
        <v>184018207.21000001</v>
      </c>
      <c r="I14" s="523">
        <f>IFERROR(VLOOKUP($A14,'PP DS Query'!$C$1:$R$1005,9,FALSE),0)</f>
        <v>29.69</v>
      </c>
      <c r="J14" s="358">
        <f>IFERROR(VLOOKUP($A14,'PP DS Query'!$C$1:$R$1005,10,FALSE),0)</f>
        <v>380605319.24000001</v>
      </c>
      <c r="K14" s="523">
        <f>IFERROR(VLOOKUP($A14,'PP DS Query'!$C$1:$R$1005,11,FALSE),0)</f>
        <v>17.315231000000001</v>
      </c>
      <c r="L14" s="358">
        <f>IFERROR(VLOOKUP($A14,'PP DS Query'!$C$1:$R$1005,12,FALSE),0)</f>
        <v>221969317.03</v>
      </c>
      <c r="M14" s="19">
        <f>IFERROR(VLOOKUP($A14,'PP DS Query'!$C$1:$R$1005,13,FALSE),0)</f>
        <v>0.44338470000000002</v>
      </c>
      <c r="N14" s="358">
        <f>IFERROR(VLOOKUP($A14,'PP DS Query'!$C$1:$R$1005,14,FALSE),0)</f>
        <v>5683886</v>
      </c>
      <c r="O14" s="56">
        <f>IFERROR(VLOOKUP($A14,'PP DS Query'!$C$1:$R$1005,4,FALSE),0)</f>
        <v>-0.02</v>
      </c>
      <c r="P14" s="358">
        <f>-IFERROR(VLOOKUP($A14,'PP DS Query'!$C$1:$R$1005,15,FALSE),0)</f>
        <v>256386.2</v>
      </c>
      <c r="Q14" s="358">
        <f>IFERROR(VLOOKUP($A14,'PP DS Query'!$C$1:$R$1005,16,FALSE),0)</f>
        <v>3228290.52</v>
      </c>
      <c r="R14" s="48"/>
      <c r="S14" s="472">
        <f t="shared" ref="S14:S15" si="0">IFERROR(ROUND(LEFT(A14,7)*100,0),0)</f>
        <v>34130</v>
      </c>
      <c r="T14" s="472" t="s">
        <v>963</v>
      </c>
      <c r="U14" s="474">
        <f>IFERROR(VLOOKUP($S14,#REF!,7,FALSE),0)</f>
        <v>0</v>
      </c>
      <c r="V14" s="473">
        <f t="shared" ref="V14:V15" si="1">U14-F14</f>
        <v>-12819310.18</v>
      </c>
    </row>
    <row r="15" spans="1:22" ht="15.95" customHeight="1" x14ac:dyDescent="0.2">
      <c r="A15" s="49" t="s">
        <v>598</v>
      </c>
      <c r="B15" s="499">
        <f>IFERROR(VLOOKUP($A15,'PP DS Query'!$C$1:$R$1005,5,FALSE),0)</f>
        <v>2049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6422551.4400000004</v>
      </c>
      <c r="G15" s="523">
        <f>IFERROR(VLOOKUP($A15,'PP DS Query'!$C$1:$R$1005,7,FALSE),0)</f>
        <v>12.164279349999999</v>
      </c>
      <c r="H15" s="358">
        <f>IFERROR(VLOOKUP($A15,'PP DS Query'!$C$1:$R$1005,8,FALSE),0)</f>
        <v>78125709.849999994</v>
      </c>
      <c r="I15" s="523">
        <f>IFERROR(VLOOKUP($A15,'PP DS Query'!$C$1:$R$1005,9,FALSE),0)</f>
        <v>20</v>
      </c>
      <c r="J15" s="358">
        <f>IFERROR(VLOOKUP($A15,'PP DS Query'!$C$1:$R$1005,10,FALSE),0)</f>
        <v>128451028.8</v>
      </c>
      <c r="K15" s="523">
        <f>IFERROR(VLOOKUP($A15,'PP DS Query'!$C$1:$R$1005,11,FALSE),0)</f>
        <v>9.2590229999999991</v>
      </c>
      <c r="L15" s="358">
        <f>IFERROR(VLOOKUP($A15,'PP DS Query'!$C$1:$R$1005,12,FALSE),0)</f>
        <v>59466551.5</v>
      </c>
      <c r="M15" s="19">
        <f>IFERROR(VLOOKUP($A15,'PP DS Query'!$C$1:$R$1005,13,FALSE),0)</f>
        <v>0.54893175000000005</v>
      </c>
      <c r="N15" s="358">
        <f>IFERROR(VLOOKUP($A15,'PP DS Query'!$C$1:$R$1005,14,FALSE),0)</f>
        <v>3525542.37</v>
      </c>
      <c r="O15" s="56">
        <f>IFERROR(VLOOKUP($A15,'PP DS Query'!$C$1:$R$1005,4,FALSE),0)</f>
        <v>-0.02</v>
      </c>
      <c r="P15" s="358">
        <f>-IFERROR(VLOOKUP($A15,'PP DS Query'!$C$1:$R$1005,15,FALSE),0)</f>
        <v>128451.03</v>
      </c>
      <c r="Q15" s="358">
        <f>IFERROR(VLOOKUP($A15,'PP DS Query'!$C$1:$R$1005,16,FALSE),0)</f>
        <v>2002410.85</v>
      </c>
      <c r="R15" s="48"/>
      <c r="S15" s="472">
        <f t="shared" si="0"/>
        <v>34130</v>
      </c>
      <c r="T15" s="472" t="s">
        <v>964</v>
      </c>
      <c r="U15" s="474">
        <f>IFERROR(VLOOKUP($S15,#REF!,8,FALSE),0)</f>
        <v>0</v>
      </c>
      <c r="V15" s="473">
        <f t="shared" si="1"/>
        <v>-6422551.4400000004</v>
      </c>
    </row>
    <row r="16" spans="1:22" ht="15.95" customHeight="1" thickBot="1" x14ac:dyDescent="0.25">
      <c r="A16" s="396" t="s">
        <v>931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ref="S16" si="2">IFERROR(ROUND(LEFT(A16,7)*100,0),0)</f>
        <v>34130</v>
      </c>
      <c r="T16" s="472" t="s">
        <v>961</v>
      </c>
      <c r="U16" s="475">
        <f>IFERROR(VLOOKUP($S16,#REF!,9,FALSE),0)</f>
        <v>0</v>
      </c>
      <c r="V16" s="476">
        <f t="shared" ref="V16" si="3">U16-F16</f>
        <v>0</v>
      </c>
    </row>
    <row r="17" spans="1:22" ht="15.95" customHeight="1" x14ac:dyDescent="0.2">
      <c r="A17" s="49" t="s">
        <v>599</v>
      </c>
      <c r="B17" s="499">
        <f>IFERROR(VLOOKUP($A17,'PP DS Query'!$C$1:$R$1005,5,FALSE),0)</f>
        <v>2049</v>
      </c>
      <c r="C17" s="33"/>
      <c r="D17" s="34"/>
      <c r="E17" s="15"/>
      <c r="F17" s="443">
        <f>IFERROR(VLOOKUP($A17,'PP DS Query'!$C$1:$R$1005,6,FALSE),0)</f>
        <v>81547563.790000007</v>
      </c>
      <c r="G17" s="525">
        <f>IFERROR(VLOOKUP($A17,'PP DS Query'!$C$1:$R$1005,7,FALSE),0)</f>
        <v>16.85940334</v>
      </c>
      <c r="H17" s="443">
        <f>IFERROR(VLOOKUP($A17,'PP DS Query'!$C$1:$R$1005,8,FALSE),0)</f>
        <v>1374843269.5</v>
      </c>
      <c r="I17" s="525">
        <f>IFERROR(VLOOKUP($A17,'PP DS Query'!$C$1:$R$1005,9,FALSE),0)</f>
        <v>38.072405310000001</v>
      </c>
      <c r="J17" s="443">
        <f>IFERROR(VLOOKUP($A17,'PP DS Query'!$C$1:$R$1005,10,FALSE),0)</f>
        <v>3104711900.4499998</v>
      </c>
      <c r="K17" s="525">
        <f>IFERROR(VLOOKUP($A17,'PP DS Query'!$C$1:$R$1005,11,FALSE),0)</f>
        <v>23.16942487</v>
      </c>
      <c r="L17" s="443">
        <f>IFERROR(VLOOKUP($A17,'PP DS Query'!$C$1:$R$1005,12,FALSE),0)</f>
        <v>1889410152.8</v>
      </c>
      <c r="M17" s="445">
        <f>IFERROR(VLOOKUP($A17,'PP DS Query'!$C$1:$R$1005,13,FALSE),0)</f>
        <v>0.41904736999999997</v>
      </c>
      <c r="N17" s="443">
        <f>IFERROR(VLOOKUP($A17,'PP DS Query'!$C$1:$R$1005,14,FALSE),0)</f>
        <v>34172292.409999996</v>
      </c>
      <c r="O17" s="446">
        <f>IFERROR(VLOOKUP($A17,'PP DS Query'!$C$1:$R$1005,4,FALSE),0)</f>
        <v>-0.02</v>
      </c>
      <c r="P17" s="443">
        <f>-IFERROR(VLOOKUP($A17,'PP DS Query'!$C$1:$R$1005,15,FALSE),0)</f>
        <v>1630951.28</v>
      </c>
      <c r="Q17" s="443">
        <f>IFERROR(VLOOKUP($A17,'PP DS Query'!$C$1:$R$1005,16,FALSE),0)</f>
        <v>19408919.800000001</v>
      </c>
      <c r="R17" s="48"/>
      <c r="U17" s="473">
        <f>SUM(U13:U16)</f>
        <v>0</v>
      </c>
      <c r="V17" s="473">
        <f>SUM(V13:V16)</f>
        <v>-81547563.789999992</v>
      </c>
    </row>
    <row r="18" spans="1:22" ht="15.95" customHeight="1" x14ac:dyDescent="0.2">
      <c r="A18" s="49"/>
      <c r="B18" s="49"/>
      <c r="C18" s="15"/>
      <c r="E18" s="360"/>
      <c r="G18" s="35"/>
      <c r="I18" s="35"/>
      <c r="K18" s="35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1228</v>
      </c>
      <c r="E19" s="360"/>
      <c r="G19" s="35"/>
      <c r="I19" s="35"/>
      <c r="K19" s="35"/>
      <c r="O19" s="59"/>
      <c r="P19" s="18"/>
      <c r="Q19" s="18"/>
      <c r="R19" s="48"/>
    </row>
    <row r="20" spans="1:22" ht="15.95" customHeight="1" x14ac:dyDescent="0.2">
      <c r="A20" s="49" t="s">
        <v>731</v>
      </c>
      <c r="B20" s="499">
        <f>IFERROR(VLOOKUP($A20,'PP DS Query'!$C$1:$R$1005,5,FALSE),0)</f>
        <v>2049</v>
      </c>
      <c r="C20" s="33">
        <f>IFERROR(VLOOKUP($A20,'PP DS Query'!$C$1:$R$1005,3,FALSE),0)</f>
        <v>46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18400540.300000001</v>
      </c>
      <c r="G20" s="523">
        <f>IFERROR(VLOOKUP($A20,'PP DS Query'!$C$1:$R$1005,7,FALSE),0)</f>
        <v>15.760952769999999</v>
      </c>
      <c r="H20" s="358">
        <f>IFERROR(VLOOKUP($A20,'PP DS Query'!$C$1:$R$1005,8,FALSE),0)</f>
        <v>290010046.62</v>
      </c>
      <c r="I20" s="523">
        <f>IFERROR(VLOOKUP($A20,'PP DS Query'!$C$1:$R$1005,9,FALSE),0)</f>
        <v>42.47</v>
      </c>
      <c r="J20" s="358">
        <f>IFERROR(VLOOKUP($A20,'PP DS Query'!$C$1:$R$1005,10,FALSE),0)</f>
        <v>781470946.53999996</v>
      </c>
      <c r="K20" s="523">
        <f>IFERROR(VLOOKUP($A20,'PP DS Query'!$C$1:$R$1005,11,FALSE),0)</f>
        <v>27.512988</v>
      </c>
      <c r="L20" s="358">
        <f>IFERROR(VLOOKUP($A20,'PP DS Query'!$C$1:$R$1005,12,FALSE),0)</f>
        <v>506253844.47000003</v>
      </c>
      <c r="M20" s="19">
        <f>IFERROR(VLOOKUP($A20,'PP DS Query'!$C$1:$R$1005,13,FALSE),0)</f>
        <v>0.36984739999999999</v>
      </c>
      <c r="N20" s="358">
        <f>IFERROR(VLOOKUP($A20,'PP DS Query'!$C$1:$R$1005,14,FALSE),0)</f>
        <v>6805391.9500000002</v>
      </c>
      <c r="O20" s="56">
        <f>IFERROR(VLOOKUP($A20,'PP DS Query'!$C$1:$R$1005,4,FALSE),0)</f>
        <v>-0.05</v>
      </c>
      <c r="P20" s="358">
        <f>-IFERROR(VLOOKUP($A20,'PP DS Query'!$C$1:$R$1005,15,FALSE),0)</f>
        <v>920027.02</v>
      </c>
      <c r="Q20" s="358">
        <f>IFERROR(VLOOKUP($A20,'PP DS Query'!$C$1:$R$1005,16,FALSE),0)</f>
        <v>5293788.95</v>
      </c>
      <c r="R20" s="48"/>
      <c r="S20" s="472">
        <f>IFERROR(ROUND(LEFT(A20,7)*100,0),0)</f>
        <v>34230</v>
      </c>
      <c r="T20" s="472" t="s">
        <v>962</v>
      </c>
      <c r="U20" s="474">
        <f>IFERROR(VLOOKUP($S20,#REF!,6,FALSE),0)</f>
        <v>0</v>
      </c>
      <c r="V20" s="473">
        <f>U20-F20</f>
        <v>-18400540.300000001</v>
      </c>
    </row>
    <row r="21" spans="1:22" ht="15.95" customHeight="1" x14ac:dyDescent="0.2">
      <c r="A21" s="49" t="s">
        <v>732</v>
      </c>
      <c r="B21" s="499">
        <f>IFERROR(VLOOKUP($A21,'PP DS Query'!$C$1:$R$1005,5,FALSE),0)</f>
        <v>2049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2823547.05</v>
      </c>
      <c r="G21" s="523">
        <f>IFERROR(VLOOKUP($A21,'PP DS Query'!$C$1:$R$1005,7,FALSE),0)</f>
        <v>12.9217662</v>
      </c>
      <c r="H21" s="358">
        <f>IFERROR(VLOOKUP($A21,'PP DS Query'!$C$1:$R$1005,8,FALSE),0)</f>
        <v>36485214.82</v>
      </c>
      <c r="I21" s="523">
        <f>IFERROR(VLOOKUP($A21,'PP DS Query'!$C$1:$R$1005,9,FALSE),0)</f>
        <v>29.81</v>
      </c>
      <c r="J21" s="358">
        <f>IFERROR(VLOOKUP($A21,'PP DS Query'!$C$1:$R$1005,10,FALSE),0)</f>
        <v>84169937.560000002</v>
      </c>
      <c r="K21" s="523">
        <f>IFERROR(VLOOKUP($A21,'PP DS Query'!$C$1:$R$1005,11,FALSE),0)</f>
        <v>16.925543999999999</v>
      </c>
      <c r="L21" s="358">
        <f>IFERROR(VLOOKUP($A21,'PP DS Query'!$C$1:$R$1005,12,FALSE),0)</f>
        <v>47790069.829999998</v>
      </c>
      <c r="M21" s="19">
        <f>IFERROR(VLOOKUP($A21,'PP DS Query'!$C$1:$R$1005,13,FALSE),0)</f>
        <v>0.45378174999999998</v>
      </c>
      <c r="N21" s="358">
        <f>IFERROR(VLOOKUP($A21,'PP DS Query'!$C$1:$R$1005,14,FALSE),0)</f>
        <v>1281274.1100000001</v>
      </c>
      <c r="O21" s="56">
        <f>IFERROR(VLOOKUP($A21,'PP DS Query'!$C$1:$R$1005,4,FALSE),0)</f>
        <v>-0.05</v>
      </c>
      <c r="P21" s="358">
        <f>-IFERROR(VLOOKUP($A21,'PP DS Query'!$C$1:$R$1005,15,FALSE),0)</f>
        <v>141177.35</v>
      </c>
      <c r="Q21" s="358">
        <f>IFERROR(VLOOKUP($A21,'PP DS Query'!$C$1:$R$1005,16,FALSE),0)</f>
        <v>996679.51</v>
      </c>
      <c r="R21" s="48"/>
      <c r="S21" s="472">
        <f t="shared" ref="S21:S23" si="4">IFERROR(ROUND(LEFT(A21,7)*100,0),0)</f>
        <v>34230</v>
      </c>
      <c r="T21" s="472" t="s">
        <v>963</v>
      </c>
      <c r="U21" s="474">
        <f>IFERROR(VLOOKUP($S21,#REF!,7,FALSE),0)</f>
        <v>0</v>
      </c>
      <c r="V21" s="473">
        <f t="shared" ref="V21:V23" si="5">U21-F21</f>
        <v>-2823547.05</v>
      </c>
    </row>
    <row r="22" spans="1:22" ht="15.95" customHeight="1" x14ac:dyDescent="0.2">
      <c r="A22" s="49" t="s">
        <v>733</v>
      </c>
      <c r="B22" s="499">
        <f>IFERROR(VLOOKUP($A22,'PP DS Query'!$C$1:$R$1005,5,FALSE),0)</f>
        <v>2049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1242281</v>
      </c>
      <c r="G22" s="523">
        <f>IFERROR(VLOOKUP($A22,'PP DS Query'!$C$1:$R$1005,7,FALSE),0)</f>
        <v>7.4270583200000004</v>
      </c>
      <c r="H22" s="358">
        <f>IFERROR(VLOOKUP($A22,'PP DS Query'!$C$1:$R$1005,8,FALSE),0)</f>
        <v>9226493.4399999995</v>
      </c>
      <c r="I22" s="523">
        <f>IFERROR(VLOOKUP($A22,'PP DS Query'!$C$1:$R$1005,9,FALSE),0)</f>
        <v>20</v>
      </c>
      <c r="J22" s="358">
        <f>IFERROR(VLOOKUP($A22,'PP DS Query'!$C$1:$R$1005,10,FALSE),0)</f>
        <v>24845620</v>
      </c>
      <c r="K22" s="523">
        <f>IFERROR(VLOOKUP($A22,'PP DS Query'!$C$1:$R$1005,11,FALSE),0)</f>
        <v>13.118217</v>
      </c>
      <c r="L22" s="358">
        <f>IFERROR(VLOOKUP($A22,'PP DS Query'!$C$1:$R$1005,12,FALSE),0)</f>
        <v>16296511.73</v>
      </c>
      <c r="M22" s="19">
        <f>IFERROR(VLOOKUP($A22,'PP DS Query'!$C$1:$R$1005,13,FALSE),0)</f>
        <v>0.36129359999999999</v>
      </c>
      <c r="N22" s="358">
        <f>IFERROR(VLOOKUP($A22,'PP DS Query'!$C$1:$R$1005,14,FALSE),0)</f>
        <v>448828.18</v>
      </c>
      <c r="O22" s="56">
        <f>IFERROR(VLOOKUP($A22,'PP DS Query'!$C$1:$R$1005,4,FALSE),0)</f>
        <v>-0.05</v>
      </c>
      <c r="P22" s="358">
        <f>-IFERROR(VLOOKUP($A22,'PP DS Query'!$C$1:$R$1005,15,FALSE),0)</f>
        <v>62114.05</v>
      </c>
      <c r="Q22" s="358">
        <f>IFERROR(VLOOKUP($A22,'PP DS Query'!$C$1:$R$1005,16,FALSE),0)</f>
        <v>349135.17</v>
      </c>
      <c r="R22" s="48"/>
      <c r="S22" s="472">
        <f t="shared" si="4"/>
        <v>34230</v>
      </c>
      <c r="T22" s="472" t="s">
        <v>964</v>
      </c>
      <c r="U22" s="474">
        <f>IFERROR(VLOOKUP($S22,#REF!,8,FALSE),0)</f>
        <v>0</v>
      </c>
      <c r="V22" s="473">
        <f t="shared" si="5"/>
        <v>-1242281</v>
      </c>
    </row>
    <row r="23" spans="1:22" ht="15.95" customHeight="1" thickBot="1" x14ac:dyDescent="0.25">
      <c r="A23" s="396" t="s">
        <v>932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4"/>
        <v>34230</v>
      </c>
      <c r="T23" s="472" t="s">
        <v>961</v>
      </c>
      <c r="U23" s="475">
        <f>IFERROR(VLOOKUP($S23,#REF!,9,FALSE),0)</f>
        <v>0</v>
      </c>
      <c r="V23" s="476">
        <f t="shared" si="5"/>
        <v>0</v>
      </c>
    </row>
    <row r="24" spans="1:22" ht="15.95" customHeight="1" x14ac:dyDescent="0.2">
      <c r="A24" s="49" t="s">
        <v>734</v>
      </c>
      <c r="B24" s="499">
        <f>IFERROR(VLOOKUP($A24,'PP DS Query'!$C$1:$R$1005,5,FALSE),0)</f>
        <v>2049</v>
      </c>
      <c r="C24" s="33"/>
      <c r="D24" s="34"/>
      <c r="E24" s="15"/>
      <c r="F24" s="443">
        <f>IFERROR(VLOOKUP($A24,'PP DS Query'!$C$1:$R$1005,6,FALSE),0)</f>
        <v>22466368.350000001</v>
      </c>
      <c r="G24" s="525">
        <f>IFERROR(VLOOKUP($A24,'PP DS Query'!$C$1:$R$1005,7,FALSE),0)</f>
        <v>14.943303240000001</v>
      </c>
      <c r="H24" s="443">
        <f>IFERROR(VLOOKUP($A24,'PP DS Query'!$C$1:$R$1005,8,FALSE),0)</f>
        <v>335721754.88999999</v>
      </c>
      <c r="I24" s="525">
        <f>IFERROR(VLOOKUP($A24,'PP DS Query'!$C$1:$R$1005,9,FALSE),0)</f>
        <v>39.63642411</v>
      </c>
      <c r="J24" s="443">
        <f>IFERROR(VLOOKUP($A24,'PP DS Query'!$C$1:$R$1005,10,FALSE),0)</f>
        <v>890486504.10000002</v>
      </c>
      <c r="K24" s="525">
        <f>IFERROR(VLOOKUP($A24,'PP DS Query'!$C$1:$R$1005,11,FALSE),0)</f>
        <v>25.386409459999999</v>
      </c>
      <c r="L24" s="443">
        <f>IFERROR(VLOOKUP($A24,'PP DS Query'!$C$1:$R$1005,12,FALSE),0)</f>
        <v>570340426.02999997</v>
      </c>
      <c r="M24" s="445">
        <f>IFERROR(VLOOKUP($A24,'PP DS Query'!$C$1:$R$1005,13,FALSE),0)</f>
        <v>0.37992319000000002</v>
      </c>
      <c r="N24" s="443">
        <f>IFERROR(VLOOKUP($A24,'PP DS Query'!$C$1:$R$1005,14,FALSE),0)</f>
        <v>8535494.2400000002</v>
      </c>
      <c r="O24" s="446">
        <f>IFERROR(VLOOKUP($A24,'PP DS Query'!$C$1:$R$1005,4,FALSE),0)</f>
        <v>-0.05</v>
      </c>
      <c r="P24" s="443">
        <f>-IFERROR(VLOOKUP($A24,'PP DS Query'!$C$1:$R$1005,15,FALSE),0)</f>
        <v>1123318.42</v>
      </c>
      <c r="Q24" s="443">
        <f>IFERROR(VLOOKUP($A24,'PP DS Query'!$C$1:$R$1005,16,FALSE),0)</f>
        <v>6639603.6299999999</v>
      </c>
      <c r="R24" s="48"/>
      <c r="U24" s="473">
        <f>SUM(U20:U23)</f>
        <v>0</v>
      </c>
      <c r="V24" s="473">
        <f>SUM(V20:V23)</f>
        <v>-22466368.350000001</v>
      </c>
    </row>
    <row r="25" spans="1:22" ht="15.95" customHeight="1" x14ac:dyDescent="0.2">
      <c r="A25" s="49"/>
      <c r="B25" s="49"/>
      <c r="C25" s="15"/>
      <c r="E25" s="360"/>
      <c r="G25" s="35"/>
      <c r="I25" s="35"/>
      <c r="K25" s="35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1229</v>
      </c>
      <c r="E26" s="360"/>
      <c r="G26" s="35"/>
      <c r="I26" s="35"/>
      <c r="K26" s="35"/>
      <c r="O26" s="59"/>
      <c r="P26" s="29"/>
      <c r="Q26" s="29"/>
      <c r="R26" s="48"/>
    </row>
    <row r="27" spans="1:22" ht="15.95" customHeight="1" x14ac:dyDescent="0.2">
      <c r="A27" s="49" t="s">
        <v>735</v>
      </c>
      <c r="B27" s="499">
        <f>IFERROR(VLOOKUP($A27,'PP DS Query'!$C$1:$R$1005,5,FALSE),0)</f>
        <v>2049</v>
      </c>
      <c r="C27" s="33">
        <f>IFERROR(VLOOKUP($A27,'PP DS Query'!$C$1:$R$1005,3,FALSE),0)</f>
        <v>46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12816454.74</v>
      </c>
      <c r="G27" s="523">
        <f>IFERROR(VLOOKUP($A27,'PP DS Query'!$C$1:$R$1005,7,FALSE),0)</f>
        <v>12.41517655</v>
      </c>
      <c r="H27" s="358">
        <f>IFERROR(VLOOKUP($A27,'PP DS Query'!$C$1:$R$1005,8,FALSE),0)</f>
        <v>159118548.28999999</v>
      </c>
      <c r="I27" s="523">
        <f>IFERROR(VLOOKUP($A27,'PP DS Query'!$C$1:$R$1005,9,FALSE),0)</f>
        <v>40.19</v>
      </c>
      <c r="J27" s="358">
        <f>IFERROR(VLOOKUP($A27,'PP DS Query'!$C$1:$R$1005,10,FALSE),0)</f>
        <v>515093316</v>
      </c>
      <c r="K27" s="523">
        <f>IFERROR(VLOOKUP($A27,'PP DS Query'!$C$1:$R$1005,11,FALSE),0)</f>
        <v>28.183714999999999</v>
      </c>
      <c r="L27" s="358">
        <f>IFERROR(VLOOKUP($A27,'PP DS Query'!$C$1:$R$1005,12,FALSE),0)</f>
        <v>361215307.69999999</v>
      </c>
      <c r="M27" s="19">
        <f>IFERROR(VLOOKUP($A27,'PP DS Query'!$C$1:$R$1005,13,FALSE),0)</f>
        <v>0.31960376000000001</v>
      </c>
      <c r="N27" s="358">
        <f>IFERROR(VLOOKUP($A27,'PP DS Query'!$C$1:$R$1005,14,FALSE),0)</f>
        <v>4096187.13</v>
      </c>
      <c r="O27" s="56">
        <f>IFERROR(VLOOKUP($A27,'PP DS Query'!$C$1:$R$1005,4,FALSE),0)</f>
        <v>-7.0000000000000007E-2</v>
      </c>
      <c r="P27" s="358">
        <f>-IFERROR(VLOOKUP($A27,'PP DS Query'!$C$1:$R$1005,15,FALSE),0)</f>
        <v>897151.83</v>
      </c>
      <c r="Q27" s="358">
        <f>IFERROR(VLOOKUP($A27,'PP DS Query'!$C$1:$R$1005,16,FALSE),0)</f>
        <v>2074736.25</v>
      </c>
      <c r="R27" s="48"/>
      <c r="S27" s="472">
        <f>IFERROR(ROUND(LEFT(A27,7)*100,0),0)</f>
        <v>34330</v>
      </c>
      <c r="T27" s="472" t="s">
        <v>962</v>
      </c>
      <c r="U27" s="474">
        <f>IFERROR(VLOOKUP($S27,#REF!,6,FALSE),0)</f>
        <v>0</v>
      </c>
      <c r="V27" s="473">
        <f>U27-F27</f>
        <v>-12816454.74</v>
      </c>
    </row>
    <row r="28" spans="1:22" ht="15.95" customHeight="1" x14ac:dyDescent="0.2">
      <c r="A28" s="49" t="s">
        <v>736</v>
      </c>
      <c r="B28" s="499">
        <f>IFERROR(VLOOKUP($A28,'PP DS Query'!$C$1:$R$1005,5,FALSE),0)</f>
        <v>2049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4967880.37</v>
      </c>
      <c r="G28" s="523">
        <f>IFERROR(VLOOKUP($A28,'PP DS Query'!$C$1:$R$1005,7,FALSE),0)</f>
        <v>13.40134561</v>
      </c>
      <c r="H28" s="358">
        <f>IFERROR(VLOOKUP($A28,'PP DS Query'!$C$1:$R$1005,8,FALSE),0)</f>
        <v>66576281.810000002</v>
      </c>
      <c r="I28" s="523">
        <f>IFERROR(VLOOKUP($A28,'PP DS Query'!$C$1:$R$1005,9,FALSE),0)</f>
        <v>29.92</v>
      </c>
      <c r="J28" s="358">
        <f>IFERROR(VLOOKUP($A28,'PP DS Query'!$C$1:$R$1005,10,FALSE),0)</f>
        <v>148638980.66999999</v>
      </c>
      <c r="K28" s="523">
        <f>IFERROR(VLOOKUP($A28,'PP DS Query'!$C$1:$R$1005,11,FALSE),0)</f>
        <v>16.550469</v>
      </c>
      <c r="L28" s="358">
        <f>IFERROR(VLOOKUP($A28,'PP DS Query'!$C$1:$R$1005,12,FALSE),0)</f>
        <v>82220750.060000002</v>
      </c>
      <c r="M28" s="19">
        <f>IFERROR(VLOOKUP($A28,'PP DS Query'!$C$1:$R$1005,13,FALSE),0)</f>
        <v>0.47808914000000002</v>
      </c>
      <c r="N28" s="358">
        <f>IFERROR(VLOOKUP($A28,'PP DS Query'!$C$1:$R$1005,14,FALSE),0)</f>
        <v>2375089.63</v>
      </c>
      <c r="O28" s="56">
        <f>IFERROR(VLOOKUP($A28,'PP DS Query'!$C$1:$R$1005,4,FALSE),0)</f>
        <v>-7.0000000000000007E-2</v>
      </c>
      <c r="P28" s="358">
        <f>-IFERROR(VLOOKUP($A28,'PP DS Query'!$C$1:$R$1005,15,FALSE),0)</f>
        <v>347751.63</v>
      </c>
      <c r="Q28" s="358">
        <f>IFERROR(VLOOKUP($A28,'PP DS Query'!$C$1:$R$1005,16,FALSE),0)</f>
        <v>1202993.03</v>
      </c>
      <c r="R28" s="48"/>
      <c r="S28" s="472">
        <f t="shared" ref="S28:S30" si="6">IFERROR(ROUND(LEFT(A28,7)*100,0),0)</f>
        <v>34330</v>
      </c>
      <c r="T28" s="472" t="s">
        <v>963</v>
      </c>
      <c r="U28" s="474">
        <f>IFERROR(VLOOKUP($S28,#REF!,7,FALSE),0)</f>
        <v>0</v>
      </c>
      <c r="V28" s="473">
        <f t="shared" ref="V28:V30" si="7">U28-F28</f>
        <v>-4967880.37</v>
      </c>
    </row>
    <row r="29" spans="1:22" ht="15.95" customHeight="1" x14ac:dyDescent="0.2">
      <c r="A29" s="49" t="s">
        <v>737</v>
      </c>
      <c r="B29" s="499">
        <f>IFERROR(VLOOKUP($A29,'PP DS Query'!$C$1:$R$1005,5,FALSE),0)</f>
        <v>2049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1069047.52</v>
      </c>
      <c r="G29" s="523">
        <f>IFERROR(VLOOKUP($A29,'PP DS Query'!$C$1:$R$1005,7,FALSE),0)</f>
        <v>11.04715204</v>
      </c>
      <c r="H29" s="358">
        <f>IFERROR(VLOOKUP($A29,'PP DS Query'!$C$1:$R$1005,8,FALSE),0)</f>
        <v>11809930.49</v>
      </c>
      <c r="I29" s="523">
        <f>IFERROR(VLOOKUP($A29,'PP DS Query'!$C$1:$R$1005,9,FALSE),0)</f>
        <v>20</v>
      </c>
      <c r="J29" s="358">
        <f>IFERROR(VLOOKUP($A29,'PP DS Query'!$C$1:$R$1005,10,FALSE),0)</f>
        <v>21380950.399999999</v>
      </c>
      <c r="K29" s="523">
        <f>IFERROR(VLOOKUP($A29,'PP DS Query'!$C$1:$R$1005,11,FALSE),0)</f>
        <v>10.054517000000001</v>
      </c>
      <c r="L29" s="358">
        <f>IFERROR(VLOOKUP($A29,'PP DS Query'!$C$1:$R$1005,12,FALSE),0)</f>
        <v>10748756.460000001</v>
      </c>
      <c r="M29" s="19">
        <f>IFERROR(VLOOKUP($A29,'PP DS Query'!$C$1:$R$1005,13,FALSE),0)</f>
        <v>0.53208334000000002</v>
      </c>
      <c r="N29" s="358">
        <f>IFERROR(VLOOKUP($A29,'PP DS Query'!$C$1:$R$1005,14,FALSE),0)</f>
        <v>568822.38</v>
      </c>
      <c r="O29" s="56">
        <f>IFERROR(VLOOKUP($A29,'PP DS Query'!$C$1:$R$1005,4,FALSE),0)</f>
        <v>-7.0000000000000007E-2</v>
      </c>
      <c r="P29" s="358">
        <f>-IFERROR(VLOOKUP($A29,'PP DS Query'!$C$1:$R$1005,15,FALSE),0)</f>
        <v>74833.33</v>
      </c>
      <c r="Q29" s="358">
        <f>IFERROR(VLOOKUP($A29,'PP DS Query'!$C$1:$R$1005,16,FALSE),0)</f>
        <v>288110.96000000002</v>
      </c>
      <c r="R29" s="48"/>
      <c r="S29" s="472">
        <f t="shared" si="6"/>
        <v>34330</v>
      </c>
      <c r="T29" s="472" t="s">
        <v>964</v>
      </c>
      <c r="U29" s="474">
        <f>IFERROR(VLOOKUP($S29,#REF!,8,FALSE),0)</f>
        <v>0</v>
      </c>
      <c r="V29" s="473">
        <f t="shared" si="7"/>
        <v>-1069047.52</v>
      </c>
    </row>
    <row r="30" spans="1:22" ht="15.95" customHeight="1" thickBot="1" x14ac:dyDescent="0.25">
      <c r="A30" s="396" t="s">
        <v>933</v>
      </c>
      <c r="B30" s="499">
        <f>IFERROR(VLOOKUP($A30,'PP DS Query'!$C$1:$R$1005,5,FALSE),0)</f>
        <v>2049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16444234.119999999</v>
      </c>
      <c r="G30" s="524">
        <f>IFERROR(VLOOKUP($A30,'PP DS Query'!$C$1:$R$1005,7,FALSE),0)</f>
        <v>11.5</v>
      </c>
      <c r="H30" s="250">
        <f>IFERROR(VLOOKUP($A30,'PP DS Query'!$C$1:$R$1005,8,FALSE),0)</f>
        <v>189108692.38</v>
      </c>
      <c r="I30" s="524">
        <f>IFERROR(VLOOKUP($A30,'PP DS Query'!$C$1:$R$1005,9,FALSE),0)</f>
        <v>12</v>
      </c>
      <c r="J30" s="250">
        <f>IFERROR(VLOOKUP($A30,'PP DS Query'!$C$1:$R$1005,10,FALSE),0)</f>
        <v>197330809.44</v>
      </c>
      <c r="K30" s="524">
        <f>IFERROR(VLOOKUP($A30,'PP DS Query'!$C$1:$R$1005,11,FALSE),0)</f>
        <v>0.5</v>
      </c>
      <c r="L30" s="250">
        <f>IFERROR(VLOOKUP($A30,'PP DS Query'!$C$1:$R$1005,12,FALSE),0)</f>
        <v>8222117.0599999996</v>
      </c>
      <c r="M30" s="21">
        <f>IFERROR(VLOOKUP($A30,'PP DS Query'!$C$1:$R$1005,13,FALSE),0)</f>
        <v>1.02541667</v>
      </c>
      <c r="N30" s="250">
        <f>IFERROR(VLOOKUP($A30,'PP DS Query'!$C$1:$R$1005,14,FALSE),0)</f>
        <v>16862191.739999998</v>
      </c>
      <c r="O30" s="57">
        <f>IFERROR(VLOOKUP($A30,'PP DS Query'!$C$1:$R$1005,4,FALSE),0)</f>
        <v>-7.0000000000000007E-2</v>
      </c>
      <c r="P30" s="250">
        <f>-IFERROR(VLOOKUP($A30,'PP DS Query'!$C$1:$R$1005,15,FALSE),0)</f>
        <v>1151096.3899999999</v>
      </c>
      <c r="Q30" s="250">
        <f>IFERROR(VLOOKUP($A30,'PP DS Query'!$C$1:$R$1005,16,FALSE),0)</f>
        <v>8540772.0199999996</v>
      </c>
      <c r="R30" s="48"/>
      <c r="S30" s="472">
        <f t="shared" si="6"/>
        <v>34330</v>
      </c>
      <c r="T30" s="472" t="s">
        <v>961</v>
      </c>
      <c r="U30" s="475">
        <f>IFERROR(VLOOKUP($S30,#REF!,9,FALSE),0)</f>
        <v>0</v>
      </c>
      <c r="V30" s="476">
        <f t="shared" si="7"/>
        <v>-16444234.119999999</v>
      </c>
    </row>
    <row r="31" spans="1:22" ht="15.95" customHeight="1" x14ac:dyDescent="0.2">
      <c r="A31" s="49" t="s">
        <v>738</v>
      </c>
      <c r="B31" s="499">
        <f>IFERROR(VLOOKUP($A31,'PP DS Query'!$C$1:$R$1005,5,FALSE),0)</f>
        <v>2049</v>
      </c>
      <c r="C31" s="33"/>
      <c r="D31" s="34"/>
      <c r="E31" s="15"/>
      <c r="F31" s="443">
        <f>IFERROR(VLOOKUP($A31,'PP DS Query'!$C$1:$R$1005,6,FALSE),0)</f>
        <v>35297616.75</v>
      </c>
      <c r="G31" s="525">
        <f>IFERROR(VLOOKUP($A31,'PP DS Query'!$C$1:$R$1005,7,FALSE),0)</f>
        <v>12.08618293</v>
      </c>
      <c r="H31" s="443">
        <f>IFERROR(VLOOKUP($A31,'PP DS Query'!$C$1:$R$1005,8,FALSE),0)</f>
        <v>426613452.97000003</v>
      </c>
      <c r="I31" s="525">
        <f>IFERROR(VLOOKUP($A31,'PP DS Query'!$C$1:$R$1005,9,FALSE),0)</f>
        <v>25.000103060000001</v>
      </c>
      <c r="J31" s="443">
        <f>IFERROR(VLOOKUP($A31,'PP DS Query'!$C$1:$R$1005,10,FALSE),0)</f>
        <v>882444056.50999999</v>
      </c>
      <c r="K31" s="525">
        <f>IFERROR(VLOOKUP($A31,'PP DS Query'!$C$1:$R$1005,11,FALSE),0)</f>
        <v>13.10023095</v>
      </c>
      <c r="L31" s="443">
        <f>IFERROR(VLOOKUP($A31,'PP DS Query'!$C$1:$R$1005,12,FALSE),0)</f>
        <v>462406931.29000002</v>
      </c>
      <c r="M31" s="445">
        <f>IFERROR(VLOOKUP($A31,'PP DS Query'!$C$1:$R$1005,13,FALSE),0)</f>
        <v>0.67716443999999998</v>
      </c>
      <c r="N31" s="443">
        <f>IFERROR(VLOOKUP($A31,'PP DS Query'!$C$1:$R$1005,14,FALSE),0)</f>
        <v>23902290.879999999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2470833.17</v>
      </c>
      <c r="Q31" s="443">
        <f>IFERROR(VLOOKUP($A31,'PP DS Query'!$C$1:$R$1005,16,FALSE),0)</f>
        <v>12106612.26</v>
      </c>
      <c r="R31" s="48"/>
      <c r="U31" s="473">
        <f>SUM(U27:U30)</f>
        <v>0</v>
      </c>
      <c r="V31" s="473">
        <f>SUM(V27:V30)</f>
        <v>-35297616.75</v>
      </c>
    </row>
    <row r="32" spans="1:22" ht="15.95" customHeight="1" x14ac:dyDescent="0.2">
      <c r="A32" s="49"/>
      <c r="B32" s="49"/>
      <c r="C32" s="15"/>
      <c r="E32" s="360"/>
      <c r="G32" s="35"/>
      <c r="I32" s="35"/>
      <c r="K32" s="35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1230</v>
      </c>
      <c r="E33" s="360"/>
      <c r="G33" s="35"/>
      <c r="I33" s="35"/>
      <c r="K33" s="35"/>
      <c r="O33" s="59"/>
      <c r="P33" s="29"/>
      <c r="Q33" s="29"/>
      <c r="R33" s="48"/>
    </row>
    <row r="34" spans="1:22" ht="15.95" customHeight="1" x14ac:dyDescent="0.2">
      <c r="A34" s="49" t="s">
        <v>739</v>
      </c>
      <c r="B34" s="499">
        <f>IFERROR(VLOOKUP($A34,'PP DS Query'!$C$1:$R$1005,5,FALSE),0)</f>
        <v>2049</v>
      </c>
      <c r="C34" s="33">
        <f>IFERROR(VLOOKUP($A34,'PP DS Query'!$C$1:$R$1005,3,FALSE),0)</f>
        <v>46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10480994.58</v>
      </c>
      <c r="G34" s="523">
        <f>IFERROR(VLOOKUP($A34,'PP DS Query'!$C$1:$R$1005,7,FALSE),0)</f>
        <v>11.949343689999999</v>
      </c>
      <c r="H34" s="358">
        <f>IFERROR(VLOOKUP($A34,'PP DS Query'!$C$1:$R$1005,8,FALSE),0)</f>
        <v>125241006.44</v>
      </c>
      <c r="I34" s="523">
        <f>IFERROR(VLOOKUP($A34,'PP DS Query'!$C$1:$R$1005,9,FALSE),0)</f>
        <v>40.25</v>
      </c>
      <c r="J34" s="358">
        <f>IFERROR(VLOOKUP($A34,'PP DS Query'!$C$1:$R$1005,10,FALSE),0)</f>
        <v>421860031.85000002</v>
      </c>
      <c r="K34" s="523">
        <f>IFERROR(VLOOKUP($A34,'PP DS Query'!$C$1:$R$1005,11,FALSE),0)</f>
        <v>28.814589999999999</v>
      </c>
      <c r="L34" s="358">
        <f>IFERROR(VLOOKUP($A34,'PP DS Query'!$C$1:$R$1005,12,FALSE),0)</f>
        <v>302005561.61000001</v>
      </c>
      <c r="M34" s="19">
        <f>IFERROR(VLOOKUP($A34,'PP DS Query'!$C$1:$R$1005,13,FALSE),0)</f>
        <v>0.30235651000000002</v>
      </c>
      <c r="N34" s="358">
        <f>IFERROR(VLOOKUP($A34,'PP DS Query'!$C$1:$R$1005,14,FALSE),0)</f>
        <v>3168996.96</v>
      </c>
      <c r="O34" s="56">
        <f>IFERROR(VLOOKUP($A34,'PP DS Query'!$C$1:$R$1005,4,FALSE),0)</f>
        <v>-0.05</v>
      </c>
      <c r="P34" s="358">
        <f>-IFERROR(VLOOKUP($A34,'PP DS Query'!$C$1:$R$1005,15,FALSE),0)</f>
        <v>524049.73</v>
      </c>
      <c r="Q34" s="358">
        <f>IFERROR(VLOOKUP($A34,'PP DS Query'!$C$1:$R$1005,16,FALSE),0)</f>
        <v>3249550.75</v>
      </c>
      <c r="R34" s="48"/>
      <c r="S34" s="472">
        <f>IFERROR(ROUND(LEFT(A34,7)*100,0),0)</f>
        <v>34530</v>
      </c>
      <c r="T34" s="472" t="s">
        <v>962</v>
      </c>
      <c r="U34" s="474">
        <f>IFERROR(VLOOKUP($S34,#REF!,6,FALSE),0)</f>
        <v>0</v>
      </c>
      <c r="V34" s="473">
        <f>U34-F34</f>
        <v>-10480994.58</v>
      </c>
    </row>
    <row r="35" spans="1:22" ht="15.95" customHeight="1" x14ac:dyDescent="0.2">
      <c r="A35" s="49" t="s">
        <v>740</v>
      </c>
      <c r="B35" s="499">
        <f>IFERROR(VLOOKUP($A35,'PP DS Query'!$C$1:$R$1005,5,FALSE),0)</f>
        <v>2049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8226303.2999999998</v>
      </c>
      <c r="G35" s="523">
        <f>IFERROR(VLOOKUP($A35,'PP DS Query'!$C$1:$R$1005,7,FALSE),0)</f>
        <v>9.7546482799999996</v>
      </c>
      <c r="H35" s="358">
        <f>IFERROR(VLOOKUP($A35,'PP DS Query'!$C$1:$R$1005,8,FALSE),0)</f>
        <v>80244695.310000002</v>
      </c>
      <c r="I35" s="523">
        <f>IFERROR(VLOOKUP($A35,'PP DS Query'!$C$1:$R$1005,9,FALSE),0)</f>
        <v>29.54</v>
      </c>
      <c r="J35" s="358">
        <f>IFERROR(VLOOKUP($A35,'PP DS Query'!$C$1:$R$1005,10,FALSE),0)</f>
        <v>243004999.47999999</v>
      </c>
      <c r="K35" s="523">
        <f>IFERROR(VLOOKUP($A35,'PP DS Query'!$C$1:$R$1005,11,FALSE),0)</f>
        <v>20.685807</v>
      </c>
      <c r="L35" s="358">
        <f>IFERROR(VLOOKUP($A35,'PP DS Query'!$C$1:$R$1005,12,FALSE),0)</f>
        <v>170167722.38999999</v>
      </c>
      <c r="M35" s="19">
        <f>IFERROR(VLOOKUP($A35,'PP DS Query'!$C$1:$R$1005,13,FALSE),0)</f>
        <v>0.31691831999999998</v>
      </c>
      <c r="N35" s="358">
        <f>IFERROR(VLOOKUP($A35,'PP DS Query'!$C$1:$R$1005,14,FALSE),0)</f>
        <v>2607066.23</v>
      </c>
      <c r="O35" s="56">
        <f>IFERROR(VLOOKUP($A35,'PP DS Query'!$C$1:$R$1005,4,FALSE),0)</f>
        <v>-0.05</v>
      </c>
      <c r="P35" s="358">
        <f>-IFERROR(VLOOKUP($A35,'PP DS Query'!$C$1:$R$1005,15,FALSE),0)</f>
        <v>411315.17</v>
      </c>
      <c r="Q35" s="358">
        <f>IFERROR(VLOOKUP($A35,'PP DS Query'!$C$1:$R$1005,16,FALSE),0)</f>
        <v>2673336.11</v>
      </c>
      <c r="R35" s="48"/>
      <c r="S35" s="472">
        <f t="shared" ref="S35:S37" si="8">IFERROR(ROUND(LEFT(A35,7)*100,0),0)</f>
        <v>34530</v>
      </c>
      <c r="T35" s="472" t="s">
        <v>963</v>
      </c>
      <c r="U35" s="474">
        <f>IFERROR(VLOOKUP($S35,#REF!,7,FALSE),0)</f>
        <v>0</v>
      </c>
      <c r="V35" s="473">
        <f t="shared" ref="V35:V37" si="9">U35-F35</f>
        <v>-8226303.2999999998</v>
      </c>
    </row>
    <row r="36" spans="1:22" ht="15.95" customHeight="1" x14ac:dyDescent="0.2">
      <c r="A36" s="49" t="s">
        <v>741</v>
      </c>
      <c r="B36" s="499">
        <f>IFERROR(VLOOKUP($A36,'PP DS Query'!$C$1:$R$1005,5,FALSE),0)</f>
        <v>2049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10172982.119999999</v>
      </c>
      <c r="G36" s="523">
        <f>IFERROR(VLOOKUP($A36,'PP DS Query'!$C$1:$R$1005,7,FALSE),0)</f>
        <v>11.354720309999999</v>
      </c>
      <c r="H36" s="358">
        <f>IFERROR(VLOOKUP($A36,'PP DS Query'!$C$1:$R$1005,8,FALSE),0)</f>
        <v>115511366.69</v>
      </c>
      <c r="I36" s="523">
        <f>IFERROR(VLOOKUP($A36,'PP DS Query'!$C$1:$R$1005,9,FALSE),0)</f>
        <v>20</v>
      </c>
      <c r="J36" s="358">
        <f>IFERROR(VLOOKUP($A36,'PP DS Query'!$C$1:$R$1005,10,FALSE),0)</f>
        <v>203459642.40000001</v>
      </c>
      <c r="K36" s="523">
        <f>IFERROR(VLOOKUP($A36,'PP DS Query'!$C$1:$R$1005,11,FALSE),0)</f>
        <v>9.9638779999999993</v>
      </c>
      <c r="L36" s="358">
        <f>IFERROR(VLOOKUP($A36,'PP DS Query'!$C$1:$R$1005,12,FALSE),0)</f>
        <v>101362352.73999999</v>
      </c>
      <c r="M36" s="19">
        <f>IFERROR(VLOOKUP($A36,'PP DS Query'!$C$1:$R$1005,13,FALSE),0)</f>
        <v>0.53011726999999997</v>
      </c>
      <c r="N36" s="358">
        <f>IFERROR(VLOOKUP($A36,'PP DS Query'!$C$1:$R$1005,14,FALSE),0)</f>
        <v>5392873.4699999997</v>
      </c>
      <c r="O36" s="56">
        <f>IFERROR(VLOOKUP($A36,'PP DS Query'!$C$1:$R$1005,4,FALSE),0)</f>
        <v>-0.05</v>
      </c>
      <c r="P36" s="358">
        <f>-IFERROR(VLOOKUP($A36,'PP DS Query'!$C$1:$R$1005,15,FALSE),0)</f>
        <v>508649.11</v>
      </c>
      <c r="Q36" s="358">
        <f>IFERROR(VLOOKUP($A36,'PP DS Query'!$C$1:$R$1005,16,FALSE),0)</f>
        <v>5529956.71</v>
      </c>
      <c r="R36" s="48"/>
      <c r="S36" s="472">
        <f t="shared" si="8"/>
        <v>34530</v>
      </c>
      <c r="T36" s="472" t="s">
        <v>964</v>
      </c>
      <c r="U36" s="474">
        <f>IFERROR(VLOOKUP($S36,#REF!,8,FALSE),0)</f>
        <v>0</v>
      </c>
      <c r="V36" s="473">
        <f t="shared" si="9"/>
        <v>-10172982.119999999</v>
      </c>
    </row>
    <row r="37" spans="1:22" ht="15.95" customHeight="1" thickBot="1" x14ac:dyDescent="0.25">
      <c r="A37" s="396" t="s">
        <v>934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8"/>
        <v>34530</v>
      </c>
      <c r="T37" s="472" t="s">
        <v>961</v>
      </c>
      <c r="U37" s="475">
        <f>IFERROR(VLOOKUP($S37,#REF!,9,FALSE),0)</f>
        <v>0</v>
      </c>
      <c r="V37" s="476">
        <f t="shared" si="9"/>
        <v>0</v>
      </c>
    </row>
    <row r="38" spans="1:22" ht="15.95" customHeight="1" x14ac:dyDescent="0.2">
      <c r="A38" s="49" t="s">
        <v>742</v>
      </c>
      <c r="B38" s="499">
        <f>IFERROR(VLOOKUP($A38,'PP DS Query'!$C$1:$R$1005,5,FALSE),0)</f>
        <v>2049</v>
      </c>
      <c r="C38" s="33"/>
      <c r="D38" s="34"/>
      <c r="E38" s="15"/>
      <c r="F38" s="443">
        <f>IFERROR(VLOOKUP($A38,'PP DS Query'!$C$1:$R$1005,6,FALSE),0)</f>
        <v>28880280</v>
      </c>
      <c r="G38" s="525">
        <f>IFERROR(VLOOKUP($A38,'PP DS Query'!$C$1:$R$1005,7,FALSE),0)</f>
        <v>11.11474918</v>
      </c>
      <c r="H38" s="443">
        <f>IFERROR(VLOOKUP($A38,'PP DS Query'!$C$1:$R$1005,8,FALSE),0)</f>
        <v>320997068.44</v>
      </c>
      <c r="I38" s="525">
        <f>IFERROR(VLOOKUP($A38,'PP DS Query'!$C$1:$R$1005,9,FALSE),0)</f>
        <v>30.066352330000001</v>
      </c>
      <c r="J38" s="443">
        <f>IFERROR(VLOOKUP($A38,'PP DS Query'!$C$1:$R$1005,10,FALSE),0)</f>
        <v>868324673.73000002</v>
      </c>
      <c r="K38" s="525">
        <f>IFERROR(VLOOKUP($A38,'PP DS Query'!$C$1:$R$1005,11,FALSE),0)</f>
        <v>19.859074660000001</v>
      </c>
      <c r="L38" s="443">
        <f>IFERROR(VLOOKUP($A38,'PP DS Query'!$C$1:$R$1005,12,FALSE),0)</f>
        <v>573535636.74000001</v>
      </c>
      <c r="M38" s="445">
        <f>IFERROR(VLOOKUP($A38,'PP DS Query'!$C$1:$R$1005,13,FALSE),0)</f>
        <v>0.38673227999999998</v>
      </c>
      <c r="N38" s="443">
        <f>IFERROR(VLOOKUP($A38,'PP DS Query'!$C$1:$R$1005,14,FALSE),0)</f>
        <v>11168936.66</v>
      </c>
      <c r="O38" s="446">
        <f>IFERROR(VLOOKUP($A38,'PP DS Query'!$C$1:$R$1005,4,FALSE),0)</f>
        <v>-0.05</v>
      </c>
      <c r="P38" s="443">
        <f>-IFERROR(VLOOKUP($A38,'PP DS Query'!$C$1:$R$1005,15,FALSE),0)</f>
        <v>1444014</v>
      </c>
      <c r="Q38" s="443">
        <f>IFERROR(VLOOKUP($A38,'PP DS Query'!$C$1:$R$1005,16,FALSE),0)</f>
        <v>11452843.57</v>
      </c>
      <c r="R38" s="48"/>
      <c r="U38" s="473">
        <f>SUM(U34:U37)</f>
        <v>0</v>
      </c>
      <c r="V38" s="473">
        <f>SUM(V34:V37)</f>
        <v>-28880280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1231</v>
      </c>
      <c r="E40" s="360"/>
      <c r="G40" s="35"/>
      <c r="I40" s="35"/>
      <c r="K40" s="35"/>
      <c r="O40" s="59"/>
      <c r="P40" s="29"/>
      <c r="Q40" s="29"/>
      <c r="R40" s="48"/>
    </row>
    <row r="41" spans="1:22" ht="15.95" customHeight="1" x14ac:dyDescent="0.2">
      <c r="A41" s="49" t="s">
        <v>743</v>
      </c>
      <c r="B41" s="499">
        <f>IFERROR(VLOOKUP($A41,'PP DS Query'!$C$1:$R$1005,5,FALSE),0)</f>
        <v>2049</v>
      </c>
      <c r="C41" s="33">
        <f>IFERROR(VLOOKUP($A41,'PP DS Query'!$C$1:$R$1005,3,FALSE),0)</f>
        <v>46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2418696</v>
      </c>
      <c r="G41" s="523">
        <f>IFERROR(VLOOKUP($A41,'PP DS Query'!$C$1:$R$1005,7,FALSE),0)</f>
        <v>14.24114655</v>
      </c>
      <c r="H41" s="358">
        <f>IFERROR(VLOOKUP($A41,'PP DS Query'!$C$1:$R$1005,8,FALSE),0)</f>
        <v>34445004.189999998</v>
      </c>
      <c r="I41" s="523">
        <f>IFERROR(VLOOKUP($A41,'PP DS Query'!$C$1:$R$1005,9,FALSE),0)</f>
        <v>41.29</v>
      </c>
      <c r="J41" s="358">
        <f>IFERROR(VLOOKUP($A41,'PP DS Query'!$C$1:$R$1005,10,FALSE),0)</f>
        <v>99867957.840000004</v>
      </c>
      <c r="K41" s="523">
        <f>IFERROR(VLOOKUP($A41,'PP DS Query'!$C$1:$R$1005,11,FALSE),0)</f>
        <v>28.372955000000001</v>
      </c>
      <c r="L41" s="358">
        <f>IFERROR(VLOOKUP($A41,'PP DS Query'!$C$1:$R$1005,12,FALSE),0)</f>
        <v>68625552.769999996</v>
      </c>
      <c r="M41" s="19">
        <f>IFERROR(VLOOKUP($A41,'PP DS Query'!$C$1:$R$1005,13,FALSE),0)</f>
        <v>0.32687316999999999</v>
      </c>
      <c r="N41" s="358">
        <f>IFERROR(VLOOKUP($A41,'PP DS Query'!$C$1:$R$1005,14,FALSE),0)</f>
        <v>790606.83</v>
      </c>
      <c r="O41" s="56">
        <f>IFERROR(VLOOKUP($A41,'PP DS Query'!$C$1:$R$1005,4,FALSE),0)</f>
        <v>-0.02</v>
      </c>
      <c r="P41" s="358">
        <f>-IFERROR(VLOOKUP($A41,'PP DS Query'!$C$1:$R$1005,15,FALSE),0)</f>
        <v>48373.919999999998</v>
      </c>
      <c r="Q41" s="358">
        <f>IFERROR(VLOOKUP($A41,'PP DS Query'!$C$1:$R$1005,16,FALSE),0)</f>
        <v>571863.43000000005</v>
      </c>
      <c r="R41" s="48"/>
      <c r="S41" s="472">
        <f>IFERROR(ROUND(LEFT(A41,7)*100,0),0)</f>
        <v>34630</v>
      </c>
      <c r="T41" s="472" t="s">
        <v>962</v>
      </c>
      <c r="U41" s="474">
        <f>IFERROR(VLOOKUP($S41,#REF!,6,FALSE),0)</f>
        <v>0</v>
      </c>
      <c r="V41" s="473">
        <f>U41-F41</f>
        <v>-2418696</v>
      </c>
    </row>
    <row r="42" spans="1:22" ht="15.95" customHeight="1" x14ac:dyDescent="0.2">
      <c r="A42" s="49" t="s">
        <v>744</v>
      </c>
      <c r="B42" s="499">
        <f>IFERROR(VLOOKUP($A42,'PP DS Query'!$C$1:$R$1005,5,FALSE),0)</f>
        <v>2049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4826908.88</v>
      </c>
      <c r="G42" s="523">
        <f>IFERROR(VLOOKUP($A42,'PP DS Query'!$C$1:$R$1005,7,FALSE),0)</f>
        <v>12.351607619999999</v>
      </c>
      <c r="H42" s="358">
        <f>IFERROR(VLOOKUP($A42,'PP DS Query'!$C$1:$R$1005,8,FALSE),0)</f>
        <v>59620084.479999997</v>
      </c>
      <c r="I42" s="523">
        <f>IFERROR(VLOOKUP($A42,'PP DS Query'!$C$1:$R$1005,9,FALSE),0)</f>
        <v>29.94</v>
      </c>
      <c r="J42" s="358">
        <f>IFERROR(VLOOKUP($A42,'PP DS Query'!$C$1:$R$1005,10,FALSE),0)</f>
        <v>144517651.87</v>
      </c>
      <c r="K42" s="523">
        <f>IFERROR(VLOOKUP($A42,'PP DS Query'!$C$1:$R$1005,11,FALSE),0)</f>
        <v>17.589361</v>
      </c>
      <c r="L42" s="358">
        <f>IFERROR(VLOOKUP($A42,'PP DS Query'!$C$1:$R$1005,12,FALSE),0)</f>
        <v>84902242.799999997</v>
      </c>
      <c r="M42" s="19">
        <f>IFERROR(VLOOKUP($A42,'PP DS Query'!$C$1:$R$1005,13,FALSE),0)</f>
        <v>0.42086168000000002</v>
      </c>
      <c r="N42" s="358">
        <f>IFERROR(VLOOKUP($A42,'PP DS Query'!$C$1:$R$1005,14,FALSE),0)</f>
        <v>2031460.98</v>
      </c>
      <c r="O42" s="56">
        <f>IFERROR(VLOOKUP($A42,'PP DS Query'!$C$1:$R$1005,4,FALSE),0)</f>
        <v>-0.02</v>
      </c>
      <c r="P42" s="358">
        <f>-IFERROR(VLOOKUP($A42,'PP DS Query'!$C$1:$R$1005,15,FALSE),0)</f>
        <v>96538.18</v>
      </c>
      <c r="Q42" s="358">
        <f>IFERROR(VLOOKUP($A42,'PP DS Query'!$C$1:$R$1005,16,FALSE),0)</f>
        <v>1469400.72</v>
      </c>
      <c r="R42" s="48"/>
      <c r="S42" s="472">
        <f t="shared" ref="S42:S44" si="10">IFERROR(ROUND(LEFT(A42,7)*100,0),0)</f>
        <v>34630</v>
      </c>
      <c r="T42" s="472" t="s">
        <v>963</v>
      </c>
      <c r="U42" s="474">
        <f>IFERROR(VLOOKUP($S42,#REF!,7,FALSE),0)</f>
        <v>0</v>
      </c>
      <c r="V42" s="473">
        <f t="shared" ref="V42:V44" si="11">U42-F42</f>
        <v>-4826908.88</v>
      </c>
    </row>
    <row r="43" spans="1:22" ht="15.95" customHeight="1" x14ac:dyDescent="0.2">
      <c r="A43" s="49" t="s">
        <v>745</v>
      </c>
      <c r="B43" s="499">
        <f>IFERROR(VLOOKUP($A43,'PP DS Query'!$C$1:$R$1005,5,FALSE),0)</f>
        <v>2049</v>
      </c>
      <c r="C43" s="33">
        <f>IFERROR(VLOOKUP($A43,'PP DS Query'!$C$1:$R$1005,3,FALSE),0)</f>
        <v>20</v>
      </c>
      <c r="D43" s="34" t="s">
        <v>22</v>
      </c>
      <c r="E43" s="360" t="str">
        <f>IFERROR(VLOOKUP($A43,'PP DS Query'!$C$1:$R$1005,2,FALSE),0)</f>
        <v>S3</v>
      </c>
      <c r="F43" s="358">
        <f>IFERROR(VLOOKUP($A43,'PP DS Query'!$C$1:$R$1005,6,FALSE),0)</f>
        <v>3633101.66</v>
      </c>
      <c r="G43" s="523">
        <f>IFERROR(VLOOKUP($A43,'PP DS Query'!$C$1:$R$1005,7,FALSE),0)</f>
        <v>14.53380035</v>
      </c>
      <c r="H43" s="358">
        <f>IFERROR(VLOOKUP($A43,'PP DS Query'!$C$1:$R$1005,8,FALSE),0)</f>
        <v>52802774.189999998</v>
      </c>
      <c r="I43" s="523">
        <f>IFERROR(VLOOKUP($A43,'PP DS Query'!$C$1:$R$1005,9,FALSE),0)</f>
        <v>20</v>
      </c>
      <c r="J43" s="358">
        <f>IFERROR(VLOOKUP($A43,'PP DS Query'!$C$1:$R$1005,10,FALSE),0)</f>
        <v>72662033.200000003</v>
      </c>
      <c r="K43" s="523">
        <f>IFERROR(VLOOKUP($A43,'PP DS Query'!$C$1:$R$1005,11,FALSE),0)</f>
        <v>9.0493369999999995</v>
      </c>
      <c r="L43" s="358">
        <f>IFERROR(VLOOKUP($A43,'PP DS Query'!$C$1:$R$1005,12,FALSE),0)</f>
        <v>32877161.280000001</v>
      </c>
      <c r="M43" s="19">
        <f>IFERROR(VLOOKUP($A43,'PP DS Query'!$C$1:$R$1005,13,FALSE),0)</f>
        <v>0.58139843000000002</v>
      </c>
      <c r="N43" s="358">
        <f>IFERROR(VLOOKUP($A43,'PP DS Query'!$C$1:$R$1005,14,FALSE),0)</f>
        <v>2112279.6</v>
      </c>
      <c r="O43" s="56">
        <f>IFERROR(VLOOKUP($A43,'PP DS Query'!$C$1:$R$1005,4,FALSE),0)</f>
        <v>-0.02</v>
      </c>
      <c r="P43" s="358">
        <f>-IFERROR(VLOOKUP($A43,'PP DS Query'!$C$1:$R$1005,15,FALSE),0)</f>
        <v>72662.03</v>
      </c>
      <c r="Q43" s="358">
        <f>IFERROR(VLOOKUP($A43,'PP DS Query'!$C$1:$R$1005,16,FALSE),0)</f>
        <v>1527858.63</v>
      </c>
      <c r="R43" s="48"/>
      <c r="S43" s="472">
        <f t="shared" si="10"/>
        <v>34630</v>
      </c>
      <c r="T43" s="472" t="s">
        <v>964</v>
      </c>
      <c r="U43" s="474">
        <f>IFERROR(VLOOKUP($S43,#REF!,8,FALSE),0)</f>
        <v>0</v>
      </c>
      <c r="V43" s="473">
        <f t="shared" si="11"/>
        <v>-3633101.66</v>
      </c>
    </row>
    <row r="44" spans="1:22" ht="15.95" customHeight="1" thickBot="1" x14ac:dyDescent="0.25">
      <c r="A44" s="396" t="s">
        <v>935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10"/>
        <v>34630</v>
      </c>
      <c r="T44" s="472" t="s">
        <v>961</v>
      </c>
      <c r="U44" s="475">
        <f>IFERROR(VLOOKUP($S44,#REF!,9,FALSE),0)</f>
        <v>0</v>
      </c>
      <c r="V44" s="476">
        <f t="shared" si="11"/>
        <v>0</v>
      </c>
    </row>
    <row r="45" spans="1:22" ht="15.95" customHeight="1" x14ac:dyDescent="0.2">
      <c r="A45" s="49" t="s">
        <v>746</v>
      </c>
      <c r="B45" s="499">
        <f>IFERROR(VLOOKUP($A45,'PP DS Query'!$C$1:$R$1005,5,FALSE),0)</f>
        <v>2049</v>
      </c>
      <c r="C45" s="33"/>
      <c r="D45" s="34"/>
      <c r="E45" s="15"/>
      <c r="F45" s="443">
        <f>IFERROR(VLOOKUP($A45,'PP DS Query'!$C$1:$R$1005,6,FALSE),0)</f>
        <v>10878706.539999999</v>
      </c>
      <c r="G45" s="525">
        <f>IFERROR(VLOOKUP($A45,'PP DS Query'!$C$1:$R$1005,7,FALSE),0)</f>
        <v>13.50048945</v>
      </c>
      <c r="H45" s="443">
        <f>IFERROR(VLOOKUP($A45,'PP DS Query'!$C$1:$R$1005,8,FALSE),0)</f>
        <v>146867862.86000001</v>
      </c>
      <c r="I45" s="525">
        <f>IFERROR(VLOOKUP($A45,'PP DS Query'!$C$1:$R$1005,9,FALSE),0)</f>
        <v>29.1438731</v>
      </c>
      <c r="J45" s="443">
        <f>IFERROR(VLOOKUP($A45,'PP DS Query'!$C$1:$R$1005,10,FALSE),0)</f>
        <v>317047642.91000003</v>
      </c>
      <c r="K45" s="525">
        <f>IFERROR(VLOOKUP($A45,'PP DS Query'!$C$1:$R$1005,11,FALSE),0)</f>
        <v>17.134845599999998</v>
      </c>
      <c r="L45" s="443">
        <f>IFERROR(VLOOKUP($A45,'PP DS Query'!$C$1:$R$1005,12,FALSE),0)</f>
        <v>186404956.84999999</v>
      </c>
      <c r="M45" s="445">
        <f>IFERROR(VLOOKUP($A45,'PP DS Query'!$C$1:$R$1005,13,FALSE),0)</f>
        <v>0.4535785</v>
      </c>
      <c r="N45" s="443">
        <f>IFERROR(VLOOKUP($A45,'PP DS Query'!$C$1:$R$1005,14,FALSE),0)</f>
        <v>4934347.41</v>
      </c>
      <c r="O45" s="446">
        <f>IFERROR(VLOOKUP($A45,'PP DS Query'!$C$1:$R$1005,4,FALSE),0)</f>
        <v>-0.02</v>
      </c>
      <c r="P45" s="443">
        <f>-IFERROR(VLOOKUP($A45,'PP DS Query'!$C$1:$R$1005,15,FALSE),0)</f>
        <v>217574.13</v>
      </c>
      <c r="Q45" s="443">
        <f>IFERROR(VLOOKUP($A45,'PP DS Query'!$C$1:$R$1005,16,FALSE),0)</f>
        <v>3569122.78</v>
      </c>
      <c r="R45" s="48"/>
      <c r="U45" s="473">
        <f>SUM(U41:U44)</f>
        <v>0</v>
      </c>
      <c r="V45" s="473">
        <f>SUM(V41:V44)</f>
        <v>-10878706.539999999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Common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46</v>
      </c>
      <c r="D49" s="34" t="s">
        <v>22</v>
      </c>
      <c r="E49" s="360" t="s">
        <v>359</v>
      </c>
      <c r="F49" s="358">
        <f>F13+F20+F27+F34+F41</f>
        <v>106422387.78999999</v>
      </c>
      <c r="G49" s="523">
        <f>IF($F49=0,0,H49/$F49)</f>
        <v>16.176238794575916</v>
      </c>
      <c r="H49" s="358">
        <f t="shared" ref="H49:H52" si="12">H13+H20+H27+H34+H41</f>
        <v>1721513957.98</v>
      </c>
      <c r="I49" s="523">
        <f>IF($F49=0,0,J49/$F49)</f>
        <v>41.475744871839439</v>
      </c>
      <c r="J49" s="358">
        <f>J13+J20+J27+J34+J41</f>
        <v>4413947804.6300001</v>
      </c>
      <c r="K49" s="523">
        <f>IF($F49=0,0,L49/$F49)</f>
        <v>26.743193889203756</v>
      </c>
      <c r="L49" s="358">
        <f>L13+L20+L27+L34+L41</f>
        <v>2846074550.8200002</v>
      </c>
      <c r="M49" s="19">
        <f>IF($F49=0,0,N49/$F49)</f>
        <v>0.37420741760261533</v>
      </c>
      <c r="N49" s="358">
        <f t="shared" ref="N49:P52" si="13">N13+N20+N27+N34+N41</f>
        <v>39824046.909999996</v>
      </c>
      <c r="O49" s="56">
        <f>-IF($F49=0,0,P49/$F49)</f>
        <v>-3.416307992613591E-2</v>
      </c>
      <c r="P49" s="358">
        <f t="shared" si="13"/>
        <v>3635716.54</v>
      </c>
      <c r="Q49" s="358">
        <f t="shared" ref="Q49" si="14">Q13+Q20+Q27+Q34+Q41</f>
        <v>25368157.809999999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33663949.780000001</v>
      </c>
      <c r="G50" s="523">
        <f>IF($F50=0,0,H50/$F50)</f>
        <v>12.682542791923094</v>
      </c>
      <c r="H50" s="358">
        <f t="shared" si="12"/>
        <v>426944483.63000005</v>
      </c>
      <c r="I50" s="523">
        <f>IF($F50=0,0,J50/$F50)</f>
        <v>29.733198135135765</v>
      </c>
      <c r="J50" s="358">
        <f>J14+J21+J28+J35+J42</f>
        <v>1000936888.8200001</v>
      </c>
      <c r="K50" s="523">
        <f>IF($F50=0,0,L50/$F50)</f>
        <v>18.032646379203339</v>
      </c>
      <c r="L50" s="358">
        <f>L14+L21+L28+L35+L42</f>
        <v>607050102.11000001</v>
      </c>
      <c r="M50" s="19">
        <f>IF($F50=0,0,N50/$F50)</f>
        <v>0.41524470661802421</v>
      </c>
      <c r="N50" s="358">
        <f t="shared" si="13"/>
        <v>13978776.950000001</v>
      </c>
      <c r="O50" s="56">
        <f>-IF($F50=0,0,P50/$F50)</f>
        <v>-3.7225831733640379E-2</v>
      </c>
      <c r="P50" s="358">
        <f t="shared" si="13"/>
        <v>1253168.53</v>
      </c>
      <c r="Q50" s="358">
        <f t="shared" ref="Q50" si="15">Q14+Q21+Q28+Q35+Q42</f>
        <v>9570699.8900000006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22539963.739999998</v>
      </c>
      <c r="G51" s="523">
        <f>IF($F51=0,0,H51/$F51)</f>
        <v>11.866757096211726</v>
      </c>
      <c r="H51" s="358">
        <f t="shared" si="12"/>
        <v>267476274.65999997</v>
      </c>
      <c r="I51" s="523">
        <f>IF($F51=0,0,J51/$F51)</f>
        <v>20.000000000000004</v>
      </c>
      <c r="J51" s="358">
        <f>J15+J22+J29+J36+J43</f>
        <v>450799274.80000001</v>
      </c>
      <c r="K51" s="523">
        <f>IF($F51=0,0,L51/$F51)</f>
        <v>9.7937750147418843</v>
      </c>
      <c r="L51" s="358">
        <f>L15+L22+L29+L36+L43</f>
        <v>220751333.71000001</v>
      </c>
      <c r="M51" s="19">
        <f>IF($F51=0,0,N51/$F51)</f>
        <v>0.53453262565008908</v>
      </c>
      <c r="N51" s="358">
        <f t="shared" si="13"/>
        <v>12048346</v>
      </c>
      <c r="O51" s="56">
        <f>-IF($F51=0,0,P51/$F51)</f>
        <v>-3.7564814201426933E-2</v>
      </c>
      <c r="P51" s="358">
        <f t="shared" si="13"/>
        <v>846709.55</v>
      </c>
      <c r="Q51" s="358">
        <f t="shared" ref="Q51" si="16">Q15+Q22+Q29+Q36+Q43</f>
        <v>9697472.3200000003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441" t="s">
        <v>359</v>
      </c>
      <c r="F52" s="250">
        <f>F16+F23+F30+F37+F44</f>
        <v>16444234.119999999</v>
      </c>
      <c r="G52" s="524">
        <f>IF($F52=0,0,H52/$F52)</f>
        <v>11.5</v>
      </c>
      <c r="H52" s="250">
        <f t="shared" si="12"/>
        <v>189108692.38</v>
      </c>
      <c r="I52" s="524">
        <f>IF($F52=0,0,J52/$F52)</f>
        <v>12</v>
      </c>
      <c r="J52" s="250">
        <f>J16+J23+J30+J37+J44</f>
        <v>197330809.44</v>
      </c>
      <c r="K52" s="524">
        <f>IF($F52=0,0,L52/$F52)</f>
        <v>0.5</v>
      </c>
      <c r="L52" s="250">
        <f>L16+L23+L30+L37+L44</f>
        <v>8222117.0599999996</v>
      </c>
      <c r="M52" s="21">
        <f>IF($F52=0,0,N52/$F52)</f>
        <v>1.0254166668359255</v>
      </c>
      <c r="N52" s="250">
        <f t="shared" si="13"/>
        <v>16862191.739999998</v>
      </c>
      <c r="O52" s="57">
        <f>-IF($F52=0,0,P52/$F52)</f>
        <v>-7.0000000097298537E-2</v>
      </c>
      <c r="P52" s="250">
        <f t="shared" si="13"/>
        <v>1151096.3899999999</v>
      </c>
      <c r="Q52" s="250">
        <f t="shared" ref="Q52" si="17">Q16+Q23+Q30+Q37+Q44</f>
        <v>8540772.0199999996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179070535.43000001</v>
      </c>
      <c r="G53" s="525">
        <f>IF($F53=0,0,H53/$F53)</f>
        <v>14.547582618181933</v>
      </c>
      <c r="H53" s="443">
        <f t="shared" ref="H53" si="18">SUM(H49:H52)</f>
        <v>2605043408.6500001</v>
      </c>
      <c r="I53" s="525">
        <f>IF($F53=0,0,J53/$F53)</f>
        <v>33.858249003002939</v>
      </c>
      <c r="J53" s="443">
        <f>SUM(J49:J52)</f>
        <v>6063014777.6899996</v>
      </c>
      <c r="K53" s="525">
        <f>IF($F53=0,0,L53/$F53)</f>
        <v>20.562277846873137</v>
      </c>
      <c r="L53" s="443">
        <f>SUM(L49:L52)</f>
        <v>3682098103.7000003</v>
      </c>
      <c r="M53" s="445">
        <f>IF($F53=0,0,N53/$F53)</f>
        <v>0.46190380456160113</v>
      </c>
      <c r="N53" s="443">
        <f t="shared" ref="N53:P53" si="19">SUM(N49:N52)</f>
        <v>82713361.599999994</v>
      </c>
      <c r="O53" s="446">
        <f>-IF($F53=0,0,P53/$F53)</f>
        <v>-3.8457979664064043E-2</v>
      </c>
      <c r="P53" s="443">
        <f t="shared" si="19"/>
        <v>6886691.0099999998</v>
      </c>
      <c r="Q53" s="443">
        <f t="shared" ref="Q53" si="20">SUM(Q49:Q52)</f>
        <v>53177102.040000007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34130</v>
      </c>
      <c r="F56" s="352">
        <f>IFERROR(VLOOKUP(E56,'2019 B-7'!C:P,14,FALSE),0)</f>
        <v>81547563.790000051</v>
      </c>
      <c r="G56" s="353">
        <f>F56-F17</f>
        <v>0</v>
      </c>
      <c r="H56" s="348"/>
      <c r="P56" s="260">
        <f>E56</f>
        <v>34130</v>
      </c>
      <c r="Q56" s="352">
        <f>IFERROR(VLOOKUP(P56,'2019 B-9'!C:R,16,FALSE),0)</f>
        <v>19408919.799999986</v>
      </c>
      <c r="R56" s="353">
        <f>Q56-Q17</f>
        <v>0</v>
      </c>
    </row>
    <row r="57" spans="1:18" x14ac:dyDescent="0.2">
      <c r="E57" s="260">
        <v>34230</v>
      </c>
      <c r="F57" s="352">
        <f>IFERROR(VLOOKUP(E57,'2019 B-7'!C:P,14,FALSE),0)</f>
        <v>22466368.349999998</v>
      </c>
      <c r="G57" s="353">
        <f>F57-F24</f>
        <v>0</v>
      </c>
      <c r="H57" s="395"/>
      <c r="P57" s="260">
        <f t="shared" ref="P57:P60" si="21">E57</f>
        <v>34230</v>
      </c>
      <c r="Q57" s="352">
        <f>IFERROR(VLOOKUP(P57,'2019 B-9'!C:R,16,FALSE),0)</f>
        <v>6639603.629999999</v>
      </c>
      <c r="R57" s="353">
        <f>Q57-Q24</f>
        <v>0</v>
      </c>
    </row>
    <row r="58" spans="1:18" x14ac:dyDescent="0.2">
      <c r="E58" s="260">
        <v>34330</v>
      </c>
      <c r="F58" s="352">
        <f>IFERROR(VLOOKUP(E58,'2019 B-7'!C:P,14,FALSE),0)</f>
        <v>35297616.749999993</v>
      </c>
      <c r="G58" s="353">
        <f>F58-F31</f>
        <v>0</v>
      </c>
      <c r="H58" s="395"/>
      <c r="P58" s="260">
        <f t="shared" si="21"/>
        <v>34330</v>
      </c>
      <c r="Q58" s="352">
        <f>IFERROR(VLOOKUP(P58,'2019 B-9'!C:R,16,FALSE),0)</f>
        <v>12106612.260000007</v>
      </c>
      <c r="R58" s="353">
        <f>Q58-Q31</f>
        <v>0</v>
      </c>
    </row>
    <row r="59" spans="1:18" x14ac:dyDescent="0.2">
      <c r="E59" s="260">
        <v>34530</v>
      </c>
      <c r="F59" s="352">
        <f>IFERROR(VLOOKUP(E59,'2019 B-7'!C:P,14,FALSE),0)</f>
        <v>28880279.999999996</v>
      </c>
      <c r="G59" s="353">
        <f>F59-F38</f>
        <v>0</v>
      </c>
      <c r="H59" s="348"/>
      <c r="P59" s="260">
        <f t="shared" si="21"/>
        <v>34530</v>
      </c>
      <c r="Q59" s="352">
        <f>IFERROR(VLOOKUP(P59,'2019 B-9'!C:R,16,FALSE),0)</f>
        <v>11452843.569999987</v>
      </c>
      <c r="R59" s="353">
        <f>Q59-Q38</f>
        <v>0</v>
      </c>
    </row>
    <row r="60" spans="1:18" x14ac:dyDescent="0.2">
      <c r="E60" s="260">
        <v>34630</v>
      </c>
      <c r="F60" s="352">
        <f>IFERROR(VLOOKUP(E60,'2019 B-7'!C:P,14,FALSE),0)</f>
        <v>10878706.539999999</v>
      </c>
      <c r="G60" s="353">
        <f>F60-F45</f>
        <v>0</v>
      </c>
      <c r="H60" s="348"/>
      <c r="P60" s="260">
        <f t="shared" si="21"/>
        <v>34630</v>
      </c>
      <c r="Q60" s="352">
        <f>IFERROR(VLOOKUP(P60,'2019 B-9'!C:R,16,FALSE),0)</f>
        <v>3569122.7799999993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179070535.43000004</v>
      </c>
      <c r="G61" s="354">
        <f>SUM(G56:G60)</f>
        <v>0</v>
      </c>
      <c r="P61" s="349" t="s">
        <v>40</v>
      </c>
      <c r="Q61" s="354">
        <f>SUM(Q56:Q60)</f>
        <v>53177102.039999977</v>
      </c>
      <c r="R61" s="354">
        <f>SUM(R56:R60)</f>
        <v>0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0</v>
      </c>
    </row>
    <row r="63" spans="1:18" x14ac:dyDescent="0.2">
      <c r="E63" s="29"/>
      <c r="G63" s="18"/>
    </row>
    <row r="64" spans="1:18" x14ac:dyDescent="0.2">
      <c r="E64" s="29"/>
      <c r="G64" s="18"/>
      <c r="H64" s="18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4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G19" sqref="G19"/>
    </sheetView>
  </sheetViews>
  <sheetFormatPr defaultColWidth="9.140625" defaultRowHeight="12.75" x14ac:dyDescent="0.2"/>
  <cols>
    <col min="1" max="1" width="32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35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2038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1232</v>
      </c>
      <c r="E12" s="50"/>
      <c r="P12" s="18"/>
      <c r="Q12" s="18"/>
      <c r="R12" s="48"/>
    </row>
    <row r="13" spans="1:22" ht="15.95" customHeight="1" x14ac:dyDescent="0.2">
      <c r="A13" s="49" t="s">
        <v>600</v>
      </c>
      <c r="B13" s="499">
        <f>IFERROR(VLOOKUP($A13,'PP DS Query'!$C$1:$R$1005,5,FALSE),0)</f>
        <v>2038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20821463.920000002</v>
      </c>
      <c r="G13" s="523">
        <f>IFERROR(VLOOKUP($A13,'PP DS Query'!$C$1:$R$1005,7,FALSE),0)</f>
        <v>17.32355965</v>
      </c>
      <c r="H13" s="358">
        <f>IFERROR(VLOOKUP($A13,'PP DS Query'!$C$1:$R$1005,8,FALSE),0)</f>
        <v>360701872.18000001</v>
      </c>
      <c r="I13" s="523">
        <f>IFERROR(VLOOKUP($A13,'PP DS Query'!$C$1:$R$1005,9,FALSE),0)</f>
        <v>34.46</v>
      </c>
      <c r="J13" s="358">
        <f>IFERROR(VLOOKUP($A13,'PP DS Query'!$C$1:$R$1005,10,FALSE),0)</f>
        <v>717507646.67999995</v>
      </c>
      <c r="K13" s="523">
        <f>IFERROR(VLOOKUP($A13,'PP DS Query'!$C$1:$R$1005,11,FALSE),0)</f>
        <v>18.284693999999998</v>
      </c>
      <c r="L13" s="358">
        <f>IFERROR(VLOOKUP($A13,'PP DS Query'!$C$1:$R$1005,12,FALSE),0)</f>
        <v>380714096.41000003</v>
      </c>
      <c r="M13" s="19">
        <f>IFERROR(VLOOKUP($A13,'PP DS Query'!$C$1:$R$1005,13,FALSE),0)</f>
        <v>0.49068456999999999</v>
      </c>
      <c r="N13" s="358">
        <f>IFERROR(VLOOKUP($A13,'PP DS Query'!$C$1:$R$1005,14,FALSE),0)</f>
        <v>10216771.029999999</v>
      </c>
      <c r="O13" s="56">
        <f>IFERROR(VLOOKUP($A13,'PP DS Query'!$C$1:$R$1005,4,FALSE),0)</f>
        <v>-0.02</v>
      </c>
      <c r="P13" s="358">
        <f>-IFERROR(VLOOKUP($A13,'PP DS Query'!$C$1:$R$1005,15,FALSE),0)</f>
        <v>416429.28</v>
      </c>
      <c r="Q13" s="358">
        <f>IFERROR(VLOOKUP($A13,'PP DS Query'!$C$1:$R$1005,16,FALSE),0)</f>
        <v>7753329.8399999999</v>
      </c>
      <c r="R13" s="48"/>
      <c r="S13" s="472">
        <f>IFERROR(ROUND(LEFT(A13,7)*100,0),0)</f>
        <v>34131</v>
      </c>
      <c r="T13" s="472" t="s">
        <v>962</v>
      </c>
      <c r="U13" s="474">
        <f>IFERROR(VLOOKUP($S13,#REF!,6,FALSE),0)</f>
        <v>0</v>
      </c>
      <c r="V13" s="473">
        <f>U13-F13</f>
        <v>-20821463.920000002</v>
      </c>
    </row>
    <row r="14" spans="1:22" ht="15.95" customHeight="1" x14ac:dyDescent="0.2">
      <c r="A14" s="49" t="s">
        <v>601</v>
      </c>
      <c r="B14" s="499">
        <f>IFERROR(VLOOKUP($A14,'PP DS Query'!$C$1:$R$1005,5,FALSE),0)</f>
        <v>2038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605037.22</v>
      </c>
      <c r="G14" s="523">
        <f>IFERROR(VLOOKUP($A14,'PP DS Query'!$C$1:$R$1005,7,FALSE),0)</f>
        <v>15.175061299999999</v>
      </c>
      <c r="H14" s="358">
        <f>IFERROR(VLOOKUP($A14,'PP DS Query'!$C$1:$R$1005,8,FALSE),0)</f>
        <v>9181476.9000000004</v>
      </c>
      <c r="I14" s="523">
        <f>IFERROR(VLOOKUP($A14,'PP DS Query'!$C$1:$R$1005,9,FALSE),0)</f>
        <v>24.42</v>
      </c>
      <c r="J14" s="358">
        <f>IFERROR(VLOOKUP($A14,'PP DS Query'!$C$1:$R$1005,10,FALSE),0)</f>
        <v>14775008.91</v>
      </c>
      <c r="K14" s="523">
        <f>IFERROR(VLOOKUP($A14,'PP DS Query'!$C$1:$R$1005,11,FALSE),0)</f>
        <v>13.6677</v>
      </c>
      <c r="L14" s="358">
        <f>IFERROR(VLOOKUP($A14,'PP DS Query'!$C$1:$R$1005,12,FALSE),0)</f>
        <v>8269467.21</v>
      </c>
      <c r="M14" s="19">
        <f>IFERROR(VLOOKUP($A14,'PP DS Query'!$C$1:$R$1005,13,FALSE),0)</f>
        <v>0.44901977999999998</v>
      </c>
      <c r="N14" s="358">
        <f>IFERROR(VLOOKUP($A14,'PP DS Query'!$C$1:$R$1005,14,FALSE),0)</f>
        <v>271673.68</v>
      </c>
      <c r="O14" s="56">
        <f>IFERROR(VLOOKUP($A14,'PP DS Query'!$C$1:$R$1005,4,FALSE),0)</f>
        <v>-0.02</v>
      </c>
      <c r="P14" s="358">
        <f>-IFERROR(VLOOKUP($A14,'PP DS Query'!$C$1:$R$1005,15,FALSE),0)</f>
        <v>12100.74</v>
      </c>
      <c r="Q14" s="358">
        <f>IFERROR(VLOOKUP($A14,'PP DS Query'!$C$1:$R$1005,16,FALSE),0)</f>
        <v>206168.43</v>
      </c>
      <c r="R14" s="48"/>
      <c r="S14" s="472">
        <f t="shared" ref="S14:S16" si="0">IFERROR(ROUND(LEFT(A14,7)*100,0),0)</f>
        <v>34131</v>
      </c>
      <c r="T14" s="472" t="s">
        <v>963</v>
      </c>
      <c r="U14" s="474">
        <f>IFERROR(VLOOKUP($S14,#REF!,7,FALSE),0)</f>
        <v>0</v>
      </c>
      <c r="V14" s="473">
        <f t="shared" ref="V14:V16" si="1">U14-F14</f>
        <v>-605037.22</v>
      </c>
    </row>
    <row r="15" spans="1:22" ht="15.95" customHeight="1" x14ac:dyDescent="0.2">
      <c r="A15" s="49" t="s">
        <v>602</v>
      </c>
      <c r="B15" s="499">
        <f>IFERROR(VLOOKUP($A15,'PP DS Query'!$C$1:$R$1005,5,FALSE),0)</f>
        <v>2038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182593.8</v>
      </c>
      <c r="G15" s="523">
        <f>IFERROR(VLOOKUP($A15,'PP DS Query'!$C$1:$R$1005,7,FALSE),0)</f>
        <v>6.6570627299999998</v>
      </c>
      <c r="H15" s="358">
        <f>IFERROR(VLOOKUP($A15,'PP DS Query'!$C$1:$R$1005,8,FALSE),0)</f>
        <v>1215538.3799999999</v>
      </c>
      <c r="I15" s="523">
        <f>IFERROR(VLOOKUP($A15,'PP DS Query'!$C$1:$R$1005,9,FALSE),0)</f>
        <v>19.61</v>
      </c>
      <c r="J15" s="358">
        <f>IFERROR(VLOOKUP($A15,'PP DS Query'!$C$1:$R$1005,10,FALSE),0)</f>
        <v>3580664.42</v>
      </c>
      <c r="K15" s="523">
        <f>IFERROR(VLOOKUP($A15,'PP DS Query'!$C$1:$R$1005,11,FALSE),0)</f>
        <v>13.076686</v>
      </c>
      <c r="L15" s="358">
        <f>IFERROR(VLOOKUP($A15,'PP DS Query'!$C$1:$R$1005,12,FALSE),0)</f>
        <v>2387721.79</v>
      </c>
      <c r="M15" s="19">
        <f>IFERROR(VLOOKUP($A15,'PP DS Query'!$C$1:$R$1005,13,FALSE),0)</f>
        <v>0.33988443000000002</v>
      </c>
      <c r="N15" s="358">
        <f>IFERROR(VLOOKUP($A15,'PP DS Query'!$C$1:$R$1005,14,FALSE),0)</f>
        <v>62060.79</v>
      </c>
      <c r="O15" s="56">
        <f>IFERROR(VLOOKUP($A15,'PP DS Query'!$C$1:$R$1005,4,FALSE),0)</f>
        <v>-0.02</v>
      </c>
      <c r="P15" s="358">
        <f>-IFERROR(VLOOKUP($A15,'PP DS Query'!$C$1:$R$1005,15,FALSE),0)</f>
        <v>3651.88</v>
      </c>
      <c r="Q15" s="358">
        <f>IFERROR(VLOOKUP($A15,'PP DS Query'!$C$1:$R$1005,16,FALSE),0)</f>
        <v>47096.85</v>
      </c>
      <c r="R15" s="48"/>
      <c r="S15" s="472">
        <f t="shared" si="0"/>
        <v>34131</v>
      </c>
      <c r="T15" s="472" t="s">
        <v>964</v>
      </c>
      <c r="U15" s="474">
        <f>IFERROR(VLOOKUP($S15,#REF!,8,FALSE),0)</f>
        <v>0</v>
      </c>
      <c r="V15" s="473">
        <f t="shared" si="1"/>
        <v>-182593.8</v>
      </c>
    </row>
    <row r="16" spans="1:22" ht="15.95" customHeight="1" thickBot="1" x14ac:dyDescent="0.25">
      <c r="A16" s="396" t="s">
        <v>926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34131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603</v>
      </c>
      <c r="B17" s="499">
        <f>IFERROR(VLOOKUP($A17,'PP DS Query'!$C$1:$R$1005,5,FALSE),0)</f>
        <v>2038</v>
      </c>
      <c r="C17" s="33"/>
      <c r="D17" s="34"/>
      <c r="E17" s="15"/>
      <c r="F17" s="443">
        <f>IFERROR(VLOOKUP($A17,'PP DS Query'!$C$1:$R$1005,6,FALSE),0)</f>
        <v>21609094.940000001</v>
      </c>
      <c r="G17" s="525">
        <f>IFERROR(VLOOKUP($A17,'PP DS Query'!$C$1:$R$1005,7,FALSE),0)</f>
        <v>17.173273040000002</v>
      </c>
      <c r="H17" s="443">
        <f>IFERROR(VLOOKUP($A17,'PP DS Query'!$C$1:$R$1005,8,FALSE),0)</f>
        <v>371098887.45999998</v>
      </c>
      <c r="I17" s="525">
        <f>IFERROR(VLOOKUP($A17,'PP DS Query'!$C$1:$R$1005,9,FALSE),0)</f>
        <v>34.053407700000001</v>
      </c>
      <c r="J17" s="443">
        <f>IFERROR(VLOOKUP($A17,'PP DS Query'!$C$1:$R$1005,10,FALSE),0)</f>
        <v>735863320.00999999</v>
      </c>
      <c r="K17" s="525">
        <f>IFERROR(VLOOKUP($A17,'PP DS Query'!$C$1:$R$1005,11,FALSE),0)</f>
        <v>18.111414960000001</v>
      </c>
      <c r="L17" s="443">
        <f>IFERROR(VLOOKUP($A17,'PP DS Query'!$C$1:$R$1005,12,FALSE),0)</f>
        <v>391371285.41000003</v>
      </c>
      <c r="M17" s="445">
        <f>IFERROR(VLOOKUP($A17,'PP DS Query'!$C$1:$R$1005,13,FALSE),0)</f>
        <v>0.48824374999999998</v>
      </c>
      <c r="N17" s="443">
        <f>IFERROR(VLOOKUP($A17,'PP DS Query'!$C$1:$R$1005,14,FALSE),0)</f>
        <v>10550505.5</v>
      </c>
      <c r="O17" s="446">
        <f>IFERROR(VLOOKUP($A17,'PP DS Query'!$C$1:$R$1005,4,FALSE),0)</f>
        <v>-0.02</v>
      </c>
      <c r="P17" s="443">
        <f>-IFERROR(VLOOKUP($A17,'PP DS Query'!$C$1:$R$1005,15,FALSE),0)</f>
        <v>432181.9</v>
      </c>
      <c r="Q17" s="443">
        <f>IFERROR(VLOOKUP($A17,'PP DS Query'!$C$1:$R$1005,16,FALSE),0)</f>
        <v>8006595.1200000001</v>
      </c>
      <c r="R17" s="48"/>
      <c r="U17" s="473">
        <f>SUM(U13:U16)</f>
        <v>0</v>
      </c>
      <c r="V17" s="473">
        <f>SUM(V13:V16)</f>
        <v>-21609094.940000001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1233</v>
      </c>
      <c r="E19" s="360"/>
      <c r="F19" s="358"/>
      <c r="G19" s="523"/>
      <c r="H19" s="358"/>
      <c r="I19" s="523"/>
      <c r="J19" s="358"/>
      <c r="K19" s="523"/>
      <c r="L19" s="358"/>
      <c r="N19" s="358"/>
      <c r="O19" s="56"/>
      <c r="P19" s="358"/>
      <c r="Q19" s="358"/>
      <c r="R19" s="48"/>
    </row>
    <row r="20" spans="1:22" ht="15.95" customHeight="1" x14ac:dyDescent="0.2">
      <c r="A20" s="49" t="s">
        <v>754</v>
      </c>
      <c r="B20" s="499">
        <f>IFERROR(VLOOKUP($A20,'PP DS Query'!$C$1:$R$1005,5,FALSE),0)</f>
        <v>2038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49813831.619999997</v>
      </c>
      <c r="G20" s="523">
        <f>IFERROR(VLOOKUP($A20,'PP DS Query'!$C$1:$R$1005,7,FALSE),0)</f>
        <v>14.37120427</v>
      </c>
      <c r="H20" s="358">
        <f>IFERROR(VLOOKUP($A20,'PP DS Query'!$C$1:$R$1005,8,FALSE),0)</f>
        <v>715884749.89999998</v>
      </c>
      <c r="I20" s="523">
        <f>IFERROR(VLOOKUP($A20,'PP DS Query'!$C$1:$R$1005,9,FALSE),0)</f>
        <v>31.9</v>
      </c>
      <c r="J20" s="358">
        <f>IFERROR(VLOOKUP($A20,'PP DS Query'!$C$1:$R$1005,10,FALSE),0)</f>
        <v>1589061228.6800001</v>
      </c>
      <c r="K20" s="523">
        <f>IFERROR(VLOOKUP($A20,'PP DS Query'!$C$1:$R$1005,11,FALSE),0)</f>
        <v>18.5</v>
      </c>
      <c r="L20" s="358">
        <f>IFERROR(VLOOKUP($A20,'PP DS Query'!$C$1:$R$1005,12,FALSE),0)</f>
        <v>921555884.97000003</v>
      </c>
      <c r="M20" s="19">
        <f>IFERROR(VLOOKUP($A20,'PP DS Query'!$C$1:$R$1005,13,FALSE),0)</f>
        <v>0.44113757999999997</v>
      </c>
      <c r="N20" s="358">
        <f>IFERROR(VLOOKUP($A20,'PP DS Query'!$C$1:$R$1005,14,FALSE),0)</f>
        <v>21974752.91</v>
      </c>
      <c r="O20" s="56">
        <f>IFERROR(VLOOKUP($A20,'PP DS Query'!$C$1:$R$1005,4,FALSE),0)</f>
        <v>-0.05</v>
      </c>
      <c r="P20" s="358">
        <f>-IFERROR(VLOOKUP($A20,'PP DS Query'!$C$1:$R$1005,15,FALSE),0)</f>
        <v>2490691.58</v>
      </c>
      <c r="Q20" s="358">
        <f>IFERROR(VLOOKUP($A20,'PP DS Query'!$C$1:$R$1005,16,FALSE),0)</f>
        <v>17750421.960000001</v>
      </c>
      <c r="R20" s="48"/>
      <c r="S20" s="472">
        <f>IFERROR(ROUND(LEFT(A20,7)*100,0),0)</f>
        <v>34231</v>
      </c>
      <c r="T20" s="472" t="s">
        <v>962</v>
      </c>
      <c r="U20" s="474">
        <f>IFERROR(VLOOKUP($S20,#REF!,6,FALSE),0)</f>
        <v>0</v>
      </c>
      <c r="V20" s="473">
        <f>U20-F20</f>
        <v>-49813831.619999997</v>
      </c>
    </row>
    <row r="21" spans="1:22" ht="15.95" customHeight="1" x14ac:dyDescent="0.2">
      <c r="A21" s="49" t="s">
        <v>755</v>
      </c>
      <c r="B21" s="499">
        <f>IFERROR(VLOOKUP($A21,'PP DS Query'!$C$1:$R$1005,5,FALSE),0)</f>
        <v>2038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26990198.449999999</v>
      </c>
      <c r="G21" s="523">
        <f>IFERROR(VLOOKUP($A21,'PP DS Query'!$C$1:$R$1005,7,FALSE),0)</f>
        <v>15.757558080000001</v>
      </c>
      <c r="H21" s="358">
        <f>IFERROR(VLOOKUP($A21,'PP DS Query'!$C$1:$R$1005,8,FALSE),0)</f>
        <v>425299619.60000002</v>
      </c>
      <c r="I21" s="523">
        <f>IFERROR(VLOOKUP($A21,'PP DS Query'!$C$1:$R$1005,9,FALSE),0)</f>
        <v>29.35</v>
      </c>
      <c r="J21" s="358">
        <f>IFERROR(VLOOKUP($A21,'PP DS Query'!$C$1:$R$1005,10,FALSE),0)</f>
        <v>792162324.50999999</v>
      </c>
      <c r="K21" s="523">
        <f>IFERROR(VLOOKUP($A21,'PP DS Query'!$C$1:$R$1005,11,FALSE),0)</f>
        <v>13.498608000000001</v>
      </c>
      <c r="L21" s="358">
        <f>IFERROR(VLOOKUP($A21,'PP DS Query'!$C$1:$R$1005,12,FALSE),0)</f>
        <v>364330108.72000003</v>
      </c>
      <c r="M21" s="19">
        <f>IFERROR(VLOOKUP($A21,'PP DS Query'!$C$1:$R$1005,13,FALSE),0)</f>
        <v>0.56703775999999995</v>
      </c>
      <c r="N21" s="358">
        <f>IFERROR(VLOOKUP($A21,'PP DS Query'!$C$1:$R$1005,14,FALSE),0)</f>
        <v>15304461.65</v>
      </c>
      <c r="O21" s="56">
        <f>IFERROR(VLOOKUP($A21,'PP DS Query'!$C$1:$R$1005,4,FALSE),0)</f>
        <v>-0.05</v>
      </c>
      <c r="P21" s="358">
        <f>-IFERROR(VLOOKUP($A21,'PP DS Query'!$C$1:$R$1005,15,FALSE),0)</f>
        <v>1349509.92</v>
      </c>
      <c r="Q21" s="358">
        <f>IFERROR(VLOOKUP($A21,'PP DS Query'!$C$1:$R$1005,16,FALSE),0)</f>
        <v>12362398.49</v>
      </c>
      <c r="R21" s="48"/>
      <c r="S21" s="472">
        <f t="shared" ref="S21:S23" si="2">IFERROR(ROUND(LEFT(A21,7)*100,0),0)</f>
        <v>34231</v>
      </c>
      <c r="T21" s="472" t="s">
        <v>963</v>
      </c>
      <c r="U21" s="474">
        <f>IFERROR(VLOOKUP($S21,#REF!,7,FALSE),0)</f>
        <v>0</v>
      </c>
      <c r="V21" s="473">
        <f t="shared" ref="V21:V23" si="3">U21-F21</f>
        <v>-26990198.449999999</v>
      </c>
    </row>
    <row r="22" spans="1:22" ht="15.95" customHeight="1" x14ac:dyDescent="0.2">
      <c r="A22" s="49" t="s">
        <v>756</v>
      </c>
      <c r="B22" s="499">
        <f>IFERROR(VLOOKUP($A22,'PP DS Query'!$C$1:$R$1005,5,FALSE),0)</f>
        <v>2038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997512.36</v>
      </c>
      <c r="G22" s="523">
        <f>IFERROR(VLOOKUP($A22,'PP DS Query'!$C$1:$R$1005,7,FALSE),0)</f>
        <v>13.189058879999999</v>
      </c>
      <c r="H22" s="358">
        <f>IFERROR(VLOOKUP($A22,'PP DS Query'!$C$1:$R$1005,8,FALSE),0)</f>
        <v>13156249.25</v>
      </c>
      <c r="I22" s="523">
        <f>IFERROR(VLOOKUP($A22,'PP DS Query'!$C$1:$R$1005,9,FALSE),0)</f>
        <v>19.899999999999999</v>
      </c>
      <c r="J22" s="358">
        <f>IFERROR(VLOOKUP($A22,'PP DS Query'!$C$1:$R$1005,10,FALSE),0)</f>
        <v>19850495.960000001</v>
      </c>
      <c r="K22" s="523">
        <f>IFERROR(VLOOKUP($A22,'PP DS Query'!$C$1:$R$1005,11,FALSE),0)</f>
        <v>8.0390329999999999</v>
      </c>
      <c r="L22" s="358">
        <f>IFERROR(VLOOKUP($A22,'PP DS Query'!$C$1:$R$1005,12,FALSE),0)</f>
        <v>8019034.7800000003</v>
      </c>
      <c r="M22" s="19">
        <f>IFERROR(VLOOKUP($A22,'PP DS Query'!$C$1:$R$1005,13,FALSE),0)</f>
        <v>0.62584452999999995</v>
      </c>
      <c r="N22" s="358">
        <f>IFERROR(VLOOKUP($A22,'PP DS Query'!$C$1:$R$1005,14,FALSE),0)</f>
        <v>624287.65</v>
      </c>
      <c r="O22" s="56">
        <f>IFERROR(VLOOKUP($A22,'PP DS Query'!$C$1:$R$1005,4,FALSE),0)</f>
        <v>-0.05</v>
      </c>
      <c r="P22" s="358">
        <f>-IFERROR(VLOOKUP($A22,'PP DS Query'!$C$1:$R$1005,15,FALSE),0)</f>
        <v>49875.62</v>
      </c>
      <c r="Q22" s="358">
        <f>IFERROR(VLOOKUP($A22,'PP DS Query'!$C$1:$R$1005,16,FALSE),0)</f>
        <v>504277.3</v>
      </c>
      <c r="R22" s="48"/>
      <c r="S22" s="472">
        <f t="shared" si="2"/>
        <v>34231</v>
      </c>
      <c r="T22" s="472" t="s">
        <v>964</v>
      </c>
      <c r="U22" s="474">
        <f>IFERROR(VLOOKUP($S22,#REF!,8,FALSE),0)</f>
        <v>0</v>
      </c>
      <c r="V22" s="473">
        <f t="shared" si="3"/>
        <v>-997512.36</v>
      </c>
    </row>
    <row r="23" spans="1:22" ht="15.95" customHeight="1" thickBot="1" x14ac:dyDescent="0.25">
      <c r="A23" s="396" t="s">
        <v>927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34231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757</v>
      </c>
      <c r="B24" s="499">
        <f>IFERROR(VLOOKUP($A24,'PP DS Query'!$C$1:$R$1005,5,FALSE),0)</f>
        <v>2038</v>
      </c>
      <c r="C24" s="33"/>
      <c r="D24" s="34"/>
      <c r="E24" s="15"/>
      <c r="F24" s="443">
        <f>IFERROR(VLOOKUP($A24,'PP DS Query'!$C$1:$R$1005,6,FALSE),0)</f>
        <v>77801542.430000007</v>
      </c>
      <c r="G24" s="525">
        <f>IFERROR(VLOOKUP($A24,'PP DS Query'!$C$1:$R$1005,7,FALSE),0)</f>
        <v>14.836988870000001</v>
      </c>
      <c r="H24" s="443">
        <f>IFERROR(VLOOKUP($A24,'PP DS Query'!$C$1:$R$1005,8,FALSE),0)</f>
        <v>1154340618.75</v>
      </c>
      <c r="I24" s="525">
        <f>IFERROR(VLOOKUP($A24,'PP DS Query'!$C$1:$R$1005,9,FALSE),0)</f>
        <v>30.86152246</v>
      </c>
      <c r="J24" s="443">
        <f>IFERROR(VLOOKUP($A24,'PP DS Query'!$C$1:$R$1005,10,FALSE),0)</f>
        <v>2401074049.1500001</v>
      </c>
      <c r="K24" s="525">
        <f>IFERROR(VLOOKUP($A24,'PP DS Query'!$C$1:$R$1005,11,FALSE),0)</f>
        <v>16.630840320000001</v>
      </c>
      <c r="L24" s="443">
        <f>IFERROR(VLOOKUP($A24,'PP DS Query'!$C$1:$R$1005,12,FALSE),0)</f>
        <v>1293905028.47</v>
      </c>
      <c r="M24" s="445">
        <f>IFERROR(VLOOKUP($A24,'PP DS Query'!$C$1:$R$1005,13,FALSE),0)</f>
        <v>0.48718189000000001</v>
      </c>
      <c r="N24" s="443">
        <f>IFERROR(VLOOKUP($A24,'PP DS Query'!$C$1:$R$1005,14,FALSE),0)</f>
        <v>37903502.210000001</v>
      </c>
      <c r="O24" s="446">
        <f>IFERROR(VLOOKUP($A24,'PP DS Query'!$C$1:$R$1005,4,FALSE),0)</f>
        <v>-0.05</v>
      </c>
      <c r="P24" s="443">
        <f>-IFERROR(VLOOKUP($A24,'PP DS Query'!$C$1:$R$1005,15,FALSE),0)</f>
        <v>3890077.12</v>
      </c>
      <c r="Q24" s="443">
        <f>IFERROR(VLOOKUP($A24,'PP DS Query'!$C$1:$R$1005,16,FALSE),0)</f>
        <v>30617097.75</v>
      </c>
      <c r="R24" s="48"/>
      <c r="U24" s="473">
        <f>SUM(U20:U23)</f>
        <v>0</v>
      </c>
      <c r="V24" s="473">
        <f>SUM(V20:V23)</f>
        <v>-77801542.429999992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363" t="s">
        <v>1234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779</v>
      </c>
      <c r="B27" s="499">
        <f>IFERROR(VLOOKUP($A27,'PP DS Query'!$C$1:$R$1005,5,FALSE),0)</f>
        <v>2038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61343933.520000003</v>
      </c>
      <c r="G27" s="523">
        <f>IFERROR(VLOOKUP($A27,'PP DS Query'!$C$1:$R$1005,7,FALSE),0)</f>
        <v>16.484913580000001</v>
      </c>
      <c r="H27" s="358">
        <f>IFERROR(VLOOKUP($A27,'PP DS Query'!$C$1:$R$1005,8,FALSE),0)</f>
        <v>1011249442.85</v>
      </c>
      <c r="I27" s="523">
        <f>IFERROR(VLOOKUP($A27,'PP DS Query'!$C$1:$R$1005,9,FALSE),0)</f>
        <v>33.340000000000003</v>
      </c>
      <c r="J27" s="358">
        <f>IFERROR(VLOOKUP($A27,'PP DS Query'!$C$1:$R$1005,10,FALSE),0)</f>
        <v>2045206743.5599999</v>
      </c>
      <c r="K27" s="523">
        <f>IFERROR(VLOOKUP($A27,'PP DS Query'!$C$1:$R$1005,11,FALSE),0)</f>
        <v>18.457294999999998</v>
      </c>
      <c r="L27" s="358">
        <f>IFERROR(VLOOKUP($A27,'PP DS Query'!$C$1:$R$1005,12,FALSE),0)</f>
        <v>1132243077.4400001</v>
      </c>
      <c r="M27" s="19">
        <f>IFERROR(VLOOKUP($A27,'PP DS Query'!$C$1:$R$1005,13,FALSE),0)</f>
        <v>0.49319846000000001</v>
      </c>
      <c r="N27" s="358">
        <f>IFERROR(VLOOKUP($A27,'PP DS Query'!$C$1:$R$1005,14,FALSE),0)</f>
        <v>30254733.77</v>
      </c>
      <c r="O27" s="56">
        <f>IFERROR(VLOOKUP($A27,'PP DS Query'!$C$1:$R$1005,4,FALSE),0)</f>
        <v>-7.0000000000000007E-2</v>
      </c>
      <c r="P27" s="358">
        <f>-IFERROR(VLOOKUP($A27,'PP DS Query'!$C$1:$R$1005,15,FALSE),0)</f>
        <v>4294075.3499999996</v>
      </c>
      <c r="Q27" s="358">
        <f>IFERROR(VLOOKUP($A27,'PP DS Query'!$C$1:$R$1005,16,FALSE),0)</f>
        <v>15438208.9</v>
      </c>
      <c r="R27" s="48"/>
      <c r="S27" s="472">
        <f>IFERROR(ROUND(LEFT(A27,7)*100,0),0)</f>
        <v>34331</v>
      </c>
      <c r="T27" s="472" t="s">
        <v>962</v>
      </c>
      <c r="U27" s="474">
        <f>IFERROR(VLOOKUP($S27,#REF!,6,FALSE),0)</f>
        <v>0</v>
      </c>
      <c r="V27" s="473">
        <f>U27-F27</f>
        <v>-61343933.520000003</v>
      </c>
    </row>
    <row r="28" spans="1:22" ht="15.95" customHeight="1" x14ac:dyDescent="0.2">
      <c r="A28" s="49" t="s">
        <v>780</v>
      </c>
      <c r="B28" s="499">
        <f>IFERROR(VLOOKUP($A28,'PP DS Query'!$C$1:$R$1005,5,FALSE),0)</f>
        <v>2038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88207506.650000006</v>
      </c>
      <c r="G28" s="523">
        <f>IFERROR(VLOOKUP($A28,'PP DS Query'!$C$1:$R$1005,7,FALSE),0)</f>
        <v>17.31084354</v>
      </c>
      <c r="H28" s="358">
        <f>IFERROR(VLOOKUP($A28,'PP DS Query'!$C$1:$R$1005,8,FALSE),0)</f>
        <v>1526946346.5599999</v>
      </c>
      <c r="I28" s="523">
        <f>IFERROR(VLOOKUP($A28,'PP DS Query'!$C$1:$R$1005,9,FALSE),0)</f>
        <v>29.01</v>
      </c>
      <c r="J28" s="358">
        <f>IFERROR(VLOOKUP($A28,'PP DS Query'!$C$1:$R$1005,10,FALSE),0)</f>
        <v>2558899767.9200001</v>
      </c>
      <c r="K28" s="523">
        <f>IFERROR(VLOOKUP($A28,'PP DS Query'!$C$1:$R$1005,11,FALSE),0)</f>
        <v>13.158403</v>
      </c>
      <c r="L28" s="358">
        <f>IFERROR(VLOOKUP($A28,'PP DS Query'!$C$1:$R$1005,12,FALSE),0)</f>
        <v>1160669920.1300001</v>
      </c>
      <c r="M28" s="19">
        <f>IFERROR(VLOOKUP($A28,'PP DS Query'!$C$1:$R$1005,13,FALSE),0)</f>
        <v>0.59983677999999996</v>
      </c>
      <c r="N28" s="358">
        <f>IFERROR(VLOOKUP($A28,'PP DS Query'!$C$1:$R$1005,14,FALSE),0)</f>
        <v>52910106.939999998</v>
      </c>
      <c r="O28" s="56">
        <f>IFERROR(VLOOKUP($A28,'PP DS Query'!$C$1:$R$1005,4,FALSE),0)</f>
        <v>-7.0000000000000007E-2</v>
      </c>
      <c r="P28" s="358">
        <f>-IFERROR(VLOOKUP($A28,'PP DS Query'!$C$1:$R$1005,15,FALSE),0)</f>
        <v>6174525.4699999997</v>
      </c>
      <c r="Q28" s="358">
        <f>IFERROR(VLOOKUP($A28,'PP DS Query'!$C$1:$R$1005,16,FALSE),0)</f>
        <v>26998660.440000001</v>
      </c>
      <c r="R28" s="48"/>
      <c r="S28" s="472">
        <f t="shared" ref="S28:S30" si="4">IFERROR(ROUND(LEFT(A28,7)*100,0),0)</f>
        <v>34331</v>
      </c>
      <c r="T28" s="472" t="s">
        <v>963</v>
      </c>
      <c r="U28" s="474">
        <f>IFERROR(VLOOKUP($S28,#REF!,7,FALSE),0)</f>
        <v>0</v>
      </c>
      <c r="V28" s="473">
        <f t="shared" ref="V28:V30" si="5">U28-F28</f>
        <v>-88207506.650000006</v>
      </c>
    </row>
    <row r="29" spans="1:22" ht="15.95" customHeight="1" x14ac:dyDescent="0.2">
      <c r="A29" s="49" t="s">
        <v>781</v>
      </c>
      <c r="B29" s="499">
        <f>IFERROR(VLOOKUP($A29,'PP DS Query'!$C$1:$R$1005,5,FALSE),0)</f>
        <v>2038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11979517.359999999</v>
      </c>
      <c r="G29" s="523">
        <f>IFERROR(VLOOKUP($A29,'PP DS Query'!$C$1:$R$1005,7,FALSE),0)</f>
        <v>9.9301372000000008</v>
      </c>
      <c r="H29" s="358">
        <f>IFERROR(VLOOKUP($A29,'PP DS Query'!$C$1:$R$1005,8,FALSE),0)</f>
        <v>118958250.95999999</v>
      </c>
      <c r="I29" s="523">
        <f>IFERROR(VLOOKUP($A29,'PP DS Query'!$C$1:$R$1005,9,FALSE),0)</f>
        <v>19.98</v>
      </c>
      <c r="J29" s="358">
        <f>IFERROR(VLOOKUP($A29,'PP DS Query'!$C$1:$R$1005,10,FALSE),0)</f>
        <v>239350756.84999999</v>
      </c>
      <c r="K29" s="523">
        <f>IFERROR(VLOOKUP($A29,'PP DS Query'!$C$1:$R$1005,11,FALSE),0)</f>
        <v>10.407438000000001</v>
      </c>
      <c r="L29" s="358">
        <f>IFERROR(VLOOKUP($A29,'PP DS Query'!$C$1:$R$1005,12,FALSE),0)</f>
        <v>124676084.19</v>
      </c>
      <c r="M29" s="19">
        <f>IFERROR(VLOOKUP($A29,'PP DS Query'!$C$1:$R$1005,13,FALSE),0)</f>
        <v>0.51267132999999998</v>
      </c>
      <c r="N29" s="358">
        <f>IFERROR(VLOOKUP($A29,'PP DS Query'!$C$1:$R$1005,14,FALSE),0)</f>
        <v>6141555.1100000003</v>
      </c>
      <c r="O29" s="56">
        <f>IFERROR(VLOOKUP($A29,'PP DS Query'!$C$1:$R$1005,4,FALSE),0)</f>
        <v>-7.0000000000000007E-2</v>
      </c>
      <c r="P29" s="358">
        <f>-IFERROR(VLOOKUP($A29,'PP DS Query'!$C$1:$R$1005,15,FALSE),0)</f>
        <v>838566.22</v>
      </c>
      <c r="Q29" s="358">
        <f>IFERROR(VLOOKUP($A29,'PP DS Query'!$C$1:$R$1005,16,FALSE),0)</f>
        <v>3133876.88</v>
      </c>
      <c r="R29" s="48"/>
      <c r="S29" s="472">
        <f t="shared" si="4"/>
        <v>34331</v>
      </c>
      <c r="T29" s="472" t="s">
        <v>964</v>
      </c>
      <c r="U29" s="474">
        <f>IFERROR(VLOOKUP($S29,#REF!,8,FALSE),0)</f>
        <v>0</v>
      </c>
      <c r="V29" s="473">
        <f t="shared" si="5"/>
        <v>-11979517.359999999</v>
      </c>
    </row>
    <row r="30" spans="1:22" ht="15.95" customHeight="1" thickBot="1" x14ac:dyDescent="0.25">
      <c r="A30" s="49" t="s">
        <v>778</v>
      </c>
      <c r="B30" s="499">
        <f>IFERROR(VLOOKUP($A30,'PP DS Query'!$C$1:$R$1005,5,FALSE),0)</f>
        <v>2038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47772258.350000001</v>
      </c>
      <c r="G30" s="524">
        <f>IFERROR(VLOOKUP($A30,'PP DS Query'!$C$1:$R$1005,7,FALSE),0)</f>
        <v>5.0124017700000003</v>
      </c>
      <c r="H30" s="250">
        <f>IFERROR(VLOOKUP($A30,'PP DS Query'!$C$1:$R$1005,8,FALSE),0)</f>
        <v>239453752.53999999</v>
      </c>
      <c r="I30" s="524">
        <f>IFERROR(VLOOKUP($A30,'PP DS Query'!$C$1:$R$1005,9,FALSE),0)</f>
        <v>12</v>
      </c>
      <c r="J30" s="250">
        <f>IFERROR(VLOOKUP($A30,'PP DS Query'!$C$1:$R$1005,10,FALSE),0)</f>
        <v>573267100.20000005</v>
      </c>
      <c r="K30" s="524">
        <f>IFERROR(VLOOKUP($A30,'PP DS Query'!$C$1:$R$1005,11,FALSE),0)</f>
        <v>6.9875980000000002</v>
      </c>
      <c r="L30" s="250">
        <f>IFERROR(VLOOKUP($A30,'PP DS Query'!$C$1:$R$1005,12,FALSE),0)</f>
        <v>333813336.89999998</v>
      </c>
      <c r="M30" s="21">
        <f>IFERROR(VLOOKUP($A30,'PP DS Query'!$C$1:$R$1005,13,FALSE),0)</f>
        <v>0.44693916</v>
      </c>
      <c r="N30" s="250">
        <f>IFERROR(VLOOKUP($A30,'PP DS Query'!$C$1:$R$1005,14,FALSE),0)</f>
        <v>21351292.93</v>
      </c>
      <c r="O30" s="57">
        <f>IFERROR(VLOOKUP($A30,'PP DS Query'!$C$1:$R$1005,4,FALSE),0)</f>
        <v>-7.0000000000000007E-2</v>
      </c>
      <c r="P30" s="250">
        <f>-IFERROR(VLOOKUP($A30,'PP DS Query'!$C$1:$R$1005,15,FALSE),0)</f>
        <v>3344058.08</v>
      </c>
      <c r="Q30" s="250">
        <f>IFERROR(VLOOKUP($A30,'PP DS Query'!$C$1:$R$1005,16,FALSE),0)</f>
        <v>10895013.09</v>
      </c>
      <c r="R30" s="48"/>
      <c r="S30" s="472">
        <f t="shared" si="4"/>
        <v>34331</v>
      </c>
      <c r="T30" s="472" t="s">
        <v>961</v>
      </c>
      <c r="U30" s="475">
        <f>IFERROR(VLOOKUP($S30,#REF!,9,FALSE),0)</f>
        <v>0</v>
      </c>
      <c r="V30" s="476">
        <f t="shared" si="5"/>
        <v>-47772258.350000001</v>
      </c>
    </row>
    <row r="31" spans="1:22" ht="15.95" customHeight="1" x14ac:dyDescent="0.2">
      <c r="A31" s="49" t="s">
        <v>782</v>
      </c>
      <c r="B31" s="499">
        <f>IFERROR(VLOOKUP($A31,'PP DS Query'!$C$1:$R$1005,5,FALSE),0)</f>
        <v>2038</v>
      </c>
      <c r="C31" s="33"/>
      <c r="D31" s="34"/>
      <c r="E31" s="15"/>
      <c r="F31" s="443">
        <f>IFERROR(VLOOKUP($A31,'PP DS Query'!$C$1:$R$1005,6,FALSE),0)</f>
        <v>209303215.88</v>
      </c>
      <c r="G31" s="525">
        <f>IFERROR(VLOOKUP($A31,'PP DS Query'!$C$1:$R$1005,7,FALSE),0)</f>
        <v>13.83928948</v>
      </c>
      <c r="H31" s="443">
        <f>IFERROR(VLOOKUP($A31,'PP DS Query'!$C$1:$R$1005,8,FALSE),0)</f>
        <v>2896607792.9099998</v>
      </c>
      <c r="I31" s="525">
        <f>IFERROR(VLOOKUP($A31,'PP DS Query'!$C$1:$R$1005,9,FALSE),0)</f>
        <v>25.879795229999999</v>
      </c>
      <c r="J31" s="443">
        <f>IFERROR(VLOOKUP($A31,'PP DS Query'!$C$1:$R$1005,10,FALSE),0)</f>
        <v>5416724368.5299997</v>
      </c>
      <c r="K31" s="525">
        <f>IFERROR(VLOOKUP($A31,'PP DS Query'!$C$1:$R$1005,11,FALSE),0)</f>
        <v>13.14553342</v>
      </c>
      <c r="L31" s="443">
        <f>IFERROR(VLOOKUP($A31,'PP DS Query'!$C$1:$R$1005,12,FALSE),0)</f>
        <v>2751402418.6599998</v>
      </c>
      <c r="M31" s="445">
        <f>IFERROR(VLOOKUP($A31,'PP DS Query'!$C$1:$R$1005,13,FALSE),0)</f>
        <v>0.52869560000000004</v>
      </c>
      <c r="N31" s="443">
        <f>IFERROR(VLOOKUP($A31,'PP DS Query'!$C$1:$R$1005,14,FALSE),0)</f>
        <v>110657688.75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14651225.109999999</v>
      </c>
      <c r="Q31" s="443">
        <f>IFERROR(VLOOKUP($A31,'PP DS Query'!$C$1:$R$1005,16,FALSE),0)</f>
        <v>56465759.310000002</v>
      </c>
      <c r="R31" s="48"/>
      <c r="U31" s="473">
        <f>SUM(U27:U30)</f>
        <v>0</v>
      </c>
      <c r="V31" s="473">
        <f>SUM(V27:V30)</f>
        <v>-209303215.88000003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1235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804</v>
      </c>
      <c r="B34" s="499">
        <f>IFERROR(VLOOKUP($A34,'PP DS Query'!$C$1:$R$1005,5,FALSE),0)</f>
        <v>2038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10976280.029999999</v>
      </c>
      <c r="G34" s="523">
        <f>IFERROR(VLOOKUP($A34,'PP DS Query'!$C$1:$R$1005,7,FALSE),0)</f>
        <v>17.727825540000001</v>
      </c>
      <c r="H34" s="358">
        <f>IFERROR(VLOOKUP($A34,'PP DS Query'!$C$1:$R$1005,8,FALSE),0)</f>
        <v>194585577.5</v>
      </c>
      <c r="I34" s="523">
        <f>IFERROR(VLOOKUP($A34,'PP DS Query'!$C$1:$R$1005,9,FALSE),0)</f>
        <v>34.659999999999997</v>
      </c>
      <c r="J34" s="358">
        <f>IFERROR(VLOOKUP($A34,'PP DS Query'!$C$1:$R$1005,10,FALSE),0)</f>
        <v>380437865.83999997</v>
      </c>
      <c r="K34" s="523">
        <f>IFERROR(VLOOKUP($A34,'PP DS Query'!$C$1:$R$1005,11,FALSE),0)</f>
        <v>18.191552000000001</v>
      </c>
      <c r="L34" s="358">
        <f>IFERROR(VLOOKUP($A34,'PP DS Query'!$C$1:$R$1005,12,FALSE),0)</f>
        <v>199675568.93000001</v>
      </c>
      <c r="M34" s="19">
        <f>IFERROR(VLOOKUP($A34,'PP DS Query'!$C$1:$R$1005,13,FALSE),0)</f>
        <v>0.51483780000000001</v>
      </c>
      <c r="N34" s="358">
        <f>IFERROR(VLOOKUP($A34,'PP DS Query'!$C$1:$R$1005,14,FALSE),0)</f>
        <v>5651003.8300000001</v>
      </c>
      <c r="O34" s="56">
        <f>IFERROR(VLOOKUP($A34,'PP DS Query'!$C$1:$R$1005,4,FALSE),0)</f>
        <v>-0.05</v>
      </c>
      <c r="P34" s="358">
        <f>-IFERROR(VLOOKUP($A34,'PP DS Query'!$C$1:$R$1005,15,FALSE),0)</f>
        <v>548814</v>
      </c>
      <c r="Q34" s="358">
        <f>IFERROR(VLOOKUP($A34,'PP DS Query'!$C$1:$R$1005,16,FALSE),0)</f>
        <v>4877063.83</v>
      </c>
      <c r="R34" s="48"/>
      <c r="S34" s="472">
        <f>IFERROR(ROUND(LEFT(A34,7)*100,0),0)</f>
        <v>34531</v>
      </c>
      <c r="T34" s="472" t="s">
        <v>962</v>
      </c>
      <c r="U34" s="474">
        <f>IFERROR(VLOOKUP($S34,#REF!,6,FALSE),0)</f>
        <v>0</v>
      </c>
      <c r="V34" s="473">
        <f>U34-F34</f>
        <v>-10976280.029999999</v>
      </c>
    </row>
    <row r="35" spans="1:22" ht="15.95" customHeight="1" x14ac:dyDescent="0.2">
      <c r="A35" s="49" t="s">
        <v>805</v>
      </c>
      <c r="B35" s="499">
        <f>IFERROR(VLOOKUP($A35,'PP DS Query'!$C$1:$R$1005,5,FALSE),0)</f>
        <v>2038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25891386.59</v>
      </c>
      <c r="G35" s="523">
        <f>IFERROR(VLOOKUP($A35,'PP DS Query'!$C$1:$R$1005,7,FALSE),0)</f>
        <v>13.165699350000001</v>
      </c>
      <c r="H35" s="358">
        <f>IFERROR(VLOOKUP($A35,'PP DS Query'!$C$1:$R$1005,8,FALSE),0)</f>
        <v>340878211.51999998</v>
      </c>
      <c r="I35" s="523">
        <f>IFERROR(VLOOKUP($A35,'PP DS Query'!$C$1:$R$1005,9,FALSE),0)</f>
        <v>26.7</v>
      </c>
      <c r="J35" s="358">
        <f>IFERROR(VLOOKUP($A35,'PP DS Query'!$C$1:$R$1005,10,FALSE),0)</f>
        <v>691300021.95000005</v>
      </c>
      <c r="K35" s="523">
        <f>IFERROR(VLOOKUP($A35,'PP DS Query'!$C$1:$R$1005,11,FALSE),0)</f>
        <v>14.723369</v>
      </c>
      <c r="L35" s="358">
        <f>IFERROR(VLOOKUP($A35,'PP DS Query'!$C$1:$R$1005,12,FALSE),0)</f>
        <v>381208438.69</v>
      </c>
      <c r="M35" s="19">
        <f>IFERROR(VLOOKUP($A35,'PP DS Query'!$C$1:$R$1005,13,FALSE),0)</f>
        <v>0.47275473000000001</v>
      </c>
      <c r="N35" s="358">
        <f>IFERROR(VLOOKUP($A35,'PP DS Query'!$C$1:$R$1005,14,FALSE),0)</f>
        <v>12240275.5</v>
      </c>
      <c r="O35" s="56">
        <f>IFERROR(VLOOKUP($A35,'PP DS Query'!$C$1:$R$1005,4,FALSE),0)</f>
        <v>-0.05</v>
      </c>
      <c r="P35" s="358">
        <f>-IFERROR(VLOOKUP($A35,'PP DS Query'!$C$1:$R$1005,15,FALSE),0)</f>
        <v>1294569.33</v>
      </c>
      <c r="Q35" s="358">
        <f>IFERROR(VLOOKUP($A35,'PP DS Query'!$C$1:$R$1005,16,FALSE),0)</f>
        <v>10563893.91</v>
      </c>
      <c r="R35" s="48"/>
      <c r="S35" s="472">
        <f t="shared" ref="S35:S37" si="6">IFERROR(ROUND(LEFT(A35,7)*100,0),0)</f>
        <v>34531</v>
      </c>
      <c r="T35" s="472" t="s">
        <v>963</v>
      </c>
      <c r="U35" s="474">
        <f>IFERROR(VLOOKUP($S35,#REF!,7,FALSE),0)</f>
        <v>0</v>
      </c>
      <c r="V35" s="473">
        <f t="shared" ref="V35:V37" si="7">U35-F35</f>
        <v>-25891386.59</v>
      </c>
    </row>
    <row r="36" spans="1:22" ht="15.95" customHeight="1" x14ac:dyDescent="0.2">
      <c r="A36" s="49" t="s">
        <v>806</v>
      </c>
      <c r="B36" s="499">
        <f>IFERROR(VLOOKUP($A36,'PP DS Query'!$C$1:$R$1005,5,FALSE),0)</f>
        <v>2038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2066249.24</v>
      </c>
      <c r="G36" s="523">
        <f>IFERROR(VLOOKUP($A36,'PP DS Query'!$C$1:$R$1005,7,FALSE),0)</f>
        <v>14.71820934</v>
      </c>
      <c r="H36" s="358">
        <f>IFERROR(VLOOKUP($A36,'PP DS Query'!$C$1:$R$1005,8,FALSE),0)</f>
        <v>30411488.859999999</v>
      </c>
      <c r="I36" s="523">
        <f>IFERROR(VLOOKUP($A36,'PP DS Query'!$C$1:$R$1005,9,FALSE),0)</f>
        <v>19.739999999999998</v>
      </c>
      <c r="J36" s="358">
        <f>IFERROR(VLOOKUP($A36,'PP DS Query'!$C$1:$R$1005,10,FALSE),0)</f>
        <v>40787760</v>
      </c>
      <c r="K36" s="523">
        <f>IFERROR(VLOOKUP($A36,'PP DS Query'!$C$1:$R$1005,11,FALSE),0)</f>
        <v>8.0571570000000001</v>
      </c>
      <c r="L36" s="358">
        <f>IFERROR(VLOOKUP($A36,'PP DS Query'!$C$1:$R$1005,12,FALSE),0)</f>
        <v>16648094.529999999</v>
      </c>
      <c r="M36" s="19">
        <f>IFERROR(VLOOKUP($A36,'PP DS Query'!$C$1:$R$1005,13,FALSE),0)</f>
        <v>0.62133629999999995</v>
      </c>
      <c r="N36" s="358">
        <f>IFERROR(VLOOKUP($A36,'PP DS Query'!$C$1:$R$1005,14,FALSE),0)</f>
        <v>1283835.6499999999</v>
      </c>
      <c r="O36" s="56">
        <f>IFERROR(VLOOKUP($A36,'PP DS Query'!$C$1:$R$1005,4,FALSE),0)</f>
        <v>-0.05</v>
      </c>
      <c r="P36" s="358">
        <f>-IFERROR(VLOOKUP($A36,'PP DS Query'!$C$1:$R$1005,15,FALSE),0)</f>
        <v>103312.46</v>
      </c>
      <c r="Q36" s="358">
        <f>IFERROR(VLOOKUP($A36,'PP DS Query'!$C$1:$R$1005,16,FALSE),0)</f>
        <v>1108006.3999999999</v>
      </c>
      <c r="R36" s="48"/>
      <c r="S36" s="472">
        <f t="shared" si="6"/>
        <v>34531</v>
      </c>
      <c r="T36" s="472" t="s">
        <v>964</v>
      </c>
      <c r="U36" s="474">
        <f>IFERROR(VLOOKUP($S36,#REF!,8,FALSE),0)</f>
        <v>0</v>
      </c>
      <c r="V36" s="473">
        <f t="shared" si="7"/>
        <v>-2066249.24</v>
      </c>
    </row>
    <row r="37" spans="1:22" ht="15.95" customHeight="1" thickBot="1" x14ac:dyDescent="0.25">
      <c r="A37" s="396" t="s">
        <v>928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34531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807</v>
      </c>
      <c r="B38" s="499">
        <f>IFERROR(VLOOKUP($A38,'PP DS Query'!$C$1:$R$1005,5,FALSE),0)</f>
        <v>2038</v>
      </c>
      <c r="C38" s="33"/>
      <c r="D38" s="34"/>
      <c r="E38" s="15"/>
      <c r="F38" s="443">
        <f>IFERROR(VLOOKUP($A38,'PP DS Query'!$C$1:$R$1005,6,FALSE),0)</f>
        <v>38933915.859999999</v>
      </c>
      <c r="G38" s="525">
        <f>IFERROR(VLOOKUP($A38,'PP DS Query'!$C$1:$R$1005,7,FALSE),0)</f>
        <v>14.534250289999999</v>
      </c>
      <c r="H38" s="443">
        <f>IFERROR(VLOOKUP($A38,'PP DS Query'!$C$1:$R$1005,8,FALSE),0)</f>
        <v>565875277.87</v>
      </c>
      <c r="I38" s="525">
        <f>IFERROR(VLOOKUP($A38,'PP DS Query'!$C$1:$R$1005,9,FALSE),0)</f>
        <v>28.57471752</v>
      </c>
      <c r="J38" s="443">
        <f>IFERROR(VLOOKUP($A38,'PP DS Query'!$C$1:$R$1005,10,FALSE),0)</f>
        <v>1112525647.79</v>
      </c>
      <c r="K38" s="525">
        <f>IFERROR(VLOOKUP($A38,'PP DS Query'!$C$1:$R$1005,11,FALSE),0)</f>
        <v>15.34734149</v>
      </c>
      <c r="L38" s="443">
        <f>IFERROR(VLOOKUP($A38,'PP DS Query'!$C$1:$R$1005,12,FALSE),0)</f>
        <v>597532102.14999998</v>
      </c>
      <c r="M38" s="445">
        <f>IFERROR(VLOOKUP($A38,'PP DS Query'!$C$1:$R$1005,13,FALSE),0)</f>
        <v>0.49250414999999997</v>
      </c>
      <c r="N38" s="443">
        <f>IFERROR(VLOOKUP($A38,'PP DS Query'!$C$1:$R$1005,14,FALSE),0)</f>
        <v>19175114.98</v>
      </c>
      <c r="O38" s="446">
        <f>IFERROR(VLOOKUP($A38,'PP DS Query'!$C$1:$R$1005,4,FALSE),0)</f>
        <v>-0.05</v>
      </c>
      <c r="P38" s="443">
        <f>-IFERROR(VLOOKUP($A38,'PP DS Query'!$C$1:$R$1005,15,FALSE),0)</f>
        <v>1946695.79</v>
      </c>
      <c r="Q38" s="443">
        <f>IFERROR(VLOOKUP($A38,'PP DS Query'!$C$1:$R$1005,16,FALSE),0)</f>
        <v>16548964.140000001</v>
      </c>
      <c r="R38" s="48"/>
      <c r="U38" s="473">
        <f>SUM(U34:U37)</f>
        <v>0</v>
      </c>
      <c r="V38" s="473">
        <f>SUM(V34:V37)</f>
        <v>-38933915.859999999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1236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827</v>
      </c>
      <c r="B41" s="499">
        <f>IFERROR(VLOOKUP($A41,'PP DS Query'!$C$1:$R$1005,5,FALSE),0)</f>
        <v>2038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1140827.44</v>
      </c>
      <c r="G41" s="523">
        <f>IFERROR(VLOOKUP($A41,'PP DS Query'!$C$1:$R$1005,7,FALSE),0)</f>
        <v>17.40547377</v>
      </c>
      <c r="H41" s="358">
        <f>IFERROR(VLOOKUP($A41,'PP DS Query'!$C$1:$R$1005,8,FALSE),0)</f>
        <v>19856642.079999998</v>
      </c>
      <c r="I41" s="523">
        <f>IFERROR(VLOOKUP($A41,'PP DS Query'!$C$1:$R$1005,9,FALSE),0)</f>
        <v>35.200000000000003</v>
      </c>
      <c r="J41" s="358">
        <f>IFERROR(VLOOKUP($A41,'PP DS Query'!$C$1:$R$1005,10,FALSE),0)</f>
        <v>40157125.890000001</v>
      </c>
      <c r="K41" s="523">
        <f>IFERROR(VLOOKUP($A41,'PP DS Query'!$C$1:$R$1005,11,FALSE),0)</f>
        <v>18.296492000000001</v>
      </c>
      <c r="L41" s="358">
        <f>IFERROR(VLOOKUP($A41,'PP DS Query'!$C$1:$R$1005,12,FALSE),0)</f>
        <v>20873140.129999999</v>
      </c>
      <c r="M41" s="19">
        <f>IFERROR(VLOOKUP($A41,'PP DS Query'!$C$1:$R$1005,13,FALSE),0)</f>
        <v>0.49670782000000002</v>
      </c>
      <c r="N41" s="358">
        <f>IFERROR(VLOOKUP($A41,'PP DS Query'!$C$1:$R$1005,14,FALSE),0)</f>
        <v>566657.91</v>
      </c>
      <c r="O41" s="56">
        <f>IFERROR(VLOOKUP($A41,'PP DS Query'!$C$1:$R$1005,4,FALSE),0)</f>
        <v>-0.02</v>
      </c>
      <c r="P41" s="358">
        <f>-IFERROR(VLOOKUP($A41,'PP DS Query'!$C$1:$R$1005,15,FALSE),0)</f>
        <v>22816.55</v>
      </c>
      <c r="Q41" s="358">
        <f>IFERROR(VLOOKUP($A41,'PP DS Query'!$C$1:$R$1005,16,FALSE),0)</f>
        <v>488538.62</v>
      </c>
      <c r="R41" s="48"/>
      <c r="S41" s="472">
        <f>IFERROR(ROUND(LEFT(A41,7)*100,0),0)</f>
        <v>34631</v>
      </c>
      <c r="T41" s="472" t="s">
        <v>962</v>
      </c>
      <c r="U41" s="474">
        <f>IFERROR(VLOOKUP($S41,#REF!,6,FALSE),0)</f>
        <v>0</v>
      </c>
      <c r="V41" s="473">
        <f>U41-F41</f>
        <v>-1140827.44</v>
      </c>
    </row>
    <row r="42" spans="1:22" ht="15.95" customHeight="1" x14ac:dyDescent="0.2">
      <c r="A42" s="49" t="s">
        <v>828</v>
      </c>
      <c r="B42" s="499">
        <f>IFERROR(VLOOKUP($A42,'PP DS Query'!$C$1:$R$1005,5,FALSE),0)</f>
        <v>2038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11878.5</v>
      </c>
      <c r="G42" s="523">
        <f>IFERROR(VLOOKUP($A42,'PP DS Query'!$C$1:$R$1005,7,FALSE),0)</f>
        <v>44.5</v>
      </c>
      <c r="H42" s="358">
        <f>IFERROR(VLOOKUP($A42,'PP DS Query'!$C$1:$R$1005,8,FALSE),0)</f>
        <v>528593.25</v>
      </c>
      <c r="I42" s="523">
        <f>IFERROR(VLOOKUP($A42,'PP DS Query'!$C$1:$R$1005,9,FALSE),0)</f>
        <v>30</v>
      </c>
      <c r="J42" s="358">
        <f>IFERROR(VLOOKUP($A42,'PP DS Query'!$C$1:$R$1005,10,FALSE),0)</f>
        <v>356355</v>
      </c>
      <c r="K42" s="523">
        <f>IFERROR(VLOOKUP($A42,'PP DS Query'!$C$1:$R$1005,11,FALSE),0)</f>
        <v>1.1840539999999999</v>
      </c>
      <c r="L42" s="358">
        <f>IFERROR(VLOOKUP($A42,'PP DS Query'!$C$1:$R$1005,12,FALSE),0)</f>
        <v>14064.79</v>
      </c>
      <c r="M42" s="19">
        <f>IFERROR(VLOOKUP($A42,'PP DS Query'!$C$1:$R$1005,13,FALSE),0)</f>
        <v>0.97974238999999996</v>
      </c>
      <c r="N42" s="358">
        <f>IFERROR(VLOOKUP($A42,'PP DS Query'!$C$1:$R$1005,14,FALSE),0)</f>
        <v>11637.87</v>
      </c>
      <c r="O42" s="56">
        <f>IFERROR(VLOOKUP($A42,'PP DS Query'!$C$1:$R$1005,4,FALSE),0)</f>
        <v>-0.02</v>
      </c>
      <c r="P42" s="358">
        <f>-IFERROR(VLOOKUP($A42,'PP DS Query'!$C$1:$R$1005,15,FALSE),0)</f>
        <v>237.57</v>
      </c>
      <c r="Q42" s="358">
        <f>IFERROR(VLOOKUP($A42,'PP DS Query'!$C$1:$R$1005,16,FALSE),0)</f>
        <v>9778.58</v>
      </c>
      <c r="R42" s="48"/>
      <c r="S42" s="472">
        <f t="shared" ref="S42:S44" si="8">IFERROR(ROUND(LEFT(A42,7)*100,0),0)</f>
        <v>34631</v>
      </c>
      <c r="T42" s="472" t="s">
        <v>963</v>
      </c>
      <c r="U42" s="474">
        <f>IFERROR(VLOOKUP($S42,#REF!,7,FALSE),0)</f>
        <v>0</v>
      </c>
      <c r="V42" s="473">
        <f t="shared" ref="V42:V44" si="9">U42-F42</f>
        <v>-11878.5</v>
      </c>
    </row>
    <row r="43" spans="1:22" ht="15.95" customHeight="1" x14ac:dyDescent="0.2">
      <c r="A43" s="396" t="s">
        <v>929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34631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930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34631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829</v>
      </c>
      <c r="B45" s="499">
        <f>IFERROR(VLOOKUP($A45,'PP DS Query'!$C$1:$R$1005,5,FALSE),0)</f>
        <v>2038</v>
      </c>
      <c r="C45" s="33"/>
      <c r="D45" s="34"/>
      <c r="E45" s="15"/>
      <c r="F45" s="443">
        <f>IFERROR(VLOOKUP($A45,'PP DS Query'!$C$1:$R$1005,6,FALSE),0)</f>
        <v>1152705.94</v>
      </c>
      <c r="G45" s="525">
        <f>IFERROR(VLOOKUP($A45,'PP DS Query'!$C$1:$R$1005,7,FALSE),0)</f>
        <v>17.684679693764743</v>
      </c>
      <c r="H45" s="443">
        <f>IFERROR(VLOOKUP($A45,'PP DS Query'!$C$1:$R$1005,8,FALSE),0)</f>
        <v>20385235.329999998</v>
      </c>
      <c r="I45" s="525">
        <f>IFERROR(VLOOKUP($A45,'PP DS Query'!$C$1:$R$1005,9,FALSE),0)</f>
        <v>35.146414609436299</v>
      </c>
      <c r="J45" s="443">
        <f>IFERROR(VLOOKUP($A45,'PP DS Query'!$C$1:$R$1005,10,FALSE),0)</f>
        <v>40513480.890000001</v>
      </c>
      <c r="K45" s="525">
        <f>IFERROR(VLOOKUP($A45,'PP DS Query'!$C$1:$R$1005,11,FALSE),0)</f>
        <v>18.120150330794687</v>
      </c>
      <c r="L45" s="443">
        <f>IFERROR(VLOOKUP($A45,'PP DS Query'!$C$1:$R$1005,12,FALSE),0)</f>
        <v>20887204.919999998</v>
      </c>
      <c r="M45" s="445">
        <f>IFERROR(VLOOKUP($A45,'PP DS Query'!$C$1:$R$1005,13,FALSE),0)</f>
        <v>0.50168543418801159</v>
      </c>
      <c r="N45" s="443">
        <f>IFERROR(VLOOKUP($A45,'PP DS Query'!$C$1:$R$1005,14,FALSE),0)</f>
        <v>578295.78</v>
      </c>
      <c r="O45" s="446">
        <f>IFERROR(VLOOKUP($A45,'PP DS Query'!$C$1:$R$1005,4,FALSE),0)</f>
        <v>-0.02</v>
      </c>
      <c r="P45" s="443">
        <f>-IFERROR(VLOOKUP($A45,'PP DS Query'!$C$1:$R$1005,15,FALSE),0)</f>
        <v>23054.12</v>
      </c>
      <c r="Q45" s="443">
        <f>IFERROR(VLOOKUP($A45,'PP DS Query'!$C$1:$R$1005,16,FALSE),0)</f>
        <v>498317.2</v>
      </c>
      <c r="R45" s="48"/>
      <c r="U45" s="473">
        <f>SUM(U41:U44)</f>
        <v>0</v>
      </c>
      <c r="V45" s="473">
        <f>SUM(V41:V44)</f>
        <v>-1152705.94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Unit #1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144096336.53</v>
      </c>
      <c r="G49" s="523">
        <f>IF($F49=0,0,H49/$F49)</f>
        <v>15.977354733308429</v>
      </c>
      <c r="H49" s="358">
        <f t="shared" ref="H49:H52" si="10">H13+H20+H27+H34+H41</f>
        <v>2302278284.5099998</v>
      </c>
      <c r="I49" s="523">
        <f>IF($F49=0,0,J49/$F49)</f>
        <v>33.119305636590013</v>
      </c>
      <c r="J49" s="358">
        <f>J13+J20+J27+J34+J41</f>
        <v>4772370610.6500006</v>
      </c>
      <c r="K49" s="523">
        <f>IF($F49=0,0,L49/$F49)</f>
        <v>18.425602147957676</v>
      </c>
      <c r="L49" s="358">
        <f>L13+L20+L27+L34+L41</f>
        <v>2655061767.8800001</v>
      </c>
      <c r="M49" s="19">
        <f>IF($F49=0,0,N49/$F49)</f>
        <v>0.47651398434896758</v>
      </c>
      <c r="N49" s="358">
        <f t="shared" ref="N49:P52" si="11">N13+N20+N27+N34+N41</f>
        <v>68663919.449999988</v>
      </c>
      <c r="O49" s="56">
        <f>-IF($F49=0,0,P49/$F49)</f>
        <v>-5.3941876297332124E-2</v>
      </c>
      <c r="P49" s="358">
        <f t="shared" si="11"/>
        <v>7772826.7599999998</v>
      </c>
      <c r="Q49" s="358">
        <f t="shared" ref="Q49" si="12">Q13+Q20+Q27+Q34+Q41</f>
        <v>46307563.149999999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141706007.41</v>
      </c>
      <c r="G50" s="523">
        <f>IF($F50=0,0,H50/$F50)</f>
        <v>16.250787739486423</v>
      </c>
      <c r="H50" s="358">
        <f t="shared" si="10"/>
        <v>2302834247.8299999</v>
      </c>
      <c r="I50" s="523">
        <f>IF($F50=0,0,J50/$F50)</f>
        <v>28.633179019365048</v>
      </c>
      <c r="J50" s="358">
        <f>J14+J21+J28+J35+J42</f>
        <v>4057493478.29</v>
      </c>
      <c r="K50" s="523">
        <f>IF($F50=0,0,L50/$F50)</f>
        <v>13.510309368894809</v>
      </c>
      <c r="L50" s="358">
        <f>L14+L21+L28+L35+L42</f>
        <v>1914491999.5400002</v>
      </c>
      <c r="M50" s="19">
        <f>IF($F50=0,0,N50/$F50)</f>
        <v>0.56975817127074335</v>
      </c>
      <c r="N50" s="358">
        <f t="shared" si="11"/>
        <v>80738155.640000001</v>
      </c>
      <c r="O50" s="56">
        <f>-IF($F50=0,0,P50/$F50)</f>
        <v>-6.2318762566284922E-2</v>
      </c>
      <c r="P50" s="358">
        <f t="shared" si="11"/>
        <v>8830943.0300000012</v>
      </c>
      <c r="Q50" s="358">
        <f t="shared" ref="Q50" si="13">Q14+Q21+Q28+Q35+Q42</f>
        <v>50140899.849999994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15225872.76</v>
      </c>
      <c r="G51" s="523">
        <f>IF($F51=0,0,H51/$F51)</f>
        <v>10.754163654918131</v>
      </c>
      <c r="H51" s="358">
        <f t="shared" si="10"/>
        <v>163741527.44999999</v>
      </c>
      <c r="I51" s="523">
        <f>IF($F51=0,0,J51/$F51)</f>
        <v>19.937752141703832</v>
      </c>
      <c r="J51" s="358">
        <f>J15+J22+J29+J36+J43</f>
        <v>303569677.23000002</v>
      </c>
      <c r="K51" s="523">
        <f>IF($F51=0,0,L51/$F51)</f>
        <v>9.965335825517565</v>
      </c>
      <c r="L51" s="358">
        <f>L15+L22+L29+L36+L43</f>
        <v>151730935.28999999</v>
      </c>
      <c r="M51" s="19">
        <f>IF($F51=0,0,N51/$F51)</f>
        <v>0.53276021203266655</v>
      </c>
      <c r="N51" s="358">
        <f t="shared" si="11"/>
        <v>8111739.2000000011</v>
      </c>
      <c r="O51" s="56">
        <f>-IF($F51=0,0,P51/$F51)</f>
        <v>-6.5375968635114218E-2</v>
      </c>
      <c r="P51" s="358">
        <f t="shared" si="11"/>
        <v>995406.17999999993</v>
      </c>
      <c r="Q51" s="358">
        <f t="shared" ref="Q51" si="14">Q15+Q22+Q29+Q36+Q43</f>
        <v>4793257.43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47772258.350000001</v>
      </c>
      <c r="G52" s="524">
        <f>IF($F52=0,0,H52/$F52)</f>
        <v>5.0124017748053555</v>
      </c>
      <c r="H52" s="250">
        <f t="shared" si="10"/>
        <v>239453752.53999999</v>
      </c>
      <c r="I52" s="524">
        <f>IF($F52=0,0,J52/$F52)</f>
        <v>12</v>
      </c>
      <c r="J52" s="250">
        <f>J16+J23+J30+J37+J44</f>
        <v>573267100.20000005</v>
      </c>
      <c r="K52" s="524">
        <f>IF($F52=0,0,L52/$F52)</f>
        <v>6.9875979999593207</v>
      </c>
      <c r="L52" s="250">
        <f>L16+L23+L30+L37+L44</f>
        <v>333813336.89999998</v>
      </c>
      <c r="M52" s="21">
        <f>IF($F52=0,0,N52/$F52)</f>
        <v>0.44693915815265201</v>
      </c>
      <c r="N52" s="250">
        <f t="shared" si="11"/>
        <v>21351292.93</v>
      </c>
      <c r="O52" s="57">
        <f>-IF($F52=0,0,P52/$F52)</f>
        <v>-6.9999999905803065E-2</v>
      </c>
      <c r="P52" s="250">
        <f t="shared" si="11"/>
        <v>3344058.08</v>
      </c>
      <c r="Q52" s="250">
        <f t="shared" ref="Q52" si="15">Q16+Q23+Q30+Q37+Q44</f>
        <v>10895013.09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348800475.05000001</v>
      </c>
      <c r="G53" s="525">
        <f>IF($F53=0,0,H53/$F53)</f>
        <v>14.358661098761596</v>
      </c>
      <c r="H53" s="443">
        <f t="shared" ref="H53" si="16">SUM(H49:H52)</f>
        <v>5008307812.3299999</v>
      </c>
      <c r="I53" s="525">
        <f>IF($F53=0,0,J53/$F53)</f>
        <v>27.828806325388634</v>
      </c>
      <c r="J53" s="443">
        <f>SUM(J49:J52)</f>
        <v>9706700866.3700008</v>
      </c>
      <c r="K53" s="525">
        <f>IF($F53=0,0,L53/$F53)</f>
        <v>14.492807209867932</v>
      </c>
      <c r="L53" s="443">
        <f>SUM(L49:L52)</f>
        <v>5055098039.6099997</v>
      </c>
      <c r="M53" s="445">
        <f>IF($F53=0,0,N53/$F53)</f>
        <v>0.5128006410953424</v>
      </c>
      <c r="N53" s="443">
        <f t="shared" ref="N53:P53" si="17">SUM(N49:N52)</f>
        <v>178865107.21999997</v>
      </c>
      <c r="O53" s="446">
        <f>-IF($F53=0,0,P53/$F53)</f>
        <v>-6.0043593825374879E-2</v>
      </c>
      <c r="P53" s="443">
        <f t="shared" si="17"/>
        <v>20943234.050000004</v>
      </c>
      <c r="Q53" s="443">
        <f t="shared" ref="Q53" si="18">SUM(Q49:Q52)</f>
        <v>112136733.52000001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34131</v>
      </c>
      <c r="F56" s="352">
        <f>IFERROR(VLOOKUP(E56,'2019 B-7'!C:P,14,FALSE),0)</f>
        <v>21609094.940000009</v>
      </c>
      <c r="G56" s="353">
        <f>F56-F17</f>
        <v>0</v>
      </c>
      <c r="P56" s="260">
        <f>E56</f>
        <v>34131</v>
      </c>
      <c r="Q56" s="352">
        <f>IFERROR(VLOOKUP(P56,'2019 B-9'!C:R,16,FALSE),0)</f>
        <v>8006595.1199999917</v>
      </c>
      <c r="R56" s="353">
        <f>Q56-Q17</f>
        <v>-8.3819031715393066E-9</v>
      </c>
    </row>
    <row r="57" spans="1:18" x14ac:dyDescent="0.2">
      <c r="E57" s="260">
        <v>34231</v>
      </c>
      <c r="F57" s="352">
        <f>IFERROR(VLOOKUP(E57,'2019 B-7'!C:P,14,FALSE),0)</f>
        <v>77801542.430000007</v>
      </c>
      <c r="G57" s="353">
        <f>F57-F24</f>
        <v>0</v>
      </c>
      <c r="P57" s="260">
        <f t="shared" ref="P57:P60" si="19">E57</f>
        <v>34231</v>
      </c>
      <c r="Q57" s="352">
        <f>IFERROR(VLOOKUP(P57,'2019 B-9'!C:R,16,FALSE),0)</f>
        <v>30617097.749999989</v>
      </c>
      <c r="R57" s="353">
        <f>Q57-Q24</f>
        <v>0</v>
      </c>
    </row>
    <row r="58" spans="1:18" x14ac:dyDescent="0.2">
      <c r="E58" s="260">
        <v>34331</v>
      </c>
      <c r="F58" s="352">
        <f>IFERROR(VLOOKUP(E58,'2019 B-7'!C:P,14,FALSE),0)</f>
        <v>209303215.88000011</v>
      </c>
      <c r="G58" s="353">
        <f>F58-F31</f>
        <v>0</v>
      </c>
      <c r="P58" s="260">
        <f t="shared" si="19"/>
        <v>34331</v>
      </c>
      <c r="Q58" s="352">
        <f>IFERROR(VLOOKUP(P58,'2019 B-9'!C:R,16,FALSE),0)</f>
        <v>56465759.309999965</v>
      </c>
      <c r="R58" s="353">
        <f>Q58-Q31</f>
        <v>0</v>
      </c>
    </row>
    <row r="59" spans="1:18" x14ac:dyDescent="0.2">
      <c r="E59" s="260">
        <v>34531</v>
      </c>
      <c r="F59" s="352">
        <f>IFERROR(VLOOKUP(E59,'2019 B-7'!C:P,14,FALSE),0)</f>
        <v>38933915.859999985</v>
      </c>
      <c r="G59" s="353">
        <f>F59-F38</f>
        <v>0</v>
      </c>
      <c r="P59" s="260">
        <f t="shared" si="19"/>
        <v>34531</v>
      </c>
      <c r="Q59" s="352">
        <f>IFERROR(VLOOKUP(P59,'2019 B-9'!C:R,16,FALSE),0)</f>
        <v>16548964.139999997</v>
      </c>
      <c r="R59" s="353">
        <f>Q59-Q38</f>
        <v>0</v>
      </c>
    </row>
    <row r="60" spans="1:18" x14ac:dyDescent="0.2">
      <c r="E60" s="260">
        <v>34631</v>
      </c>
      <c r="F60" s="352">
        <f>IFERROR(VLOOKUP(E60,'2019 B-7'!C:P,14,FALSE),0)</f>
        <v>1152705.94</v>
      </c>
      <c r="G60" s="353">
        <f>F60-F45</f>
        <v>0</v>
      </c>
      <c r="P60" s="260">
        <f t="shared" si="19"/>
        <v>34631</v>
      </c>
      <c r="Q60" s="352">
        <f>IFERROR(VLOOKUP(P60,'2019 B-9'!C:R,16,FALSE),0)</f>
        <v>498317.20000000083</v>
      </c>
      <c r="R60" s="353">
        <f>Q60-Q45</f>
        <v>8.149072527885437E-10</v>
      </c>
    </row>
    <row r="61" spans="1:18" ht="13.5" thickBot="1" x14ac:dyDescent="0.25">
      <c r="E61" s="349" t="s">
        <v>40</v>
      </c>
      <c r="F61" s="354">
        <f>SUM(F56:F60)</f>
        <v>348800475.05000013</v>
      </c>
      <c r="G61" s="354">
        <f>SUM(G56:G60)</f>
        <v>0</v>
      </c>
      <c r="P61" s="349" t="s">
        <v>40</v>
      </c>
      <c r="Q61" s="354">
        <f>SUM(Q56:Q60)</f>
        <v>112136733.51999995</v>
      </c>
      <c r="R61" s="354">
        <f>SUM(R56:R60)</f>
        <v>-7.5669959187507629E-9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-7.5669959187507629E-9</v>
      </c>
    </row>
    <row r="63" spans="1:18" x14ac:dyDescent="0.2">
      <c r="E63" s="50"/>
      <c r="G63" s="18"/>
    </row>
    <row r="64" spans="1:18" x14ac:dyDescent="0.2">
      <c r="E64" s="50"/>
      <c r="H64" s="18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6820B-D5A1-4DEC-AFA3-1DD511570D81}">
  <sheetPr>
    <tabColor theme="2" tint="-0.499984740745262"/>
  </sheetPr>
  <dimension ref="A1:AR749"/>
  <sheetViews>
    <sheetView topLeftCell="A384" zoomScaleNormal="100" zoomScaleSheetLayoutView="100" workbookViewId="0">
      <selection activeCell="D422" sqref="D422"/>
    </sheetView>
  </sheetViews>
  <sheetFormatPr defaultRowHeight="14.1" customHeight="1" x14ac:dyDescent="0.2"/>
  <cols>
    <col min="1" max="1" width="3.5703125" style="252" customWidth="1"/>
    <col min="2" max="2" width="6.7109375" style="252" bestFit="1" customWidth="1"/>
    <col min="3" max="3" width="12" style="252" bestFit="1" customWidth="1"/>
    <col min="4" max="4" width="40.28515625" style="252" bestFit="1" customWidth="1"/>
    <col min="5" max="5" width="2.28515625" style="252" customWidth="1"/>
    <col min="6" max="6" width="17.140625" style="252" customWidth="1"/>
    <col min="7" max="7" width="2.28515625" style="252" customWidth="1"/>
    <col min="8" max="8" width="17.140625" style="252" customWidth="1"/>
    <col min="9" max="9" width="2.28515625" style="252" customWidth="1"/>
    <col min="10" max="10" width="17.140625" style="252" customWidth="1"/>
    <col min="11" max="11" width="2.28515625" style="252" customWidth="1"/>
    <col min="12" max="12" width="17.140625" style="252" customWidth="1"/>
    <col min="13" max="13" width="2.28515625" style="252" customWidth="1"/>
    <col min="14" max="14" width="17.140625" style="252" customWidth="1"/>
    <col min="15" max="15" width="2.28515625" style="252" customWidth="1"/>
    <col min="16" max="16" width="17.140625" style="252" customWidth="1"/>
    <col min="17" max="17" width="2.28515625" style="252" customWidth="1"/>
    <col min="18" max="18" width="17.140625" style="252" customWidth="1"/>
    <col min="19" max="19" width="2.28515625" style="252" customWidth="1"/>
    <col min="20" max="20" width="17.140625" style="252" customWidth="1"/>
    <col min="21" max="21" width="4" style="252" customWidth="1"/>
    <col min="22" max="22" width="5" style="252" customWidth="1"/>
    <col min="23" max="23" width="8.5703125" style="252" customWidth="1"/>
    <col min="24" max="24" width="13.85546875" style="603" customWidth="1"/>
    <col min="25" max="25" width="40.28515625" style="252" bestFit="1" customWidth="1"/>
    <col min="26" max="26" width="2.28515625" style="252" customWidth="1"/>
    <col min="27" max="27" width="17.140625" style="252" customWidth="1"/>
    <col min="28" max="28" width="2.28515625" style="252" customWidth="1"/>
    <col min="29" max="29" width="17.140625" style="252" customWidth="1"/>
    <col min="30" max="30" width="2.28515625" style="252" customWidth="1"/>
    <col min="31" max="31" width="17.140625" style="252" customWidth="1"/>
    <col min="32" max="32" width="2.28515625" style="252" customWidth="1"/>
    <col min="33" max="33" width="17.140625" style="252" customWidth="1"/>
    <col min="34" max="34" width="2.28515625" style="252" customWidth="1"/>
    <col min="35" max="35" width="17.140625" style="252" customWidth="1"/>
    <col min="36" max="36" width="2.28515625" style="252" customWidth="1"/>
    <col min="37" max="37" width="17.140625" style="252" customWidth="1"/>
    <col min="38" max="38" width="2.28515625" style="252" customWidth="1"/>
    <col min="39" max="39" width="17.140625" style="252" customWidth="1"/>
    <col min="40" max="40" width="2.28515625" style="252" customWidth="1"/>
    <col min="41" max="41" width="17.140625" style="252" customWidth="1"/>
    <col min="42" max="42" width="3.42578125" style="252" customWidth="1"/>
    <col min="43" max="256" width="9.140625" style="252"/>
    <col min="257" max="257" width="3.5703125" style="252" customWidth="1"/>
    <col min="258" max="258" width="6.7109375" style="252" bestFit="1" customWidth="1"/>
    <col min="259" max="259" width="12" style="252" bestFit="1" customWidth="1"/>
    <col min="260" max="260" width="40.28515625" style="252" bestFit="1" customWidth="1"/>
    <col min="261" max="261" width="2.28515625" style="252" customWidth="1"/>
    <col min="262" max="262" width="13.5703125" style="252" customWidth="1"/>
    <col min="263" max="263" width="2.28515625" style="252" customWidth="1"/>
    <col min="264" max="264" width="13.5703125" style="252" customWidth="1"/>
    <col min="265" max="265" width="2.28515625" style="252" customWidth="1"/>
    <col min="266" max="266" width="13.5703125" style="252" customWidth="1"/>
    <col min="267" max="267" width="2.28515625" style="252" customWidth="1"/>
    <col min="268" max="268" width="13.5703125" style="252" customWidth="1"/>
    <col min="269" max="269" width="2.28515625" style="252" customWidth="1"/>
    <col min="270" max="270" width="13.5703125" style="252" customWidth="1"/>
    <col min="271" max="271" width="2.28515625" style="252" customWidth="1"/>
    <col min="272" max="272" width="13.5703125" style="252" customWidth="1"/>
    <col min="273" max="273" width="2.28515625" style="252" customWidth="1"/>
    <col min="274" max="274" width="13.5703125" style="252" customWidth="1"/>
    <col min="275" max="275" width="2.28515625" style="252" customWidth="1"/>
    <col min="276" max="276" width="13.5703125" style="252" customWidth="1"/>
    <col min="277" max="277" width="4" style="252" customWidth="1"/>
    <col min="278" max="278" width="3.5703125" style="252" customWidth="1"/>
    <col min="279" max="279" width="6.7109375" style="252" bestFit="1" customWidth="1"/>
    <col min="280" max="280" width="12.7109375" style="252" bestFit="1" customWidth="1"/>
    <col min="281" max="281" width="40.28515625" style="252" bestFit="1" customWidth="1"/>
    <col min="282" max="282" width="2.28515625" style="252" customWidth="1"/>
    <col min="283" max="283" width="13.5703125" style="252" customWidth="1"/>
    <col min="284" max="284" width="2.28515625" style="252" customWidth="1"/>
    <col min="285" max="285" width="13.5703125" style="252" customWidth="1"/>
    <col min="286" max="286" width="2.28515625" style="252" customWidth="1"/>
    <col min="287" max="287" width="13.5703125" style="252" customWidth="1"/>
    <col min="288" max="288" width="2.28515625" style="252" customWidth="1"/>
    <col min="289" max="289" width="13.5703125" style="252" customWidth="1"/>
    <col min="290" max="290" width="2.28515625" style="252" customWidth="1"/>
    <col min="291" max="291" width="13.5703125" style="252" customWidth="1"/>
    <col min="292" max="292" width="2.28515625" style="252" customWidth="1"/>
    <col min="293" max="293" width="13.5703125" style="252" customWidth="1"/>
    <col min="294" max="294" width="2.28515625" style="252" customWidth="1"/>
    <col min="295" max="295" width="13.5703125" style="252" customWidth="1"/>
    <col min="296" max="296" width="2.28515625" style="252" customWidth="1"/>
    <col min="297" max="297" width="13.5703125" style="252" customWidth="1"/>
    <col min="298" max="298" width="3.42578125" style="252" customWidth="1"/>
    <col min="299" max="512" width="9.140625" style="252"/>
    <col min="513" max="513" width="3.5703125" style="252" customWidth="1"/>
    <col min="514" max="514" width="6.7109375" style="252" bestFit="1" customWidth="1"/>
    <col min="515" max="515" width="12" style="252" bestFit="1" customWidth="1"/>
    <col min="516" max="516" width="40.28515625" style="252" bestFit="1" customWidth="1"/>
    <col min="517" max="517" width="2.28515625" style="252" customWidth="1"/>
    <col min="518" max="518" width="13.5703125" style="252" customWidth="1"/>
    <col min="519" max="519" width="2.28515625" style="252" customWidth="1"/>
    <col min="520" max="520" width="13.5703125" style="252" customWidth="1"/>
    <col min="521" max="521" width="2.28515625" style="252" customWidth="1"/>
    <col min="522" max="522" width="13.5703125" style="252" customWidth="1"/>
    <col min="523" max="523" width="2.28515625" style="252" customWidth="1"/>
    <col min="524" max="524" width="13.5703125" style="252" customWidth="1"/>
    <col min="525" max="525" width="2.28515625" style="252" customWidth="1"/>
    <col min="526" max="526" width="13.5703125" style="252" customWidth="1"/>
    <col min="527" max="527" width="2.28515625" style="252" customWidth="1"/>
    <col min="528" max="528" width="13.5703125" style="252" customWidth="1"/>
    <col min="529" max="529" width="2.28515625" style="252" customWidth="1"/>
    <col min="530" max="530" width="13.5703125" style="252" customWidth="1"/>
    <col min="531" max="531" width="2.28515625" style="252" customWidth="1"/>
    <col min="532" max="532" width="13.5703125" style="252" customWidth="1"/>
    <col min="533" max="533" width="4" style="252" customWidth="1"/>
    <col min="534" max="534" width="3.5703125" style="252" customWidth="1"/>
    <col min="535" max="535" width="6.7109375" style="252" bestFit="1" customWidth="1"/>
    <col min="536" max="536" width="12.7109375" style="252" bestFit="1" customWidth="1"/>
    <col min="537" max="537" width="40.28515625" style="252" bestFit="1" customWidth="1"/>
    <col min="538" max="538" width="2.28515625" style="252" customWidth="1"/>
    <col min="539" max="539" width="13.5703125" style="252" customWidth="1"/>
    <col min="540" max="540" width="2.28515625" style="252" customWidth="1"/>
    <col min="541" max="541" width="13.5703125" style="252" customWidth="1"/>
    <col min="542" max="542" width="2.28515625" style="252" customWidth="1"/>
    <col min="543" max="543" width="13.5703125" style="252" customWidth="1"/>
    <col min="544" max="544" width="2.28515625" style="252" customWidth="1"/>
    <col min="545" max="545" width="13.5703125" style="252" customWidth="1"/>
    <col min="546" max="546" width="2.28515625" style="252" customWidth="1"/>
    <col min="547" max="547" width="13.5703125" style="252" customWidth="1"/>
    <col min="548" max="548" width="2.28515625" style="252" customWidth="1"/>
    <col min="549" max="549" width="13.5703125" style="252" customWidth="1"/>
    <col min="550" max="550" width="2.28515625" style="252" customWidth="1"/>
    <col min="551" max="551" width="13.5703125" style="252" customWidth="1"/>
    <col min="552" max="552" width="2.28515625" style="252" customWidth="1"/>
    <col min="553" max="553" width="13.5703125" style="252" customWidth="1"/>
    <col min="554" max="554" width="3.42578125" style="252" customWidth="1"/>
    <col min="555" max="768" width="9.140625" style="252"/>
    <col min="769" max="769" width="3.5703125" style="252" customWidth="1"/>
    <col min="770" max="770" width="6.7109375" style="252" bestFit="1" customWidth="1"/>
    <col min="771" max="771" width="12" style="252" bestFit="1" customWidth="1"/>
    <col min="772" max="772" width="40.28515625" style="252" bestFit="1" customWidth="1"/>
    <col min="773" max="773" width="2.28515625" style="252" customWidth="1"/>
    <col min="774" max="774" width="13.5703125" style="252" customWidth="1"/>
    <col min="775" max="775" width="2.28515625" style="252" customWidth="1"/>
    <col min="776" max="776" width="13.5703125" style="252" customWidth="1"/>
    <col min="777" max="777" width="2.28515625" style="252" customWidth="1"/>
    <col min="778" max="778" width="13.5703125" style="252" customWidth="1"/>
    <col min="779" max="779" width="2.28515625" style="252" customWidth="1"/>
    <col min="780" max="780" width="13.5703125" style="252" customWidth="1"/>
    <col min="781" max="781" width="2.28515625" style="252" customWidth="1"/>
    <col min="782" max="782" width="13.5703125" style="252" customWidth="1"/>
    <col min="783" max="783" width="2.28515625" style="252" customWidth="1"/>
    <col min="784" max="784" width="13.5703125" style="252" customWidth="1"/>
    <col min="785" max="785" width="2.28515625" style="252" customWidth="1"/>
    <col min="786" max="786" width="13.5703125" style="252" customWidth="1"/>
    <col min="787" max="787" width="2.28515625" style="252" customWidth="1"/>
    <col min="788" max="788" width="13.5703125" style="252" customWidth="1"/>
    <col min="789" max="789" width="4" style="252" customWidth="1"/>
    <col min="790" max="790" width="3.5703125" style="252" customWidth="1"/>
    <col min="791" max="791" width="6.7109375" style="252" bestFit="1" customWidth="1"/>
    <col min="792" max="792" width="12.7109375" style="252" bestFit="1" customWidth="1"/>
    <col min="793" max="793" width="40.28515625" style="252" bestFit="1" customWidth="1"/>
    <col min="794" max="794" width="2.28515625" style="252" customWidth="1"/>
    <col min="795" max="795" width="13.5703125" style="252" customWidth="1"/>
    <col min="796" max="796" width="2.28515625" style="252" customWidth="1"/>
    <col min="797" max="797" width="13.5703125" style="252" customWidth="1"/>
    <col min="798" max="798" width="2.28515625" style="252" customWidth="1"/>
    <col min="799" max="799" width="13.5703125" style="252" customWidth="1"/>
    <col min="800" max="800" width="2.28515625" style="252" customWidth="1"/>
    <col min="801" max="801" width="13.5703125" style="252" customWidth="1"/>
    <col min="802" max="802" width="2.28515625" style="252" customWidth="1"/>
    <col min="803" max="803" width="13.5703125" style="252" customWidth="1"/>
    <col min="804" max="804" width="2.28515625" style="252" customWidth="1"/>
    <col min="805" max="805" width="13.5703125" style="252" customWidth="1"/>
    <col min="806" max="806" width="2.28515625" style="252" customWidth="1"/>
    <col min="807" max="807" width="13.5703125" style="252" customWidth="1"/>
    <col min="808" max="808" width="2.28515625" style="252" customWidth="1"/>
    <col min="809" max="809" width="13.5703125" style="252" customWidth="1"/>
    <col min="810" max="810" width="3.42578125" style="252" customWidth="1"/>
    <col min="811" max="1024" width="9.140625" style="252"/>
    <col min="1025" max="1025" width="3.5703125" style="252" customWidth="1"/>
    <col min="1026" max="1026" width="6.7109375" style="252" bestFit="1" customWidth="1"/>
    <col min="1027" max="1027" width="12" style="252" bestFit="1" customWidth="1"/>
    <col min="1028" max="1028" width="40.28515625" style="252" bestFit="1" customWidth="1"/>
    <col min="1029" max="1029" width="2.28515625" style="252" customWidth="1"/>
    <col min="1030" max="1030" width="13.5703125" style="252" customWidth="1"/>
    <col min="1031" max="1031" width="2.28515625" style="252" customWidth="1"/>
    <col min="1032" max="1032" width="13.5703125" style="252" customWidth="1"/>
    <col min="1033" max="1033" width="2.28515625" style="252" customWidth="1"/>
    <col min="1034" max="1034" width="13.5703125" style="252" customWidth="1"/>
    <col min="1035" max="1035" width="2.28515625" style="252" customWidth="1"/>
    <col min="1036" max="1036" width="13.5703125" style="252" customWidth="1"/>
    <col min="1037" max="1037" width="2.28515625" style="252" customWidth="1"/>
    <col min="1038" max="1038" width="13.5703125" style="252" customWidth="1"/>
    <col min="1039" max="1039" width="2.28515625" style="252" customWidth="1"/>
    <col min="1040" max="1040" width="13.5703125" style="252" customWidth="1"/>
    <col min="1041" max="1041" width="2.28515625" style="252" customWidth="1"/>
    <col min="1042" max="1042" width="13.5703125" style="252" customWidth="1"/>
    <col min="1043" max="1043" width="2.28515625" style="252" customWidth="1"/>
    <col min="1044" max="1044" width="13.5703125" style="252" customWidth="1"/>
    <col min="1045" max="1045" width="4" style="252" customWidth="1"/>
    <col min="1046" max="1046" width="3.5703125" style="252" customWidth="1"/>
    <col min="1047" max="1047" width="6.7109375" style="252" bestFit="1" customWidth="1"/>
    <col min="1048" max="1048" width="12.7109375" style="252" bestFit="1" customWidth="1"/>
    <col min="1049" max="1049" width="40.28515625" style="252" bestFit="1" customWidth="1"/>
    <col min="1050" max="1050" width="2.28515625" style="252" customWidth="1"/>
    <col min="1051" max="1051" width="13.5703125" style="252" customWidth="1"/>
    <col min="1052" max="1052" width="2.28515625" style="252" customWidth="1"/>
    <col min="1053" max="1053" width="13.5703125" style="252" customWidth="1"/>
    <col min="1054" max="1054" width="2.28515625" style="252" customWidth="1"/>
    <col min="1055" max="1055" width="13.5703125" style="252" customWidth="1"/>
    <col min="1056" max="1056" width="2.28515625" style="252" customWidth="1"/>
    <col min="1057" max="1057" width="13.5703125" style="252" customWidth="1"/>
    <col min="1058" max="1058" width="2.28515625" style="252" customWidth="1"/>
    <col min="1059" max="1059" width="13.5703125" style="252" customWidth="1"/>
    <col min="1060" max="1060" width="2.28515625" style="252" customWidth="1"/>
    <col min="1061" max="1061" width="13.5703125" style="252" customWidth="1"/>
    <col min="1062" max="1062" width="2.28515625" style="252" customWidth="1"/>
    <col min="1063" max="1063" width="13.5703125" style="252" customWidth="1"/>
    <col min="1064" max="1064" width="2.28515625" style="252" customWidth="1"/>
    <col min="1065" max="1065" width="13.5703125" style="252" customWidth="1"/>
    <col min="1066" max="1066" width="3.42578125" style="252" customWidth="1"/>
    <col min="1067" max="1280" width="9.140625" style="252"/>
    <col min="1281" max="1281" width="3.5703125" style="252" customWidth="1"/>
    <col min="1282" max="1282" width="6.7109375" style="252" bestFit="1" customWidth="1"/>
    <col min="1283" max="1283" width="12" style="252" bestFit="1" customWidth="1"/>
    <col min="1284" max="1284" width="40.28515625" style="252" bestFit="1" customWidth="1"/>
    <col min="1285" max="1285" width="2.28515625" style="252" customWidth="1"/>
    <col min="1286" max="1286" width="13.5703125" style="252" customWidth="1"/>
    <col min="1287" max="1287" width="2.28515625" style="252" customWidth="1"/>
    <col min="1288" max="1288" width="13.5703125" style="252" customWidth="1"/>
    <col min="1289" max="1289" width="2.28515625" style="252" customWidth="1"/>
    <col min="1290" max="1290" width="13.5703125" style="252" customWidth="1"/>
    <col min="1291" max="1291" width="2.28515625" style="252" customWidth="1"/>
    <col min="1292" max="1292" width="13.5703125" style="252" customWidth="1"/>
    <col min="1293" max="1293" width="2.28515625" style="252" customWidth="1"/>
    <col min="1294" max="1294" width="13.5703125" style="252" customWidth="1"/>
    <col min="1295" max="1295" width="2.28515625" style="252" customWidth="1"/>
    <col min="1296" max="1296" width="13.5703125" style="252" customWidth="1"/>
    <col min="1297" max="1297" width="2.28515625" style="252" customWidth="1"/>
    <col min="1298" max="1298" width="13.5703125" style="252" customWidth="1"/>
    <col min="1299" max="1299" width="2.28515625" style="252" customWidth="1"/>
    <col min="1300" max="1300" width="13.5703125" style="252" customWidth="1"/>
    <col min="1301" max="1301" width="4" style="252" customWidth="1"/>
    <col min="1302" max="1302" width="3.5703125" style="252" customWidth="1"/>
    <col min="1303" max="1303" width="6.7109375" style="252" bestFit="1" customWidth="1"/>
    <col min="1304" max="1304" width="12.7109375" style="252" bestFit="1" customWidth="1"/>
    <col min="1305" max="1305" width="40.28515625" style="252" bestFit="1" customWidth="1"/>
    <col min="1306" max="1306" width="2.28515625" style="252" customWidth="1"/>
    <col min="1307" max="1307" width="13.5703125" style="252" customWidth="1"/>
    <col min="1308" max="1308" width="2.28515625" style="252" customWidth="1"/>
    <col min="1309" max="1309" width="13.5703125" style="252" customWidth="1"/>
    <col min="1310" max="1310" width="2.28515625" style="252" customWidth="1"/>
    <col min="1311" max="1311" width="13.5703125" style="252" customWidth="1"/>
    <col min="1312" max="1312" width="2.28515625" style="252" customWidth="1"/>
    <col min="1313" max="1313" width="13.5703125" style="252" customWidth="1"/>
    <col min="1314" max="1314" width="2.28515625" style="252" customWidth="1"/>
    <col min="1315" max="1315" width="13.5703125" style="252" customWidth="1"/>
    <col min="1316" max="1316" width="2.28515625" style="252" customWidth="1"/>
    <col min="1317" max="1317" width="13.5703125" style="252" customWidth="1"/>
    <col min="1318" max="1318" width="2.28515625" style="252" customWidth="1"/>
    <col min="1319" max="1319" width="13.5703125" style="252" customWidth="1"/>
    <col min="1320" max="1320" width="2.28515625" style="252" customWidth="1"/>
    <col min="1321" max="1321" width="13.5703125" style="252" customWidth="1"/>
    <col min="1322" max="1322" width="3.42578125" style="252" customWidth="1"/>
    <col min="1323" max="1536" width="9.140625" style="252"/>
    <col min="1537" max="1537" width="3.5703125" style="252" customWidth="1"/>
    <col min="1538" max="1538" width="6.7109375" style="252" bestFit="1" customWidth="1"/>
    <col min="1539" max="1539" width="12" style="252" bestFit="1" customWidth="1"/>
    <col min="1540" max="1540" width="40.28515625" style="252" bestFit="1" customWidth="1"/>
    <col min="1541" max="1541" width="2.28515625" style="252" customWidth="1"/>
    <col min="1542" max="1542" width="13.5703125" style="252" customWidth="1"/>
    <col min="1543" max="1543" width="2.28515625" style="252" customWidth="1"/>
    <col min="1544" max="1544" width="13.5703125" style="252" customWidth="1"/>
    <col min="1545" max="1545" width="2.28515625" style="252" customWidth="1"/>
    <col min="1546" max="1546" width="13.5703125" style="252" customWidth="1"/>
    <col min="1547" max="1547" width="2.28515625" style="252" customWidth="1"/>
    <col min="1548" max="1548" width="13.5703125" style="252" customWidth="1"/>
    <col min="1549" max="1549" width="2.28515625" style="252" customWidth="1"/>
    <col min="1550" max="1550" width="13.5703125" style="252" customWidth="1"/>
    <col min="1551" max="1551" width="2.28515625" style="252" customWidth="1"/>
    <col min="1552" max="1552" width="13.5703125" style="252" customWidth="1"/>
    <col min="1553" max="1553" width="2.28515625" style="252" customWidth="1"/>
    <col min="1554" max="1554" width="13.5703125" style="252" customWidth="1"/>
    <col min="1555" max="1555" width="2.28515625" style="252" customWidth="1"/>
    <col min="1556" max="1556" width="13.5703125" style="252" customWidth="1"/>
    <col min="1557" max="1557" width="4" style="252" customWidth="1"/>
    <col min="1558" max="1558" width="3.5703125" style="252" customWidth="1"/>
    <col min="1559" max="1559" width="6.7109375" style="252" bestFit="1" customWidth="1"/>
    <col min="1560" max="1560" width="12.7109375" style="252" bestFit="1" customWidth="1"/>
    <col min="1561" max="1561" width="40.28515625" style="252" bestFit="1" customWidth="1"/>
    <col min="1562" max="1562" width="2.28515625" style="252" customWidth="1"/>
    <col min="1563" max="1563" width="13.5703125" style="252" customWidth="1"/>
    <col min="1564" max="1564" width="2.28515625" style="252" customWidth="1"/>
    <col min="1565" max="1565" width="13.5703125" style="252" customWidth="1"/>
    <col min="1566" max="1566" width="2.28515625" style="252" customWidth="1"/>
    <col min="1567" max="1567" width="13.5703125" style="252" customWidth="1"/>
    <col min="1568" max="1568" width="2.28515625" style="252" customWidth="1"/>
    <col min="1569" max="1569" width="13.5703125" style="252" customWidth="1"/>
    <col min="1570" max="1570" width="2.28515625" style="252" customWidth="1"/>
    <col min="1571" max="1571" width="13.5703125" style="252" customWidth="1"/>
    <col min="1572" max="1572" width="2.28515625" style="252" customWidth="1"/>
    <col min="1573" max="1573" width="13.5703125" style="252" customWidth="1"/>
    <col min="1574" max="1574" width="2.28515625" style="252" customWidth="1"/>
    <col min="1575" max="1575" width="13.5703125" style="252" customWidth="1"/>
    <col min="1576" max="1576" width="2.28515625" style="252" customWidth="1"/>
    <col min="1577" max="1577" width="13.5703125" style="252" customWidth="1"/>
    <col min="1578" max="1578" width="3.42578125" style="252" customWidth="1"/>
    <col min="1579" max="1792" width="9.140625" style="252"/>
    <col min="1793" max="1793" width="3.5703125" style="252" customWidth="1"/>
    <col min="1794" max="1794" width="6.7109375" style="252" bestFit="1" customWidth="1"/>
    <col min="1795" max="1795" width="12" style="252" bestFit="1" customWidth="1"/>
    <col min="1796" max="1796" width="40.28515625" style="252" bestFit="1" customWidth="1"/>
    <col min="1797" max="1797" width="2.28515625" style="252" customWidth="1"/>
    <col min="1798" max="1798" width="13.5703125" style="252" customWidth="1"/>
    <col min="1799" max="1799" width="2.28515625" style="252" customWidth="1"/>
    <col min="1800" max="1800" width="13.5703125" style="252" customWidth="1"/>
    <col min="1801" max="1801" width="2.28515625" style="252" customWidth="1"/>
    <col min="1802" max="1802" width="13.5703125" style="252" customWidth="1"/>
    <col min="1803" max="1803" width="2.28515625" style="252" customWidth="1"/>
    <col min="1804" max="1804" width="13.5703125" style="252" customWidth="1"/>
    <col min="1805" max="1805" width="2.28515625" style="252" customWidth="1"/>
    <col min="1806" max="1806" width="13.5703125" style="252" customWidth="1"/>
    <col min="1807" max="1807" width="2.28515625" style="252" customWidth="1"/>
    <col min="1808" max="1808" width="13.5703125" style="252" customWidth="1"/>
    <col min="1809" max="1809" width="2.28515625" style="252" customWidth="1"/>
    <col min="1810" max="1810" width="13.5703125" style="252" customWidth="1"/>
    <col min="1811" max="1811" width="2.28515625" style="252" customWidth="1"/>
    <col min="1812" max="1812" width="13.5703125" style="252" customWidth="1"/>
    <col min="1813" max="1813" width="4" style="252" customWidth="1"/>
    <col min="1814" max="1814" width="3.5703125" style="252" customWidth="1"/>
    <col min="1815" max="1815" width="6.7109375" style="252" bestFit="1" customWidth="1"/>
    <col min="1816" max="1816" width="12.7109375" style="252" bestFit="1" customWidth="1"/>
    <col min="1817" max="1817" width="40.28515625" style="252" bestFit="1" customWidth="1"/>
    <col min="1818" max="1818" width="2.28515625" style="252" customWidth="1"/>
    <col min="1819" max="1819" width="13.5703125" style="252" customWidth="1"/>
    <col min="1820" max="1820" width="2.28515625" style="252" customWidth="1"/>
    <col min="1821" max="1821" width="13.5703125" style="252" customWidth="1"/>
    <col min="1822" max="1822" width="2.28515625" style="252" customWidth="1"/>
    <col min="1823" max="1823" width="13.5703125" style="252" customWidth="1"/>
    <col min="1824" max="1824" width="2.28515625" style="252" customWidth="1"/>
    <col min="1825" max="1825" width="13.5703125" style="252" customWidth="1"/>
    <col min="1826" max="1826" width="2.28515625" style="252" customWidth="1"/>
    <col min="1827" max="1827" width="13.5703125" style="252" customWidth="1"/>
    <col min="1828" max="1828" width="2.28515625" style="252" customWidth="1"/>
    <col min="1829" max="1829" width="13.5703125" style="252" customWidth="1"/>
    <col min="1830" max="1830" width="2.28515625" style="252" customWidth="1"/>
    <col min="1831" max="1831" width="13.5703125" style="252" customWidth="1"/>
    <col min="1832" max="1832" width="2.28515625" style="252" customWidth="1"/>
    <col min="1833" max="1833" width="13.5703125" style="252" customWidth="1"/>
    <col min="1834" max="1834" width="3.42578125" style="252" customWidth="1"/>
    <col min="1835" max="2048" width="9.140625" style="252"/>
    <col min="2049" max="2049" width="3.5703125" style="252" customWidth="1"/>
    <col min="2050" max="2050" width="6.7109375" style="252" bestFit="1" customWidth="1"/>
    <col min="2051" max="2051" width="12" style="252" bestFit="1" customWidth="1"/>
    <col min="2052" max="2052" width="40.28515625" style="252" bestFit="1" customWidth="1"/>
    <col min="2053" max="2053" width="2.28515625" style="252" customWidth="1"/>
    <col min="2054" max="2054" width="13.5703125" style="252" customWidth="1"/>
    <col min="2055" max="2055" width="2.28515625" style="252" customWidth="1"/>
    <col min="2056" max="2056" width="13.5703125" style="252" customWidth="1"/>
    <col min="2057" max="2057" width="2.28515625" style="252" customWidth="1"/>
    <col min="2058" max="2058" width="13.5703125" style="252" customWidth="1"/>
    <col min="2059" max="2059" width="2.28515625" style="252" customWidth="1"/>
    <col min="2060" max="2060" width="13.5703125" style="252" customWidth="1"/>
    <col min="2061" max="2061" width="2.28515625" style="252" customWidth="1"/>
    <col min="2062" max="2062" width="13.5703125" style="252" customWidth="1"/>
    <col min="2063" max="2063" width="2.28515625" style="252" customWidth="1"/>
    <col min="2064" max="2064" width="13.5703125" style="252" customWidth="1"/>
    <col min="2065" max="2065" width="2.28515625" style="252" customWidth="1"/>
    <col min="2066" max="2066" width="13.5703125" style="252" customWidth="1"/>
    <col min="2067" max="2067" width="2.28515625" style="252" customWidth="1"/>
    <col min="2068" max="2068" width="13.5703125" style="252" customWidth="1"/>
    <col min="2069" max="2069" width="4" style="252" customWidth="1"/>
    <col min="2070" max="2070" width="3.5703125" style="252" customWidth="1"/>
    <col min="2071" max="2071" width="6.7109375" style="252" bestFit="1" customWidth="1"/>
    <col min="2072" max="2072" width="12.7109375" style="252" bestFit="1" customWidth="1"/>
    <col min="2073" max="2073" width="40.28515625" style="252" bestFit="1" customWidth="1"/>
    <col min="2074" max="2074" width="2.28515625" style="252" customWidth="1"/>
    <col min="2075" max="2075" width="13.5703125" style="252" customWidth="1"/>
    <col min="2076" max="2076" width="2.28515625" style="252" customWidth="1"/>
    <col min="2077" max="2077" width="13.5703125" style="252" customWidth="1"/>
    <col min="2078" max="2078" width="2.28515625" style="252" customWidth="1"/>
    <col min="2079" max="2079" width="13.5703125" style="252" customWidth="1"/>
    <col min="2080" max="2080" width="2.28515625" style="252" customWidth="1"/>
    <col min="2081" max="2081" width="13.5703125" style="252" customWidth="1"/>
    <col min="2082" max="2082" width="2.28515625" style="252" customWidth="1"/>
    <col min="2083" max="2083" width="13.5703125" style="252" customWidth="1"/>
    <col min="2084" max="2084" width="2.28515625" style="252" customWidth="1"/>
    <col min="2085" max="2085" width="13.5703125" style="252" customWidth="1"/>
    <col min="2086" max="2086" width="2.28515625" style="252" customWidth="1"/>
    <col min="2087" max="2087" width="13.5703125" style="252" customWidth="1"/>
    <col min="2088" max="2088" width="2.28515625" style="252" customWidth="1"/>
    <col min="2089" max="2089" width="13.5703125" style="252" customWidth="1"/>
    <col min="2090" max="2090" width="3.42578125" style="252" customWidth="1"/>
    <col min="2091" max="2304" width="9.140625" style="252"/>
    <col min="2305" max="2305" width="3.5703125" style="252" customWidth="1"/>
    <col min="2306" max="2306" width="6.7109375" style="252" bestFit="1" customWidth="1"/>
    <col min="2307" max="2307" width="12" style="252" bestFit="1" customWidth="1"/>
    <col min="2308" max="2308" width="40.28515625" style="252" bestFit="1" customWidth="1"/>
    <col min="2309" max="2309" width="2.28515625" style="252" customWidth="1"/>
    <col min="2310" max="2310" width="13.5703125" style="252" customWidth="1"/>
    <col min="2311" max="2311" width="2.28515625" style="252" customWidth="1"/>
    <col min="2312" max="2312" width="13.5703125" style="252" customWidth="1"/>
    <col min="2313" max="2313" width="2.28515625" style="252" customWidth="1"/>
    <col min="2314" max="2314" width="13.5703125" style="252" customWidth="1"/>
    <col min="2315" max="2315" width="2.28515625" style="252" customWidth="1"/>
    <col min="2316" max="2316" width="13.5703125" style="252" customWidth="1"/>
    <col min="2317" max="2317" width="2.28515625" style="252" customWidth="1"/>
    <col min="2318" max="2318" width="13.5703125" style="252" customWidth="1"/>
    <col min="2319" max="2319" width="2.28515625" style="252" customWidth="1"/>
    <col min="2320" max="2320" width="13.5703125" style="252" customWidth="1"/>
    <col min="2321" max="2321" width="2.28515625" style="252" customWidth="1"/>
    <col min="2322" max="2322" width="13.5703125" style="252" customWidth="1"/>
    <col min="2323" max="2323" width="2.28515625" style="252" customWidth="1"/>
    <col min="2324" max="2324" width="13.5703125" style="252" customWidth="1"/>
    <col min="2325" max="2325" width="4" style="252" customWidth="1"/>
    <col min="2326" max="2326" width="3.5703125" style="252" customWidth="1"/>
    <col min="2327" max="2327" width="6.7109375" style="252" bestFit="1" customWidth="1"/>
    <col min="2328" max="2328" width="12.7109375" style="252" bestFit="1" customWidth="1"/>
    <col min="2329" max="2329" width="40.28515625" style="252" bestFit="1" customWidth="1"/>
    <col min="2330" max="2330" width="2.28515625" style="252" customWidth="1"/>
    <col min="2331" max="2331" width="13.5703125" style="252" customWidth="1"/>
    <col min="2332" max="2332" width="2.28515625" style="252" customWidth="1"/>
    <col min="2333" max="2333" width="13.5703125" style="252" customWidth="1"/>
    <col min="2334" max="2334" width="2.28515625" style="252" customWidth="1"/>
    <col min="2335" max="2335" width="13.5703125" style="252" customWidth="1"/>
    <col min="2336" max="2336" width="2.28515625" style="252" customWidth="1"/>
    <col min="2337" max="2337" width="13.5703125" style="252" customWidth="1"/>
    <col min="2338" max="2338" width="2.28515625" style="252" customWidth="1"/>
    <col min="2339" max="2339" width="13.5703125" style="252" customWidth="1"/>
    <col min="2340" max="2340" width="2.28515625" style="252" customWidth="1"/>
    <col min="2341" max="2341" width="13.5703125" style="252" customWidth="1"/>
    <col min="2342" max="2342" width="2.28515625" style="252" customWidth="1"/>
    <col min="2343" max="2343" width="13.5703125" style="252" customWidth="1"/>
    <col min="2344" max="2344" width="2.28515625" style="252" customWidth="1"/>
    <col min="2345" max="2345" width="13.5703125" style="252" customWidth="1"/>
    <col min="2346" max="2346" width="3.42578125" style="252" customWidth="1"/>
    <col min="2347" max="2560" width="9.140625" style="252"/>
    <col min="2561" max="2561" width="3.5703125" style="252" customWidth="1"/>
    <col min="2562" max="2562" width="6.7109375" style="252" bestFit="1" customWidth="1"/>
    <col min="2563" max="2563" width="12" style="252" bestFit="1" customWidth="1"/>
    <col min="2564" max="2564" width="40.28515625" style="252" bestFit="1" customWidth="1"/>
    <col min="2565" max="2565" width="2.28515625" style="252" customWidth="1"/>
    <col min="2566" max="2566" width="13.5703125" style="252" customWidth="1"/>
    <col min="2567" max="2567" width="2.28515625" style="252" customWidth="1"/>
    <col min="2568" max="2568" width="13.5703125" style="252" customWidth="1"/>
    <col min="2569" max="2569" width="2.28515625" style="252" customWidth="1"/>
    <col min="2570" max="2570" width="13.5703125" style="252" customWidth="1"/>
    <col min="2571" max="2571" width="2.28515625" style="252" customWidth="1"/>
    <col min="2572" max="2572" width="13.5703125" style="252" customWidth="1"/>
    <col min="2573" max="2573" width="2.28515625" style="252" customWidth="1"/>
    <col min="2574" max="2574" width="13.5703125" style="252" customWidth="1"/>
    <col min="2575" max="2575" width="2.28515625" style="252" customWidth="1"/>
    <col min="2576" max="2576" width="13.5703125" style="252" customWidth="1"/>
    <col min="2577" max="2577" width="2.28515625" style="252" customWidth="1"/>
    <col min="2578" max="2578" width="13.5703125" style="252" customWidth="1"/>
    <col min="2579" max="2579" width="2.28515625" style="252" customWidth="1"/>
    <col min="2580" max="2580" width="13.5703125" style="252" customWidth="1"/>
    <col min="2581" max="2581" width="4" style="252" customWidth="1"/>
    <col min="2582" max="2582" width="3.5703125" style="252" customWidth="1"/>
    <col min="2583" max="2583" width="6.7109375" style="252" bestFit="1" customWidth="1"/>
    <col min="2584" max="2584" width="12.7109375" style="252" bestFit="1" customWidth="1"/>
    <col min="2585" max="2585" width="40.28515625" style="252" bestFit="1" customWidth="1"/>
    <col min="2586" max="2586" width="2.28515625" style="252" customWidth="1"/>
    <col min="2587" max="2587" width="13.5703125" style="252" customWidth="1"/>
    <col min="2588" max="2588" width="2.28515625" style="252" customWidth="1"/>
    <col min="2589" max="2589" width="13.5703125" style="252" customWidth="1"/>
    <col min="2590" max="2590" width="2.28515625" style="252" customWidth="1"/>
    <col min="2591" max="2591" width="13.5703125" style="252" customWidth="1"/>
    <col min="2592" max="2592" width="2.28515625" style="252" customWidth="1"/>
    <col min="2593" max="2593" width="13.5703125" style="252" customWidth="1"/>
    <col min="2594" max="2594" width="2.28515625" style="252" customWidth="1"/>
    <col min="2595" max="2595" width="13.5703125" style="252" customWidth="1"/>
    <col min="2596" max="2596" width="2.28515625" style="252" customWidth="1"/>
    <col min="2597" max="2597" width="13.5703125" style="252" customWidth="1"/>
    <col min="2598" max="2598" width="2.28515625" style="252" customWidth="1"/>
    <col min="2599" max="2599" width="13.5703125" style="252" customWidth="1"/>
    <col min="2600" max="2600" width="2.28515625" style="252" customWidth="1"/>
    <col min="2601" max="2601" width="13.5703125" style="252" customWidth="1"/>
    <col min="2602" max="2602" width="3.42578125" style="252" customWidth="1"/>
    <col min="2603" max="2816" width="9.140625" style="252"/>
    <col min="2817" max="2817" width="3.5703125" style="252" customWidth="1"/>
    <col min="2818" max="2818" width="6.7109375" style="252" bestFit="1" customWidth="1"/>
    <col min="2819" max="2819" width="12" style="252" bestFit="1" customWidth="1"/>
    <col min="2820" max="2820" width="40.28515625" style="252" bestFit="1" customWidth="1"/>
    <col min="2821" max="2821" width="2.28515625" style="252" customWidth="1"/>
    <col min="2822" max="2822" width="13.5703125" style="252" customWidth="1"/>
    <col min="2823" max="2823" width="2.28515625" style="252" customWidth="1"/>
    <col min="2824" max="2824" width="13.5703125" style="252" customWidth="1"/>
    <col min="2825" max="2825" width="2.28515625" style="252" customWidth="1"/>
    <col min="2826" max="2826" width="13.5703125" style="252" customWidth="1"/>
    <col min="2827" max="2827" width="2.28515625" style="252" customWidth="1"/>
    <col min="2828" max="2828" width="13.5703125" style="252" customWidth="1"/>
    <col min="2829" max="2829" width="2.28515625" style="252" customWidth="1"/>
    <col min="2830" max="2830" width="13.5703125" style="252" customWidth="1"/>
    <col min="2831" max="2831" width="2.28515625" style="252" customWidth="1"/>
    <col min="2832" max="2832" width="13.5703125" style="252" customWidth="1"/>
    <col min="2833" max="2833" width="2.28515625" style="252" customWidth="1"/>
    <col min="2834" max="2834" width="13.5703125" style="252" customWidth="1"/>
    <col min="2835" max="2835" width="2.28515625" style="252" customWidth="1"/>
    <col min="2836" max="2836" width="13.5703125" style="252" customWidth="1"/>
    <col min="2837" max="2837" width="4" style="252" customWidth="1"/>
    <col min="2838" max="2838" width="3.5703125" style="252" customWidth="1"/>
    <col min="2839" max="2839" width="6.7109375" style="252" bestFit="1" customWidth="1"/>
    <col min="2840" max="2840" width="12.7109375" style="252" bestFit="1" customWidth="1"/>
    <col min="2841" max="2841" width="40.28515625" style="252" bestFit="1" customWidth="1"/>
    <col min="2842" max="2842" width="2.28515625" style="252" customWidth="1"/>
    <col min="2843" max="2843" width="13.5703125" style="252" customWidth="1"/>
    <col min="2844" max="2844" width="2.28515625" style="252" customWidth="1"/>
    <col min="2845" max="2845" width="13.5703125" style="252" customWidth="1"/>
    <col min="2846" max="2846" width="2.28515625" style="252" customWidth="1"/>
    <col min="2847" max="2847" width="13.5703125" style="252" customWidth="1"/>
    <col min="2848" max="2848" width="2.28515625" style="252" customWidth="1"/>
    <col min="2849" max="2849" width="13.5703125" style="252" customWidth="1"/>
    <col min="2850" max="2850" width="2.28515625" style="252" customWidth="1"/>
    <col min="2851" max="2851" width="13.5703125" style="252" customWidth="1"/>
    <col min="2852" max="2852" width="2.28515625" style="252" customWidth="1"/>
    <col min="2853" max="2853" width="13.5703125" style="252" customWidth="1"/>
    <col min="2854" max="2854" width="2.28515625" style="252" customWidth="1"/>
    <col min="2855" max="2855" width="13.5703125" style="252" customWidth="1"/>
    <col min="2856" max="2856" width="2.28515625" style="252" customWidth="1"/>
    <col min="2857" max="2857" width="13.5703125" style="252" customWidth="1"/>
    <col min="2858" max="2858" width="3.42578125" style="252" customWidth="1"/>
    <col min="2859" max="3072" width="9.140625" style="252"/>
    <col min="3073" max="3073" width="3.5703125" style="252" customWidth="1"/>
    <col min="3074" max="3074" width="6.7109375" style="252" bestFit="1" customWidth="1"/>
    <col min="3075" max="3075" width="12" style="252" bestFit="1" customWidth="1"/>
    <col min="3076" max="3076" width="40.28515625" style="252" bestFit="1" customWidth="1"/>
    <col min="3077" max="3077" width="2.28515625" style="252" customWidth="1"/>
    <col min="3078" max="3078" width="13.5703125" style="252" customWidth="1"/>
    <col min="3079" max="3079" width="2.28515625" style="252" customWidth="1"/>
    <col min="3080" max="3080" width="13.5703125" style="252" customWidth="1"/>
    <col min="3081" max="3081" width="2.28515625" style="252" customWidth="1"/>
    <col min="3082" max="3082" width="13.5703125" style="252" customWidth="1"/>
    <col min="3083" max="3083" width="2.28515625" style="252" customWidth="1"/>
    <col min="3084" max="3084" width="13.5703125" style="252" customWidth="1"/>
    <col min="3085" max="3085" width="2.28515625" style="252" customWidth="1"/>
    <col min="3086" max="3086" width="13.5703125" style="252" customWidth="1"/>
    <col min="3087" max="3087" width="2.28515625" style="252" customWidth="1"/>
    <col min="3088" max="3088" width="13.5703125" style="252" customWidth="1"/>
    <col min="3089" max="3089" width="2.28515625" style="252" customWidth="1"/>
    <col min="3090" max="3090" width="13.5703125" style="252" customWidth="1"/>
    <col min="3091" max="3091" width="2.28515625" style="252" customWidth="1"/>
    <col min="3092" max="3092" width="13.5703125" style="252" customWidth="1"/>
    <col min="3093" max="3093" width="4" style="252" customWidth="1"/>
    <col min="3094" max="3094" width="3.5703125" style="252" customWidth="1"/>
    <col min="3095" max="3095" width="6.7109375" style="252" bestFit="1" customWidth="1"/>
    <col min="3096" max="3096" width="12.7109375" style="252" bestFit="1" customWidth="1"/>
    <col min="3097" max="3097" width="40.28515625" style="252" bestFit="1" customWidth="1"/>
    <col min="3098" max="3098" width="2.28515625" style="252" customWidth="1"/>
    <col min="3099" max="3099" width="13.5703125" style="252" customWidth="1"/>
    <col min="3100" max="3100" width="2.28515625" style="252" customWidth="1"/>
    <col min="3101" max="3101" width="13.5703125" style="252" customWidth="1"/>
    <col min="3102" max="3102" width="2.28515625" style="252" customWidth="1"/>
    <col min="3103" max="3103" width="13.5703125" style="252" customWidth="1"/>
    <col min="3104" max="3104" width="2.28515625" style="252" customWidth="1"/>
    <col min="3105" max="3105" width="13.5703125" style="252" customWidth="1"/>
    <col min="3106" max="3106" width="2.28515625" style="252" customWidth="1"/>
    <col min="3107" max="3107" width="13.5703125" style="252" customWidth="1"/>
    <col min="3108" max="3108" width="2.28515625" style="252" customWidth="1"/>
    <col min="3109" max="3109" width="13.5703125" style="252" customWidth="1"/>
    <col min="3110" max="3110" width="2.28515625" style="252" customWidth="1"/>
    <col min="3111" max="3111" width="13.5703125" style="252" customWidth="1"/>
    <col min="3112" max="3112" width="2.28515625" style="252" customWidth="1"/>
    <col min="3113" max="3113" width="13.5703125" style="252" customWidth="1"/>
    <col min="3114" max="3114" width="3.42578125" style="252" customWidth="1"/>
    <col min="3115" max="3328" width="9.140625" style="252"/>
    <col min="3329" max="3329" width="3.5703125" style="252" customWidth="1"/>
    <col min="3330" max="3330" width="6.7109375" style="252" bestFit="1" customWidth="1"/>
    <col min="3331" max="3331" width="12" style="252" bestFit="1" customWidth="1"/>
    <col min="3332" max="3332" width="40.28515625" style="252" bestFit="1" customWidth="1"/>
    <col min="3333" max="3333" width="2.28515625" style="252" customWidth="1"/>
    <col min="3334" max="3334" width="13.5703125" style="252" customWidth="1"/>
    <col min="3335" max="3335" width="2.28515625" style="252" customWidth="1"/>
    <col min="3336" max="3336" width="13.5703125" style="252" customWidth="1"/>
    <col min="3337" max="3337" width="2.28515625" style="252" customWidth="1"/>
    <col min="3338" max="3338" width="13.5703125" style="252" customWidth="1"/>
    <col min="3339" max="3339" width="2.28515625" style="252" customWidth="1"/>
    <col min="3340" max="3340" width="13.5703125" style="252" customWidth="1"/>
    <col min="3341" max="3341" width="2.28515625" style="252" customWidth="1"/>
    <col min="3342" max="3342" width="13.5703125" style="252" customWidth="1"/>
    <col min="3343" max="3343" width="2.28515625" style="252" customWidth="1"/>
    <col min="3344" max="3344" width="13.5703125" style="252" customWidth="1"/>
    <col min="3345" max="3345" width="2.28515625" style="252" customWidth="1"/>
    <col min="3346" max="3346" width="13.5703125" style="252" customWidth="1"/>
    <col min="3347" max="3347" width="2.28515625" style="252" customWidth="1"/>
    <col min="3348" max="3348" width="13.5703125" style="252" customWidth="1"/>
    <col min="3349" max="3349" width="4" style="252" customWidth="1"/>
    <col min="3350" max="3350" width="3.5703125" style="252" customWidth="1"/>
    <col min="3351" max="3351" width="6.7109375" style="252" bestFit="1" customWidth="1"/>
    <col min="3352" max="3352" width="12.7109375" style="252" bestFit="1" customWidth="1"/>
    <col min="3353" max="3353" width="40.28515625" style="252" bestFit="1" customWidth="1"/>
    <col min="3354" max="3354" width="2.28515625" style="252" customWidth="1"/>
    <col min="3355" max="3355" width="13.5703125" style="252" customWidth="1"/>
    <col min="3356" max="3356" width="2.28515625" style="252" customWidth="1"/>
    <col min="3357" max="3357" width="13.5703125" style="252" customWidth="1"/>
    <col min="3358" max="3358" width="2.28515625" style="252" customWidth="1"/>
    <col min="3359" max="3359" width="13.5703125" style="252" customWidth="1"/>
    <col min="3360" max="3360" width="2.28515625" style="252" customWidth="1"/>
    <col min="3361" max="3361" width="13.5703125" style="252" customWidth="1"/>
    <col min="3362" max="3362" width="2.28515625" style="252" customWidth="1"/>
    <col min="3363" max="3363" width="13.5703125" style="252" customWidth="1"/>
    <col min="3364" max="3364" width="2.28515625" style="252" customWidth="1"/>
    <col min="3365" max="3365" width="13.5703125" style="252" customWidth="1"/>
    <col min="3366" max="3366" width="2.28515625" style="252" customWidth="1"/>
    <col min="3367" max="3367" width="13.5703125" style="252" customWidth="1"/>
    <col min="3368" max="3368" width="2.28515625" style="252" customWidth="1"/>
    <col min="3369" max="3369" width="13.5703125" style="252" customWidth="1"/>
    <col min="3370" max="3370" width="3.42578125" style="252" customWidth="1"/>
    <col min="3371" max="3584" width="9.140625" style="252"/>
    <col min="3585" max="3585" width="3.5703125" style="252" customWidth="1"/>
    <col min="3586" max="3586" width="6.7109375" style="252" bestFit="1" customWidth="1"/>
    <col min="3587" max="3587" width="12" style="252" bestFit="1" customWidth="1"/>
    <col min="3588" max="3588" width="40.28515625" style="252" bestFit="1" customWidth="1"/>
    <col min="3589" max="3589" width="2.28515625" style="252" customWidth="1"/>
    <col min="3590" max="3590" width="13.5703125" style="252" customWidth="1"/>
    <col min="3591" max="3591" width="2.28515625" style="252" customWidth="1"/>
    <col min="3592" max="3592" width="13.5703125" style="252" customWidth="1"/>
    <col min="3593" max="3593" width="2.28515625" style="252" customWidth="1"/>
    <col min="3594" max="3594" width="13.5703125" style="252" customWidth="1"/>
    <col min="3595" max="3595" width="2.28515625" style="252" customWidth="1"/>
    <col min="3596" max="3596" width="13.5703125" style="252" customWidth="1"/>
    <col min="3597" max="3597" width="2.28515625" style="252" customWidth="1"/>
    <col min="3598" max="3598" width="13.5703125" style="252" customWidth="1"/>
    <col min="3599" max="3599" width="2.28515625" style="252" customWidth="1"/>
    <col min="3600" max="3600" width="13.5703125" style="252" customWidth="1"/>
    <col min="3601" max="3601" width="2.28515625" style="252" customWidth="1"/>
    <col min="3602" max="3602" width="13.5703125" style="252" customWidth="1"/>
    <col min="3603" max="3603" width="2.28515625" style="252" customWidth="1"/>
    <col min="3604" max="3604" width="13.5703125" style="252" customWidth="1"/>
    <col min="3605" max="3605" width="4" style="252" customWidth="1"/>
    <col min="3606" max="3606" width="3.5703125" style="252" customWidth="1"/>
    <col min="3607" max="3607" width="6.7109375" style="252" bestFit="1" customWidth="1"/>
    <col min="3608" max="3608" width="12.7109375" style="252" bestFit="1" customWidth="1"/>
    <col min="3609" max="3609" width="40.28515625" style="252" bestFit="1" customWidth="1"/>
    <col min="3610" max="3610" width="2.28515625" style="252" customWidth="1"/>
    <col min="3611" max="3611" width="13.5703125" style="252" customWidth="1"/>
    <col min="3612" max="3612" width="2.28515625" style="252" customWidth="1"/>
    <col min="3613" max="3613" width="13.5703125" style="252" customWidth="1"/>
    <col min="3614" max="3614" width="2.28515625" style="252" customWidth="1"/>
    <col min="3615" max="3615" width="13.5703125" style="252" customWidth="1"/>
    <col min="3616" max="3616" width="2.28515625" style="252" customWidth="1"/>
    <col min="3617" max="3617" width="13.5703125" style="252" customWidth="1"/>
    <col min="3618" max="3618" width="2.28515625" style="252" customWidth="1"/>
    <col min="3619" max="3619" width="13.5703125" style="252" customWidth="1"/>
    <col min="3620" max="3620" width="2.28515625" style="252" customWidth="1"/>
    <col min="3621" max="3621" width="13.5703125" style="252" customWidth="1"/>
    <col min="3622" max="3622" width="2.28515625" style="252" customWidth="1"/>
    <col min="3623" max="3623" width="13.5703125" style="252" customWidth="1"/>
    <col min="3624" max="3624" width="2.28515625" style="252" customWidth="1"/>
    <col min="3625" max="3625" width="13.5703125" style="252" customWidth="1"/>
    <col min="3626" max="3626" width="3.42578125" style="252" customWidth="1"/>
    <col min="3627" max="3840" width="9.140625" style="252"/>
    <col min="3841" max="3841" width="3.5703125" style="252" customWidth="1"/>
    <col min="3842" max="3842" width="6.7109375" style="252" bestFit="1" customWidth="1"/>
    <col min="3843" max="3843" width="12" style="252" bestFit="1" customWidth="1"/>
    <col min="3844" max="3844" width="40.28515625" style="252" bestFit="1" customWidth="1"/>
    <col min="3845" max="3845" width="2.28515625" style="252" customWidth="1"/>
    <col min="3846" max="3846" width="13.5703125" style="252" customWidth="1"/>
    <col min="3847" max="3847" width="2.28515625" style="252" customWidth="1"/>
    <col min="3848" max="3848" width="13.5703125" style="252" customWidth="1"/>
    <col min="3849" max="3849" width="2.28515625" style="252" customWidth="1"/>
    <col min="3850" max="3850" width="13.5703125" style="252" customWidth="1"/>
    <col min="3851" max="3851" width="2.28515625" style="252" customWidth="1"/>
    <col min="3852" max="3852" width="13.5703125" style="252" customWidth="1"/>
    <col min="3853" max="3853" width="2.28515625" style="252" customWidth="1"/>
    <col min="3854" max="3854" width="13.5703125" style="252" customWidth="1"/>
    <col min="3855" max="3855" width="2.28515625" style="252" customWidth="1"/>
    <col min="3856" max="3856" width="13.5703125" style="252" customWidth="1"/>
    <col min="3857" max="3857" width="2.28515625" style="252" customWidth="1"/>
    <col min="3858" max="3858" width="13.5703125" style="252" customWidth="1"/>
    <col min="3859" max="3859" width="2.28515625" style="252" customWidth="1"/>
    <col min="3860" max="3860" width="13.5703125" style="252" customWidth="1"/>
    <col min="3861" max="3861" width="4" style="252" customWidth="1"/>
    <col min="3862" max="3862" width="3.5703125" style="252" customWidth="1"/>
    <col min="3863" max="3863" width="6.7109375" style="252" bestFit="1" customWidth="1"/>
    <col min="3864" max="3864" width="12.7109375" style="252" bestFit="1" customWidth="1"/>
    <col min="3865" max="3865" width="40.28515625" style="252" bestFit="1" customWidth="1"/>
    <col min="3866" max="3866" width="2.28515625" style="252" customWidth="1"/>
    <col min="3867" max="3867" width="13.5703125" style="252" customWidth="1"/>
    <col min="3868" max="3868" width="2.28515625" style="252" customWidth="1"/>
    <col min="3869" max="3869" width="13.5703125" style="252" customWidth="1"/>
    <col min="3870" max="3870" width="2.28515625" style="252" customWidth="1"/>
    <col min="3871" max="3871" width="13.5703125" style="252" customWidth="1"/>
    <col min="3872" max="3872" width="2.28515625" style="252" customWidth="1"/>
    <col min="3873" max="3873" width="13.5703125" style="252" customWidth="1"/>
    <col min="3874" max="3874" width="2.28515625" style="252" customWidth="1"/>
    <col min="3875" max="3875" width="13.5703125" style="252" customWidth="1"/>
    <col min="3876" max="3876" width="2.28515625" style="252" customWidth="1"/>
    <col min="3877" max="3877" width="13.5703125" style="252" customWidth="1"/>
    <col min="3878" max="3878" width="2.28515625" style="252" customWidth="1"/>
    <col min="3879" max="3879" width="13.5703125" style="252" customWidth="1"/>
    <col min="3880" max="3880" width="2.28515625" style="252" customWidth="1"/>
    <col min="3881" max="3881" width="13.5703125" style="252" customWidth="1"/>
    <col min="3882" max="3882" width="3.42578125" style="252" customWidth="1"/>
    <col min="3883" max="4096" width="9.140625" style="252"/>
    <col min="4097" max="4097" width="3.5703125" style="252" customWidth="1"/>
    <col min="4098" max="4098" width="6.7109375" style="252" bestFit="1" customWidth="1"/>
    <col min="4099" max="4099" width="12" style="252" bestFit="1" customWidth="1"/>
    <col min="4100" max="4100" width="40.28515625" style="252" bestFit="1" customWidth="1"/>
    <col min="4101" max="4101" width="2.28515625" style="252" customWidth="1"/>
    <col min="4102" max="4102" width="13.5703125" style="252" customWidth="1"/>
    <col min="4103" max="4103" width="2.28515625" style="252" customWidth="1"/>
    <col min="4104" max="4104" width="13.5703125" style="252" customWidth="1"/>
    <col min="4105" max="4105" width="2.28515625" style="252" customWidth="1"/>
    <col min="4106" max="4106" width="13.5703125" style="252" customWidth="1"/>
    <col min="4107" max="4107" width="2.28515625" style="252" customWidth="1"/>
    <col min="4108" max="4108" width="13.5703125" style="252" customWidth="1"/>
    <col min="4109" max="4109" width="2.28515625" style="252" customWidth="1"/>
    <col min="4110" max="4110" width="13.5703125" style="252" customWidth="1"/>
    <col min="4111" max="4111" width="2.28515625" style="252" customWidth="1"/>
    <col min="4112" max="4112" width="13.5703125" style="252" customWidth="1"/>
    <col min="4113" max="4113" width="2.28515625" style="252" customWidth="1"/>
    <col min="4114" max="4114" width="13.5703125" style="252" customWidth="1"/>
    <col min="4115" max="4115" width="2.28515625" style="252" customWidth="1"/>
    <col min="4116" max="4116" width="13.5703125" style="252" customWidth="1"/>
    <col min="4117" max="4117" width="4" style="252" customWidth="1"/>
    <col min="4118" max="4118" width="3.5703125" style="252" customWidth="1"/>
    <col min="4119" max="4119" width="6.7109375" style="252" bestFit="1" customWidth="1"/>
    <col min="4120" max="4120" width="12.7109375" style="252" bestFit="1" customWidth="1"/>
    <col min="4121" max="4121" width="40.28515625" style="252" bestFit="1" customWidth="1"/>
    <col min="4122" max="4122" width="2.28515625" style="252" customWidth="1"/>
    <col min="4123" max="4123" width="13.5703125" style="252" customWidth="1"/>
    <col min="4124" max="4124" width="2.28515625" style="252" customWidth="1"/>
    <col min="4125" max="4125" width="13.5703125" style="252" customWidth="1"/>
    <col min="4126" max="4126" width="2.28515625" style="252" customWidth="1"/>
    <col min="4127" max="4127" width="13.5703125" style="252" customWidth="1"/>
    <col min="4128" max="4128" width="2.28515625" style="252" customWidth="1"/>
    <col min="4129" max="4129" width="13.5703125" style="252" customWidth="1"/>
    <col min="4130" max="4130" width="2.28515625" style="252" customWidth="1"/>
    <col min="4131" max="4131" width="13.5703125" style="252" customWidth="1"/>
    <col min="4132" max="4132" width="2.28515625" style="252" customWidth="1"/>
    <col min="4133" max="4133" width="13.5703125" style="252" customWidth="1"/>
    <col min="4134" max="4134" width="2.28515625" style="252" customWidth="1"/>
    <col min="4135" max="4135" width="13.5703125" style="252" customWidth="1"/>
    <col min="4136" max="4136" width="2.28515625" style="252" customWidth="1"/>
    <col min="4137" max="4137" width="13.5703125" style="252" customWidth="1"/>
    <col min="4138" max="4138" width="3.42578125" style="252" customWidth="1"/>
    <col min="4139" max="4352" width="9.140625" style="252"/>
    <col min="4353" max="4353" width="3.5703125" style="252" customWidth="1"/>
    <col min="4354" max="4354" width="6.7109375" style="252" bestFit="1" customWidth="1"/>
    <col min="4355" max="4355" width="12" style="252" bestFit="1" customWidth="1"/>
    <col min="4356" max="4356" width="40.28515625" style="252" bestFit="1" customWidth="1"/>
    <col min="4357" max="4357" width="2.28515625" style="252" customWidth="1"/>
    <col min="4358" max="4358" width="13.5703125" style="252" customWidth="1"/>
    <col min="4359" max="4359" width="2.28515625" style="252" customWidth="1"/>
    <col min="4360" max="4360" width="13.5703125" style="252" customWidth="1"/>
    <col min="4361" max="4361" width="2.28515625" style="252" customWidth="1"/>
    <col min="4362" max="4362" width="13.5703125" style="252" customWidth="1"/>
    <col min="4363" max="4363" width="2.28515625" style="252" customWidth="1"/>
    <col min="4364" max="4364" width="13.5703125" style="252" customWidth="1"/>
    <col min="4365" max="4365" width="2.28515625" style="252" customWidth="1"/>
    <col min="4366" max="4366" width="13.5703125" style="252" customWidth="1"/>
    <col min="4367" max="4367" width="2.28515625" style="252" customWidth="1"/>
    <col min="4368" max="4368" width="13.5703125" style="252" customWidth="1"/>
    <col min="4369" max="4369" width="2.28515625" style="252" customWidth="1"/>
    <col min="4370" max="4370" width="13.5703125" style="252" customWidth="1"/>
    <col min="4371" max="4371" width="2.28515625" style="252" customWidth="1"/>
    <col min="4372" max="4372" width="13.5703125" style="252" customWidth="1"/>
    <col min="4373" max="4373" width="4" style="252" customWidth="1"/>
    <col min="4374" max="4374" width="3.5703125" style="252" customWidth="1"/>
    <col min="4375" max="4375" width="6.7109375" style="252" bestFit="1" customWidth="1"/>
    <col min="4376" max="4376" width="12.7109375" style="252" bestFit="1" customWidth="1"/>
    <col min="4377" max="4377" width="40.28515625" style="252" bestFit="1" customWidth="1"/>
    <col min="4378" max="4378" width="2.28515625" style="252" customWidth="1"/>
    <col min="4379" max="4379" width="13.5703125" style="252" customWidth="1"/>
    <col min="4380" max="4380" width="2.28515625" style="252" customWidth="1"/>
    <col min="4381" max="4381" width="13.5703125" style="252" customWidth="1"/>
    <col min="4382" max="4382" width="2.28515625" style="252" customWidth="1"/>
    <col min="4383" max="4383" width="13.5703125" style="252" customWidth="1"/>
    <col min="4384" max="4384" width="2.28515625" style="252" customWidth="1"/>
    <col min="4385" max="4385" width="13.5703125" style="252" customWidth="1"/>
    <col min="4386" max="4386" width="2.28515625" style="252" customWidth="1"/>
    <col min="4387" max="4387" width="13.5703125" style="252" customWidth="1"/>
    <col min="4388" max="4388" width="2.28515625" style="252" customWidth="1"/>
    <col min="4389" max="4389" width="13.5703125" style="252" customWidth="1"/>
    <col min="4390" max="4390" width="2.28515625" style="252" customWidth="1"/>
    <col min="4391" max="4391" width="13.5703125" style="252" customWidth="1"/>
    <col min="4392" max="4392" width="2.28515625" style="252" customWidth="1"/>
    <col min="4393" max="4393" width="13.5703125" style="252" customWidth="1"/>
    <col min="4394" max="4394" width="3.42578125" style="252" customWidth="1"/>
    <col min="4395" max="4608" width="9.140625" style="252"/>
    <col min="4609" max="4609" width="3.5703125" style="252" customWidth="1"/>
    <col min="4610" max="4610" width="6.7109375" style="252" bestFit="1" customWidth="1"/>
    <col min="4611" max="4611" width="12" style="252" bestFit="1" customWidth="1"/>
    <col min="4612" max="4612" width="40.28515625" style="252" bestFit="1" customWidth="1"/>
    <col min="4613" max="4613" width="2.28515625" style="252" customWidth="1"/>
    <col min="4614" max="4614" width="13.5703125" style="252" customWidth="1"/>
    <col min="4615" max="4615" width="2.28515625" style="252" customWidth="1"/>
    <col min="4616" max="4616" width="13.5703125" style="252" customWidth="1"/>
    <col min="4617" max="4617" width="2.28515625" style="252" customWidth="1"/>
    <col min="4618" max="4618" width="13.5703125" style="252" customWidth="1"/>
    <col min="4619" max="4619" width="2.28515625" style="252" customWidth="1"/>
    <col min="4620" max="4620" width="13.5703125" style="252" customWidth="1"/>
    <col min="4621" max="4621" width="2.28515625" style="252" customWidth="1"/>
    <col min="4622" max="4622" width="13.5703125" style="252" customWidth="1"/>
    <col min="4623" max="4623" width="2.28515625" style="252" customWidth="1"/>
    <col min="4624" max="4624" width="13.5703125" style="252" customWidth="1"/>
    <col min="4625" max="4625" width="2.28515625" style="252" customWidth="1"/>
    <col min="4626" max="4626" width="13.5703125" style="252" customWidth="1"/>
    <col min="4627" max="4627" width="2.28515625" style="252" customWidth="1"/>
    <col min="4628" max="4628" width="13.5703125" style="252" customWidth="1"/>
    <col min="4629" max="4629" width="4" style="252" customWidth="1"/>
    <col min="4630" max="4630" width="3.5703125" style="252" customWidth="1"/>
    <col min="4631" max="4631" width="6.7109375" style="252" bestFit="1" customWidth="1"/>
    <col min="4632" max="4632" width="12.7109375" style="252" bestFit="1" customWidth="1"/>
    <col min="4633" max="4633" width="40.28515625" style="252" bestFit="1" customWidth="1"/>
    <col min="4634" max="4634" width="2.28515625" style="252" customWidth="1"/>
    <col min="4635" max="4635" width="13.5703125" style="252" customWidth="1"/>
    <col min="4636" max="4636" width="2.28515625" style="252" customWidth="1"/>
    <col min="4637" max="4637" width="13.5703125" style="252" customWidth="1"/>
    <col min="4638" max="4638" width="2.28515625" style="252" customWidth="1"/>
    <col min="4639" max="4639" width="13.5703125" style="252" customWidth="1"/>
    <col min="4640" max="4640" width="2.28515625" style="252" customWidth="1"/>
    <col min="4641" max="4641" width="13.5703125" style="252" customWidth="1"/>
    <col min="4642" max="4642" width="2.28515625" style="252" customWidth="1"/>
    <col min="4643" max="4643" width="13.5703125" style="252" customWidth="1"/>
    <col min="4644" max="4644" width="2.28515625" style="252" customWidth="1"/>
    <col min="4645" max="4645" width="13.5703125" style="252" customWidth="1"/>
    <col min="4646" max="4646" width="2.28515625" style="252" customWidth="1"/>
    <col min="4647" max="4647" width="13.5703125" style="252" customWidth="1"/>
    <col min="4648" max="4648" width="2.28515625" style="252" customWidth="1"/>
    <col min="4649" max="4649" width="13.5703125" style="252" customWidth="1"/>
    <col min="4650" max="4650" width="3.42578125" style="252" customWidth="1"/>
    <col min="4651" max="4864" width="9.140625" style="252"/>
    <col min="4865" max="4865" width="3.5703125" style="252" customWidth="1"/>
    <col min="4866" max="4866" width="6.7109375" style="252" bestFit="1" customWidth="1"/>
    <col min="4867" max="4867" width="12" style="252" bestFit="1" customWidth="1"/>
    <col min="4868" max="4868" width="40.28515625" style="252" bestFit="1" customWidth="1"/>
    <col min="4869" max="4869" width="2.28515625" style="252" customWidth="1"/>
    <col min="4870" max="4870" width="13.5703125" style="252" customWidth="1"/>
    <col min="4871" max="4871" width="2.28515625" style="252" customWidth="1"/>
    <col min="4872" max="4872" width="13.5703125" style="252" customWidth="1"/>
    <col min="4873" max="4873" width="2.28515625" style="252" customWidth="1"/>
    <col min="4874" max="4874" width="13.5703125" style="252" customWidth="1"/>
    <col min="4875" max="4875" width="2.28515625" style="252" customWidth="1"/>
    <col min="4876" max="4876" width="13.5703125" style="252" customWidth="1"/>
    <col min="4877" max="4877" width="2.28515625" style="252" customWidth="1"/>
    <col min="4878" max="4878" width="13.5703125" style="252" customWidth="1"/>
    <col min="4879" max="4879" width="2.28515625" style="252" customWidth="1"/>
    <col min="4880" max="4880" width="13.5703125" style="252" customWidth="1"/>
    <col min="4881" max="4881" width="2.28515625" style="252" customWidth="1"/>
    <col min="4882" max="4882" width="13.5703125" style="252" customWidth="1"/>
    <col min="4883" max="4883" width="2.28515625" style="252" customWidth="1"/>
    <col min="4884" max="4884" width="13.5703125" style="252" customWidth="1"/>
    <col min="4885" max="4885" width="4" style="252" customWidth="1"/>
    <col min="4886" max="4886" width="3.5703125" style="252" customWidth="1"/>
    <col min="4887" max="4887" width="6.7109375" style="252" bestFit="1" customWidth="1"/>
    <col min="4888" max="4888" width="12.7109375" style="252" bestFit="1" customWidth="1"/>
    <col min="4889" max="4889" width="40.28515625" style="252" bestFit="1" customWidth="1"/>
    <col min="4890" max="4890" width="2.28515625" style="252" customWidth="1"/>
    <col min="4891" max="4891" width="13.5703125" style="252" customWidth="1"/>
    <col min="4892" max="4892" width="2.28515625" style="252" customWidth="1"/>
    <col min="4893" max="4893" width="13.5703125" style="252" customWidth="1"/>
    <col min="4894" max="4894" width="2.28515625" style="252" customWidth="1"/>
    <col min="4895" max="4895" width="13.5703125" style="252" customWidth="1"/>
    <col min="4896" max="4896" width="2.28515625" style="252" customWidth="1"/>
    <col min="4897" max="4897" width="13.5703125" style="252" customWidth="1"/>
    <col min="4898" max="4898" width="2.28515625" style="252" customWidth="1"/>
    <col min="4899" max="4899" width="13.5703125" style="252" customWidth="1"/>
    <col min="4900" max="4900" width="2.28515625" style="252" customWidth="1"/>
    <col min="4901" max="4901" width="13.5703125" style="252" customWidth="1"/>
    <col min="4902" max="4902" width="2.28515625" style="252" customWidth="1"/>
    <col min="4903" max="4903" width="13.5703125" style="252" customWidth="1"/>
    <col min="4904" max="4904" width="2.28515625" style="252" customWidth="1"/>
    <col min="4905" max="4905" width="13.5703125" style="252" customWidth="1"/>
    <col min="4906" max="4906" width="3.42578125" style="252" customWidth="1"/>
    <col min="4907" max="5120" width="9.140625" style="252"/>
    <col min="5121" max="5121" width="3.5703125" style="252" customWidth="1"/>
    <col min="5122" max="5122" width="6.7109375" style="252" bestFit="1" customWidth="1"/>
    <col min="5123" max="5123" width="12" style="252" bestFit="1" customWidth="1"/>
    <col min="5124" max="5124" width="40.28515625" style="252" bestFit="1" customWidth="1"/>
    <col min="5125" max="5125" width="2.28515625" style="252" customWidth="1"/>
    <col min="5126" max="5126" width="13.5703125" style="252" customWidth="1"/>
    <col min="5127" max="5127" width="2.28515625" style="252" customWidth="1"/>
    <col min="5128" max="5128" width="13.5703125" style="252" customWidth="1"/>
    <col min="5129" max="5129" width="2.28515625" style="252" customWidth="1"/>
    <col min="5130" max="5130" width="13.5703125" style="252" customWidth="1"/>
    <col min="5131" max="5131" width="2.28515625" style="252" customWidth="1"/>
    <col min="5132" max="5132" width="13.5703125" style="252" customWidth="1"/>
    <col min="5133" max="5133" width="2.28515625" style="252" customWidth="1"/>
    <col min="5134" max="5134" width="13.5703125" style="252" customWidth="1"/>
    <col min="5135" max="5135" width="2.28515625" style="252" customWidth="1"/>
    <col min="5136" max="5136" width="13.5703125" style="252" customWidth="1"/>
    <col min="5137" max="5137" width="2.28515625" style="252" customWidth="1"/>
    <col min="5138" max="5138" width="13.5703125" style="252" customWidth="1"/>
    <col min="5139" max="5139" width="2.28515625" style="252" customWidth="1"/>
    <col min="5140" max="5140" width="13.5703125" style="252" customWidth="1"/>
    <col min="5141" max="5141" width="4" style="252" customWidth="1"/>
    <col min="5142" max="5142" width="3.5703125" style="252" customWidth="1"/>
    <col min="5143" max="5143" width="6.7109375" style="252" bestFit="1" customWidth="1"/>
    <col min="5144" max="5144" width="12.7109375" style="252" bestFit="1" customWidth="1"/>
    <col min="5145" max="5145" width="40.28515625" style="252" bestFit="1" customWidth="1"/>
    <col min="5146" max="5146" width="2.28515625" style="252" customWidth="1"/>
    <col min="5147" max="5147" width="13.5703125" style="252" customWidth="1"/>
    <col min="5148" max="5148" width="2.28515625" style="252" customWidth="1"/>
    <col min="5149" max="5149" width="13.5703125" style="252" customWidth="1"/>
    <col min="5150" max="5150" width="2.28515625" style="252" customWidth="1"/>
    <col min="5151" max="5151" width="13.5703125" style="252" customWidth="1"/>
    <col min="5152" max="5152" width="2.28515625" style="252" customWidth="1"/>
    <col min="5153" max="5153" width="13.5703125" style="252" customWidth="1"/>
    <col min="5154" max="5154" width="2.28515625" style="252" customWidth="1"/>
    <col min="5155" max="5155" width="13.5703125" style="252" customWidth="1"/>
    <col min="5156" max="5156" width="2.28515625" style="252" customWidth="1"/>
    <col min="5157" max="5157" width="13.5703125" style="252" customWidth="1"/>
    <col min="5158" max="5158" width="2.28515625" style="252" customWidth="1"/>
    <col min="5159" max="5159" width="13.5703125" style="252" customWidth="1"/>
    <col min="5160" max="5160" width="2.28515625" style="252" customWidth="1"/>
    <col min="5161" max="5161" width="13.5703125" style="252" customWidth="1"/>
    <col min="5162" max="5162" width="3.42578125" style="252" customWidth="1"/>
    <col min="5163" max="5376" width="9.140625" style="252"/>
    <col min="5377" max="5377" width="3.5703125" style="252" customWidth="1"/>
    <col min="5378" max="5378" width="6.7109375" style="252" bestFit="1" customWidth="1"/>
    <col min="5379" max="5379" width="12" style="252" bestFit="1" customWidth="1"/>
    <col min="5380" max="5380" width="40.28515625" style="252" bestFit="1" customWidth="1"/>
    <col min="5381" max="5381" width="2.28515625" style="252" customWidth="1"/>
    <col min="5382" max="5382" width="13.5703125" style="252" customWidth="1"/>
    <col min="5383" max="5383" width="2.28515625" style="252" customWidth="1"/>
    <col min="5384" max="5384" width="13.5703125" style="252" customWidth="1"/>
    <col min="5385" max="5385" width="2.28515625" style="252" customWidth="1"/>
    <col min="5386" max="5386" width="13.5703125" style="252" customWidth="1"/>
    <col min="5387" max="5387" width="2.28515625" style="252" customWidth="1"/>
    <col min="5388" max="5388" width="13.5703125" style="252" customWidth="1"/>
    <col min="5389" max="5389" width="2.28515625" style="252" customWidth="1"/>
    <col min="5390" max="5390" width="13.5703125" style="252" customWidth="1"/>
    <col min="5391" max="5391" width="2.28515625" style="252" customWidth="1"/>
    <col min="5392" max="5392" width="13.5703125" style="252" customWidth="1"/>
    <col min="5393" max="5393" width="2.28515625" style="252" customWidth="1"/>
    <col min="5394" max="5394" width="13.5703125" style="252" customWidth="1"/>
    <col min="5395" max="5395" width="2.28515625" style="252" customWidth="1"/>
    <col min="5396" max="5396" width="13.5703125" style="252" customWidth="1"/>
    <col min="5397" max="5397" width="4" style="252" customWidth="1"/>
    <col min="5398" max="5398" width="3.5703125" style="252" customWidth="1"/>
    <col min="5399" max="5399" width="6.7109375" style="252" bestFit="1" customWidth="1"/>
    <col min="5400" max="5400" width="12.7109375" style="252" bestFit="1" customWidth="1"/>
    <col min="5401" max="5401" width="40.28515625" style="252" bestFit="1" customWidth="1"/>
    <col min="5402" max="5402" width="2.28515625" style="252" customWidth="1"/>
    <col min="5403" max="5403" width="13.5703125" style="252" customWidth="1"/>
    <col min="5404" max="5404" width="2.28515625" style="252" customWidth="1"/>
    <col min="5405" max="5405" width="13.5703125" style="252" customWidth="1"/>
    <col min="5406" max="5406" width="2.28515625" style="252" customWidth="1"/>
    <col min="5407" max="5407" width="13.5703125" style="252" customWidth="1"/>
    <col min="5408" max="5408" width="2.28515625" style="252" customWidth="1"/>
    <col min="5409" max="5409" width="13.5703125" style="252" customWidth="1"/>
    <col min="5410" max="5410" width="2.28515625" style="252" customWidth="1"/>
    <col min="5411" max="5411" width="13.5703125" style="252" customWidth="1"/>
    <col min="5412" max="5412" width="2.28515625" style="252" customWidth="1"/>
    <col min="5413" max="5413" width="13.5703125" style="252" customWidth="1"/>
    <col min="5414" max="5414" width="2.28515625" style="252" customWidth="1"/>
    <col min="5415" max="5415" width="13.5703125" style="252" customWidth="1"/>
    <col min="5416" max="5416" width="2.28515625" style="252" customWidth="1"/>
    <col min="5417" max="5417" width="13.5703125" style="252" customWidth="1"/>
    <col min="5418" max="5418" width="3.42578125" style="252" customWidth="1"/>
    <col min="5419" max="5632" width="9.140625" style="252"/>
    <col min="5633" max="5633" width="3.5703125" style="252" customWidth="1"/>
    <col min="5634" max="5634" width="6.7109375" style="252" bestFit="1" customWidth="1"/>
    <col min="5635" max="5635" width="12" style="252" bestFit="1" customWidth="1"/>
    <col min="5636" max="5636" width="40.28515625" style="252" bestFit="1" customWidth="1"/>
    <col min="5637" max="5637" width="2.28515625" style="252" customWidth="1"/>
    <col min="5638" max="5638" width="13.5703125" style="252" customWidth="1"/>
    <col min="5639" max="5639" width="2.28515625" style="252" customWidth="1"/>
    <col min="5640" max="5640" width="13.5703125" style="252" customWidth="1"/>
    <col min="5641" max="5641" width="2.28515625" style="252" customWidth="1"/>
    <col min="5642" max="5642" width="13.5703125" style="252" customWidth="1"/>
    <col min="5643" max="5643" width="2.28515625" style="252" customWidth="1"/>
    <col min="5644" max="5644" width="13.5703125" style="252" customWidth="1"/>
    <col min="5645" max="5645" width="2.28515625" style="252" customWidth="1"/>
    <col min="5646" max="5646" width="13.5703125" style="252" customWidth="1"/>
    <col min="5647" max="5647" width="2.28515625" style="252" customWidth="1"/>
    <col min="5648" max="5648" width="13.5703125" style="252" customWidth="1"/>
    <col min="5649" max="5649" width="2.28515625" style="252" customWidth="1"/>
    <col min="5650" max="5650" width="13.5703125" style="252" customWidth="1"/>
    <col min="5651" max="5651" width="2.28515625" style="252" customWidth="1"/>
    <col min="5652" max="5652" width="13.5703125" style="252" customWidth="1"/>
    <col min="5653" max="5653" width="4" style="252" customWidth="1"/>
    <col min="5654" max="5654" width="3.5703125" style="252" customWidth="1"/>
    <col min="5655" max="5655" width="6.7109375" style="252" bestFit="1" customWidth="1"/>
    <col min="5656" max="5656" width="12.7109375" style="252" bestFit="1" customWidth="1"/>
    <col min="5657" max="5657" width="40.28515625" style="252" bestFit="1" customWidth="1"/>
    <col min="5658" max="5658" width="2.28515625" style="252" customWidth="1"/>
    <col min="5659" max="5659" width="13.5703125" style="252" customWidth="1"/>
    <col min="5660" max="5660" width="2.28515625" style="252" customWidth="1"/>
    <col min="5661" max="5661" width="13.5703125" style="252" customWidth="1"/>
    <col min="5662" max="5662" width="2.28515625" style="252" customWidth="1"/>
    <col min="5663" max="5663" width="13.5703125" style="252" customWidth="1"/>
    <col min="5664" max="5664" width="2.28515625" style="252" customWidth="1"/>
    <col min="5665" max="5665" width="13.5703125" style="252" customWidth="1"/>
    <col min="5666" max="5666" width="2.28515625" style="252" customWidth="1"/>
    <col min="5667" max="5667" width="13.5703125" style="252" customWidth="1"/>
    <col min="5668" max="5668" width="2.28515625" style="252" customWidth="1"/>
    <col min="5669" max="5669" width="13.5703125" style="252" customWidth="1"/>
    <col min="5670" max="5670" width="2.28515625" style="252" customWidth="1"/>
    <col min="5671" max="5671" width="13.5703125" style="252" customWidth="1"/>
    <col min="5672" max="5672" width="2.28515625" style="252" customWidth="1"/>
    <col min="5673" max="5673" width="13.5703125" style="252" customWidth="1"/>
    <col min="5674" max="5674" width="3.42578125" style="252" customWidth="1"/>
    <col min="5675" max="5888" width="9.140625" style="252"/>
    <col min="5889" max="5889" width="3.5703125" style="252" customWidth="1"/>
    <col min="5890" max="5890" width="6.7109375" style="252" bestFit="1" customWidth="1"/>
    <col min="5891" max="5891" width="12" style="252" bestFit="1" customWidth="1"/>
    <col min="5892" max="5892" width="40.28515625" style="252" bestFit="1" customWidth="1"/>
    <col min="5893" max="5893" width="2.28515625" style="252" customWidth="1"/>
    <col min="5894" max="5894" width="13.5703125" style="252" customWidth="1"/>
    <col min="5895" max="5895" width="2.28515625" style="252" customWidth="1"/>
    <col min="5896" max="5896" width="13.5703125" style="252" customWidth="1"/>
    <col min="5897" max="5897" width="2.28515625" style="252" customWidth="1"/>
    <col min="5898" max="5898" width="13.5703125" style="252" customWidth="1"/>
    <col min="5899" max="5899" width="2.28515625" style="252" customWidth="1"/>
    <col min="5900" max="5900" width="13.5703125" style="252" customWidth="1"/>
    <col min="5901" max="5901" width="2.28515625" style="252" customWidth="1"/>
    <col min="5902" max="5902" width="13.5703125" style="252" customWidth="1"/>
    <col min="5903" max="5903" width="2.28515625" style="252" customWidth="1"/>
    <col min="5904" max="5904" width="13.5703125" style="252" customWidth="1"/>
    <col min="5905" max="5905" width="2.28515625" style="252" customWidth="1"/>
    <col min="5906" max="5906" width="13.5703125" style="252" customWidth="1"/>
    <col min="5907" max="5907" width="2.28515625" style="252" customWidth="1"/>
    <col min="5908" max="5908" width="13.5703125" style="252" customWidth="1"/>
    <col min="5909" max="5909" width="4" style="252" customWidth="1"/>
    <col min="5910" max="5910" width="3.5703125" style="252" customWidth="1"/>
    <col min="5911" max="5911" width="6.7109375" style="252" bestFit="1" customWidth="1"/>
    <col min="5912" max="5912" width="12.7109375" style="252" bestFit="1" customWidth="1"/>
    <col min="5913" max="5913" width="40.28515625" style="252" bestFit="1" customWidth="1"/>
    <col min="5914" max="5914" width="2.28515625" style="252" customWidth="1"/>
    <col min="5915" max="5915" width="13.5703125" style="252" customWidth="1"/>
    <col min="5916" max="5916" width="2.28515625" style="252" customWidth="1"/>
    <col min="5917" max="5917" width="13.5703125" style="252" customWidth="1"/>
    <col min="5918" max="5918" width="2.28515625" style="252" customWidth="1"/>
    <col min="5919" max="5919" width="13.5703125" style="252" customWidth="1"/>
    <col min="5920" max="5920" width="2.28515625" style="252" customWidth="1"/>
    <col min="5921" max="5921" width="13.5703125" style="252" customWidth="1"/>
    <col min="5922" max="5922" width="2.28515625" style="252" customWidth="1"/>
    <col min="5923" max="5923" width="13.5703125" style="252" customWidth="1"/>
    <col min="5924" max="5924" width="2.28515625" style="252" customWidth="1"/>
    <col min="5925" max="5925" width="13.5703125" style="252" customWidth="1"/>
    <col min="5926" max="5926" width="2.28515625" style="252" customWidth="1"/>
    <col min="5927" max="5927" width="13.5703125" style="252" customWidth="1"/>
    <col min="5928" max="5928" width="2.28515625" style="252" customWidth="1"/>
    <col min="5929" max="5929" width="13.5703125" style="252" customWidth="1"/>
    <col min="5930" max="5930" width="3.42578125" style="252" customWidth="1"/>
    <col min="5931" max="6144" width="9.140625" style="252"/>
    <col min="6145" max="6145" width="3.5703125" style="252" customWidth="1"/>
    <col min="6146" max="6146" width="6.7109375" style="252" bestFit="1" customWidth="1"/>
    <col min="6147" max="6147" width="12" style="252" bestFit="1" customWidth="1"/>
    <col min="6148" max="6148" width="40.28515625" style="252" bestFit="1" customWidth="1"/>
    <col min="6149" max="6149" width="2.28515625" style="252" customWidth="1"/>
    <col min="6150" max="6150" width="13.5703125" style="252" customWidth="1"/>
    <col min="6151" max="6151" width="2.28515625" style="252" customWidth="1"/>
    <col min="6152" max="6152" width="13.5703125" style="252" customWidth="1"/>
    <col min="6153" max="6153" width="2.28515625" style="252" customWidth="1"/>
    <col min="6154" max="6154" width="13.5703125" style="252" customWidth="1"/>
    <col min="6155" max="6155" width="2.28515625" style="252" customWidth="1"/>
    <col min="6156" max="6156" width="13.5703125" style="252" customWidth="1"/>
    <col min="6157" max="6157" width="2.28515625" style="252" customWidth="1"/>
    <col min="6158" max="6158" width="13.5703125" style="252" customWidth="1"/>
    <col min="6159" max="6159" width="2.28515625" style="252" customWidth="1"/>
    <col min="6160" max="6160" width="13.5703125" style="252" customWidth="1"/>
    <col min="6161" max="6161" width="2.28515625" style="252" customWidth="1"/>
    <col min="6162" max="6162" width="13.5703125" style="252" customWidth="1"/>
    <col min="6163" max="6163" width="2.28515625" style="252" customWidth="1"/>
    <col min="6164" max="6164" width="13.5703125" style="252" customWidth="1"/>
    <col min="6165" max="6165" width="4" style="252" customWidth="1"/>
    <col min="6166" max="6166" width="3.5703125" style="252" customWidth="1"/>
    <col min="6167" max="6167" width="6.7109375" style="252" bestFit="1" customWidth="1"/>
    <col min="6168" max="6168" width="12.7109375" style="252" bestFit="1" customWidth="1"/>
    <col min="6169" max="6169" width="40.28515625" style="252" bestFit="1" customWidth="1"/>
    <col min="6170" max="6170" width="2.28515625" style="252" customWidth="1"/>
    <col min="6171" max="6171" width="13.5703125" style="252" customWidth="1"/>
    <col min="6172" max="6172" width="2.28515625" style="252" customWidth="1"/>
    <col min="6173" max="6173" width="13.5703125" style="252" customWidth="1"/>
    <col min="6174" max="6174" width="2.28515625" style="252" customWidth="1"/>
    <col min="6175" max="6175" width="13.5703125" style="252" customWidth="1"/>
    <col min="6176" max="6176" width="2.28515625" style="252" customWidth="1"/>
    <col min="6177" max="6177" width="13.5703125" style="252" customWidth="1"/>
    <col min="6178" max="6178" width="2.28515625" style="252" customWidth="1"/>
    <col min="6179" max="6179" width="13.5703125" style="252" customWidth="1"/>
    <col min="6180" max="6180" width="2.28515625" style="252" customWidth="1"/>
    <col min="6181" max="6181" width="13.5703125" style="252" customWidth="1"/>
    <col min="6182" max="6182" width="2.28515625" style="252" customWidth="1"/>
    <col min="6183" max="6183" width="13.5703125" style="252" customWidth="1"/>
    <col min="6184" max="6184" width="2.28515625" style="252" customWidth="1"/>
    <col min="6185" max="6185" width="13.5703125" style="252" customWidth="1"/>
    <col min="6186" max="6186" width="3.42578125" style="252" customWidth="1"/>
    <col min="6187" max="6400" width="9.140625" style="252"/>
    <col min="6401" max="6401" width="3.5703125" style="252" customWidth="1"/>
    <col min="6402" max="6402" width="6.7109375" style="252" bestFit="1" customWidth="1"/>
    <col min="6403" max="6403" width="12" style="252" bestFit="1" customWidth="1"/>
    <col min="6404" max="6404" width="40.28515625" style="252" bestFit="1" customWidth="1"/>
    <col min="6405" max="6405" width="2.28515625" style="252" customWidth="1"/>
    <col min="6406" max="6406" width="13.5703125" style="252" customWidth="1"/>
    <col min="6407" max="6407" width="2.28515625" style="252" customWidth="1"/>
    <col min="6408" max="6408" width="13.5703125" style="252" customWidth="1"/>
    <col min="6409" max="6409" width="2.28515625" style="252" customWidth="1"/>
    <col min="6410" max="6410" width="13.5703125" style="252" customWidth="1"/>
    <col min="6411" max="6411" width="2.28515625" style="252" customWidth="1"/>
    <col min="6412" max="6412" width="13.5703125" style="252" customWidth="1"/>
    <col min="6413" max="6413" width="2.28515625" style="252" customWidth="1"/>
    <col min="6414" max="6414" width="13.5703125" style="252" customWidth="1"/>
    <col min="6415" max="6415" width="2.28515625" style="252" customWidth="1"/>
    <col min="6416" max="6416" width="13.5703125" style="252" customWidth="1"/>
    <col min="6417" max="6417" width="2.28515625" style="252" customWidth="1"/>
    <col min="6418" max="6418" width="13.5703125" style="252" customWidth="1"/>
    <col min="6419" max="6419" width="2.28515625" style="252" customWidth="1"/>
    <col min="6420" max="6420" width="13.5703125" style="252" customWidth="1"/>
    <col min="6421" max="6421" width="4" style="252" customWidth="1"/>
    <col min="6422" max="6422" width="3.5703125" style="252" customWidth="1"/>
    <col min="6423" max="6423" width="6.7109375" style="252" bestFit="1" customWidth="1"/>
    <col min="6424" max="6424" width="12.7109375" style="252" bestFit="1" customWidth="1"/>
    <col min="6425" max="6425" width="40.28515625" style="252" bestFit="1" customWidth="1"/>
    <col min="6426" max="6426" width="2.28515625" style="252" customWidth="1"/>
    <col min="6427" max="6427" width="13.5703125" style="252" customWidth="1"/>
    <col min="6428" max="6428" width="2.28515625" style="252" customWidth="1"/>
    <col min="6429" max="6429" width="13.5703125" style="252" customWidth="1"/>
    <col min="6430" max="6430" width="2.28515625" style="252" customWidth="1"/>
    <col min="6431" max="6431" width="13.5703125" style="252" customWidth="1"/>
    <col min="6432" max="6432" width="2.28515625" style="252" customWidth="1"/>
    <col min="6433" max="6433" width="13.5703125" style="252" customWidth="1"/>
    <col min="6434" max="6434" width="2.28515625" style="252" customWidth="1"/>
    <col min="6435" max="6435" width="13.5703125" style="252" customWidth="1"/>
    <col min="6436" max="6436" width="2.28515625" style="252" customWidth="1"/>
    <col min="6437" max="6437" width="13.5703125" style="252" customWidth="1"/>
    <col min="6438" max="6438" width="2.28515625" style="252" customWidth="1"/>
    <col min="6439" max="6439" width="13.5703125" style="252" customWidth="1"/>
    <col min="6440" max="6440" width="2.28515625" style="252" customWidth="1"/>
    <col min="6441" max="6441" width="13.5703125" style="252" customWidth="1"/>
    <col min="6442" max="6442" width="3.42578125" style="252" customWidth="1"/>
    <col min="6443" max="6656" width="9.140625" style="252"/>
    <col min="6657" max="6657" width="3.5703125" style="252" customWidth="1"/>
    <col min="6658" max="6658" width="6.7109375" style="252" bestFit="1" customWidth="1"/>
    <col min="6659" max="6659" width="12" style="252" bestFit="1" customWidth="1"/>
    <col min="6660" max="6660" width="40.28515625" style="252" bestFit="1" customWidth="1"/>
    <col min="6661" max="6661" width="2.28515625" style="252" customWidth="1"/>
    <col min="6662" max="6662" width="13.5703125" style="252" customWidth="1"/>
    <col min="6663" max="6663" width="2.28515625" style="252" customWidth="1"/>
    <col min="6664" max="6664" width="13.5703125" style="252" customWidth="1"/>
    <col min="6665" max="6665" width="2.28515625" style="252" customWidth="1"/>
    <col min="6666" max="6666" width="13.5703125" style="252" customWidth="1"/>
    <col min="6667" max="6667" width="2.28515625" style="252" customWidth="1"/>
    <col min="6668" max="6668" width="13.5703125" style="252" customWidth="1"/>
    <col min="6669" max="6669" width="2.28515625" style="252" customWidth="1"/>
    <col min="6670" max="6670" width="13.5703125" style="252" customWidth="1"/>
    <col min="6671" max="6671" width="2.28515625" style="252" customWidth="1"/>
    <col min="6672" max="6672" width="13.5703125" style="252" customWidth="1"/>
    <col min="6673" max="6673" width="2.28515625" style="252" customWidth="1"/>
    <col min="6674" max="6674" width="13.5703125" style="252" customWidth="1"/>
    <col min="6675" max="6675" width="2.28515625" style="252" customWidth="1"/>
    <col min="6676" max="6676" width="13.5703125" style="252" customWidth="1"/>
    <col min="6677" max="6677" width="4" style="252" customWidth="1"/>
    <col min="6678" max="6678" width="3.5703125" style="252" customWidth="1"/>
    <col min="6679" max="6679" width="6.7109375" style="252" bestFit="1" customWidth="1"/>
    <col min="6680" max="6680" width="12.7109375" style="252" bestFit="1" customWidth="1"/>
    <col min="6681" max="6681" width="40.28515625" style="252" bestFit="1" customWidth="1"/>
    <col min="6682" max="6682" width="2.28515625" style="252" customWidth="1"/>
    <col min="6683" max="6683" width="13.5703125" style="252" customWidth="1"/>
    <col min="6684" max="6684" width="2.28515625" style="252" customWidth="1"/>
    <col min="6685" max="6685" width="13.5703125" style="252" customWidth="1"/>
    <col min="6686" max="6686" width="2.28515625" style="252" customWidth="1"/>
    <col min="6687" max="6687" width="13.5703125" style="252" customWidth="1"/>
    <col min="6688" max="6688" width="2.28515625" style="252" customWidth="1"/>
    <col min="6689" max="6689" width="13.5703125" style="252" customWidth="1"/>
    <col min="6690" max="6690" width="2.28515625" style="252" customWidth="1"/>
    <col min="6691" max="6691" width="13.5703125" style="252" customWidth="1"/>
    <col min="6692" max="6692" width="2.28515625" style="252" customWidth="1"/>
    <col min="6693" max="6693" width="13.5703125" style="252" customWidth="1"/>
    <col min="6694" max="6694" width="2.28515625" style="252" customWidth="1"/>
    <col min="6695" max="6695" width="13.5703125" style="252" customWidth="1"/>
    <col min="6696" max="6696" width="2.28515625" style="252" customWidth="1"/>
    <col min="6697" max="6697" width="13.5703125" style="252" customWidth="1"/>
    <col min="6698" max="6698" width="3.42578125" style="252" customWidth="1"/>
    <col min="6699" max="6912" width="9.140625" style="252"/>
    <col min="6913" max="6913" width="3.5703125" style="252" customWidth="1"/>
    <col min="6914" max="6914" width="6.7109375" style="252" bestFit="1" customWidth="1"/>
    <col min="6915" max="6915" width="12" style="252" bestFit="1" customWidth="1"/>
    <col min="6916" max="6916" width="40.28515625" style="252" bestFit="1" customWidth="1"/>
    <col min="6917" max="6917" width="2.28515625" style="252" customWidth="1"/>
    <col min="6918" max="6918" width="13.5703125" style="252" customWidth="1"/>
    <col min="6919" max="6919" width="2.28515625" style="252" customWidth="1"/>
    <col min="6920" max="6920" width="13.5703125" style="252" customWidth="1"/>
    <col min="6921" max="6921" width="2.28515625" style="252" customWidth="1"/>
    <col min="6922" max="6922" width="13.5703125" style="252" customWidth="1"/>
    <col min="6923" max="6923" width="2.28515625" style="252" customWidth="1"/>
    <col min="6924" max="6924" width="13.5703125" style="252" customWidth="1"/>
    <col min="6925" max="6925" width="2.28515625" style="252" customWidth="1"/>
    <col min="6926" max="6926" width="13.5703125" style="252" customWidth="1"/>
    <col min="6927" max="6927" width="2.28515625" style="252" customWidth="1"/>
    <col min="6928" max="6928" width="13.5703125" style="252" customWidth="1"/>
    <col min="6929" max="6929" width="2.28515625" style="252" customWidth="1"/>
    <col min="6930" max="6930" width="13.5703125" style="252" customWidth="1"/>
    <col min="6931" max="6931" width="2.28515625" style="252" customWidth="1"/>
    <col min="6932" max="6932" width="13.5703125" style="252" customWidth="1"/>
    <col min="6933" max="6933" width="4" style="252" customWidth="1"/>
    <col min="6934" max="6934" width="3.5703125" style="252" customWidth="1"/>
    <col min="6935" max="6935" width="6.7109375" style="252" bestFit="1" customWidth="1"/>
    <col min="6936" max="6936" width="12.7109375" style="252" bestFit="1" customWidth="1"/>
    <col min="6937" max="6937" width="40.28515625" style="252" bestFit="1" customWidth="1"/>
    <col min="6938" max="6938" width="2.28515625" style="252" customWidth="1"/>
    <col min="6939" max="6939" width="13.5703125" style="252" customWidth="1"/>
    <col min="6940" max="6940" width="2.28515625" style="252" customWidth="1"/>
    <col min="6941" max="6941" width="13.5703125" style="252" customWidth="1"/>
    <col min="6942" max="6942" width="2.28515625" style="252" customWidth="1"/>
    <col min="6943" max="6943" width="13.5703125" style="252" customWidth="1"/>
    <col min="6944" max="6944" width="2.28515625" style="252" customWidth="1"/>
    <col min="6945" max="6945" width="13.5703125" style="252" customWidth="1"/>
    <col min="6946" max="6946" width="2.28515625" style="252" customWidth="1"/>
    <col min="6947" max="6947" width="13.5703125" style="252" customWidth="1"/>
    <col min="6948" max="6948" width="2.28515625" style="252" customWidth="1"/>
    <col min="6949" max="6949" width="13.5703125" style="252" customWidth="1"/>
    <col min="6950" max="6950" width="2.28515625" style="252" customWidth="1"/>
    <col min="6951" max="6951" width="13.5703125" style="252" customWidth="1"/>
    <col min="6952" max="6952" width="2.28515625" style="252" customWidth="1"/>
    <col min="6953" max="6953" width="13.5703125" style="252" customWidth="1"/>
    <col min="6954" max="6954" width="3.42578125" style="252" customWidth="1"/>
    <col min="6955" max="7168" width="9.140625" style="252"/>
    <col min="7169" max="7169" width="3.5703125" style="252" customWidth="1"/>
    <col min="7170" max="7170" width="6.7109375" style="252" bestFit="1" customWidth="1"/>
    <col min="7171" max="7171" width="12" style="252" bestFit="1" customWidth="1"/>
    <col min="7172" max="7172" width="40.28515625" style="252" bestFit="1" customWidth="1"/>
    <col min="7173" max="7173" width="2.28515625" style="252" customWidth="1"/>
    <col min="7174" max="7174" width="13.5703125" style="252" customWidth="1"/>
    <col min="7175" max="7175" width="2.28515625" style="252" customWidth="1"/>
    <col min="7176" max="7176" width="13.5703125" style="252" customWidth="1"/>
    <col min="7177" max="7177" width="2.28515625" style="252" customWidth="1"/>
    <col min="7178" max="7178" width="13.5703125" style="252" customWidth="1"/>
    <col min="7179" max="7179" width="2.28515625" style="252" customWidth="1"/>
    <col min="7180" max="7180" width="13.5703125" style="252" customWidth="1"/>
    <col min="7181" max="7181" width="2.28515625" style="252" customWidth="1"/>
    <col min="7182" max="7182" width="13.5703125" style="252" customWidth="1"/>
    <col min="7183" max="7183" width="2.28515625" style="252" customWidth="1"/>
    <col min="7184" max="7184" width="13.5703125" style="252" customWidth="1"/>
    <col min="7185" max="7185" width="2.28515625" style="252" customWidth="1"/>
    <col min="7186" max="7186" width="13.5703125" style="252" customWidth="1"/>
    <col min="7187" max="7187" width="2.28515625" style="252" customWidth="1"/>
    <col min="7188" max="7188" width="13.5703125" style="252" customWidth="1"/>
    <col min="7189" max="7189" width="4" style="252" customWidth="1"/>
    <col min="7190" max="7190" width="3.5703125" style="252" customWidth="1"/>
    <col min="7191" max="7191" width="6.7109375" style="252" bestFit="1" customWidth="1"/>
    <col min="7192" max="7192" width="12.7109375" style="252" bestFit="1" customWidth="1"/>
    <col min="7193" max="7193" width="40.28515625" style="252" bestFit="1" customWidth="1"/>
    <col min="7194" max="7194" width="2.28515625" style="252" customWidth="1"/>
    <col min="7195" max="7195" width="13.5703125" style="252" customWidth="1"/>
    <col min="7196" max="7196" width="2.28515625" style="252" customWidth="1"/>
    <col min="7197" max="7197" width="13.5703125" style="252" customWidth="1"/>
    <col min="7198" max="7198" width="2.28515625" style="252" customWidth="1"/>
    <col min="7199" max="7199" width="13.5703125" style="252" customWidth="1"/>
    <col min="7200" max="7200" width="2.28515625" style="252" customWidth="1"/>
    <col min="7201" max="7201" width="13.5703125" style="252" customWidth="1"/>
    <col min="7202" max="7202" width="2.28515625" style="252" customWidth="1"/>
    <col min="7203" max="7203" width="13.5703125" style="252" customWidth="1"/>
    <col min="7204" max="7204" width="2.28515625" style="252" customWidth="1"/>
    <col min="7205" max="7205" width="13.5703125" style="252" customWidth="1"/>
    <col min="7206" max="7206" width="2.28515625" style="252" customWidth="1"/>
    <col min="7207" max="7207" width="13.5703125" style="252" customWidth="1"/>
    <col min="7208" max="7208" width="2.28515625" style="252" customWidth="1"/>
    <col min="7209" max="7209" width="13.5703125" style="252" customWidth="1"/>
    <col min="7210" max="7210" width="3.42578125" style="252" customWidth="1"/>
    <col min="7211" max="7424" width="9.140625" style="252"/>
    <col min="7425" max="7425" width="3.5703125" style="252" customWidth="1"/>
    <col min="7426" max="7426" width="6.7109375" style="252" bestFit="1" customWidth="1"/>
    <col min="7427" max="7427" width="12" style="252" bestFit="1" customWidth="1"/>
    <col min="7428" max="7428" width="40.28515625" style="252" bestFit="1" customWidth="1"/>
    <col min="7429" max="7429" width="2.28515625" style="252" customWidth="1"/>
    <col min="7430" max="7430" width="13.5703125" style="252" customWidth="1"/>
    <col min="7431" max="7431" width="2.28515625" style="252" customWidth="1"/>
    <col min="7432" max="7432" width="13.5703125" style="252" customWidth="1"/>
    <col min="7433" max="7433" width="2.28515625" style="252" customWidth="1"/>
    <col min="7434" max="7434" width="13.5703125" style="252" customWidth="1"/>
    <col min="7435" max="7435" width="2.28515625" style="252" customWidth="1"/>
    <col min="7436" max="7436" width="13.5703125" style="252" customWidth="1"/>
    <col min="7437" max="7437" width="2.28515625" style="252" customWidth="1"/>
    <col min="7438" max="7438" width="13.5703125" style="252" customWidth="1"/>
    <col min="7439" max="7439" width="2.28515625" style="252" customWidth="1"/>
    <col min="7440" max="7440" width="13.5703125" style="252" customWidth="1"/>
    <col min="7441" max="7441" width="2.28515625" style="252" customWidth="1"/>
    <col min="7442" max="7442" width="13.5703125" style="252" customWidth="1"/>
    <col min="7443" max="7443" width="2.28515625" style="252" customWidth="1"/>
    <col min="7444" max="7444" width="13.5703125" style="252" customWidth="1"/>
    <col min="7445" max="7445" width="4" style="252" customWidth="1"/>
    <col min="7446" max="7446" width="3.5703125" style="252" customWidth="1"/>
    <col min="7447" max="7447" width="6.7109375" style="252" bestFit="1" customWidth="1"/>
    <col min="7448" max="7448" width="12.7109375" style="252" bestFit="1" customWidth="1"/>
    <col min="7449" max="7449" width="40.28515625" style="252" bestFit="1" customWidth="1"/>
    <col min="7450" max="7450" width="2.28515625" style="252" customWidth="1"/>
    <col min="7451" max="7451" width="13.5703125" style="252" customWidth="1"/>
    <col min="7452" max="7452" width="2.28515625" style="252" customWidth="1"/>
    <col min="7453" max="7453" width="13.5703125" style="252" customWidth="1"/>
    <col min="7454" max="7454" width="2.28515625" style="252" customWidth="1"/>
    <col min="7455" max="7455" width="13.5703125" style="252" customWidth="1"/>
    <col min="7456" max="7456" width="2.28515625" style="252" customWidth="1"/>
    <col min="7457" max="7457" width="13.5703125" style="252" customWidth="1"/>
    <col min="7458" max="7458" width="2.28515625" style="252" customWidth="1"/>
    <col min="7459" max="7459" width="13.5703125" style="252" customWidth="1"/>
    <col min="7460" max="7460" width="2.28515625" style="252" customWidth="1"/>
    <col min="7461" max="7461" width="13.5703125" style="252" customWidth="1"/>
    <col min="7462" max="7462" width="2.28515625" style="252" customWidth="1"/>
    <col min="7463" max="7463" width="13.5703125" style="252" customWidth="1"/>
    <col min="7464" max="7464" width="2.28515625" style="252" customWidth="1"/>
    <col min="7465" max="7465" width="13.5703125" style="252" customWidth="1"/>
    <col min="7466" max="7466" width="3.42578125" style="252" customWidth="1"/>
    <col min="7467" max="7680" width="9.140625" style="252"/>
    <col min="7681" max="7681" width="3.5703125" style="252" customWidth="1"/>
    <col min="7682" max="7682" width="6.7109375" style="252" bestFit="1" customWidth="1"/>
    <col min="7683" max="7683" width="12" style="252" bestFit="1" customWidth="1"/>
    <col min="7684" max="7684" width="40.28515625" style="252" bestFit="1" customWidth="1"/>
    <col min="7685" max="7685" width="2.28515625" style="252" customWidth="1"/>
    <col min="7686" max="7686" width="13.5703125" style="252" customWidth="1"/>
    <col min="7687" max="7687" width="2.28515625" style="252" customWidth="1"/>
    <col min="7688" max="7688" width="13.5703125" style="252" customWidth="1"/>
    <col min="7689" max="7689" width="2.28515625" style="252" customWidth="1"/>
    <col min="7690" max="7690" width="13.5703125" style="252" customWidth="1"/>
    <col min="7691" max="7691" width="2.28515625" style="252" customWidth="1"/>
    <col min="7692" max="7692" width="13.5703125" style="252" customWidth="1"/>
    <col min="7693" max="7693" width="2.28515625" style="252" customWidth="1"/>
    <col min="7694" max="7694" width="13.5703125" style="252" customWidth="1"/>
    <col min="7695" max="7695" width="2.28515625" style="252" customWidth="1"/>
    <col min="7696" max="7696" width="13.5703125" style="252" customWidth="1"/>
    <col min="7697" max="7697" width="2.28515625" style="252" customWidth="1"/>
    <col min="7698" max="7698" width="13.5703125" style="252" customWidth="1"/>
    <col min="7699" max="7699" width="2.28515625" style="252" customWidth="1"/>
    <col min="7700" max="7700" width="13.5703125" style="252" customWidth="1"/>
    <col min="7701" max="7701" width="4" style="252" customWidth="1"/>
    <col min="7702" max="7702" width="3.5703125" style="252" customWidth="1"/>
    <col min="7703" max="7703" width="6.7109375" style="252" bestFit="1" customWidth="1"/>
    <col min="7704" max="7704" width="12.7109375" style="252" bestFit="1" customWidth="1"/>
    <col min="7705" max="7705" width="40.28515625" style="252" bestFit="1" customWidth="1"/>
    <col min="7706" max="7706" width="2.28515625" style="252" customWidth="1"/>
    <col min="7707" max="7707" width="13.5703125" style="252" customWidth="1"/>
    <col min="7708" max="7708" width="2.28515625" style="252" customWidth="1"/>
    <col min="7709" max="7709" width="13.5703125" style="252" customWidth="1"/>
    <col min="7710" max="7710" width="2.28515625" style="252" customWidth="1"/>
    <col min="7711" max="7711" width="13.5703125" style="252" customWidth="1"/>
    <col min="7712" max="7712" width="2.28515625" style="252" customWidth="1"/>
    <col min="7713" max="7713" width="13.5703125" style="252" customWidth="1"/>
    <col min="7714" max="7714" width="2.28515625" style="252" customWidth="1"/>
    <col min="7715" max="7715" width="13.5703125" style="252" customWidth="1"/>
    <col min="7716" max="7716" width="2.28515625" style="252" customWidth="1"/>
    <col min="7717" max="7717" width="13.5703125" style="252" customWidth="1"/>
    <col min="7718" max="7718" width="2.28515625" style="252" customWidth="1"/>
    <col min="7719" max="7719" width="13.5703125" style="252" customWidth="1"/>
    <col min="7720" max="7720" width="2.28515625" style="252" customWidth="1"/>
    <col min="7721" max="7721" width="13.5703125" style="252" customWidth="1"/>
    <col min="7722" max="7722" width="3.42578125" style="252" customWidth="1"/>
    <col min="7723" max="7936" width="9.140625" style="252"/>
    <col min="7937" max="7937" width="3.5703125" style="252" customWidth="1"/>
    <col min="7938" max="7938" width="6.7109375" style="252" bestFit="1" customWidth="1"/>
    <col min="7939" max="7939" width="12" style="252" bestFit="1" customWidth="1"/>
    <col min="7940" max="7940" width="40.28515625" style="252" bestFit="1" customWidth="1"/>
    <col min="7941" max="7941" width="2.28515625" style="252" customWidth="1"/>
    <col min="7942" max="7942" width="13.5703125" style="252" customWidth="1"/>
    <col min="7943" max="7943" width="2.28515625" style="252" customWidth="1"/>
    <col min="7944" max="7944" width="13.5703125" style="252" customWidth="1"/>
    <col min="7945" max="7945" width="2.28515625" style="252" customWidth="1"/>
    <col min="7946" max="7946" width="13.5703125" style="252" customWidth="1"/>
    <col min="7947" max="7947" width="2.28515625" style="252" customWidth="1"/>
    <col min="7948" max="7948" width="13.5703125" style="252" customWidth="1"/>
    <col min="7949" max="7949" width="2.28515625" style="252" customWidth="1"/>
    <col min="7950" max="7950" width="13.5703125" style="252" customWidth="1"/>
    <col min="7951" max="7951" width="2.28515625" style="252" customWidth="1"/>
    <col min="7952" max="7952" width="13.5703125" style="252" customWidth="1"/>
    <col min="7953" max="7953" width="2.28515625" style="252" customWidth="1"/>
    <col min="7954" max="7954" width="13.5703125" style="252" customWidth="1"/>
    <col min="7955" max="7955" width="2.28515625" style="252" customWidth="1"/>
    <col min="7956" max="7956" width="13.5703125" style="252" customWidth="1"/>
    <col min="7957" max="7957" width="4" style="252" customWidth="1"/>
    <col min="7958" max="7958" width="3.5703125" style="252" customWidth="1"/>
    <col min="7959" max="7959" width="6.7109375" style="252" bestFit="1" customWidth="1"/>
    <col min="7960" max="7960" width="12.7109375" style="252" bestFit="1" customWidth="1"/>
    <col min="7961" max="7961" width="40.28515625" style="252" bestFit="1" customWidth="1"/>
    <col min="7962" max="7962" width="2.28515625" style="252" customWidth="1"/>
    <col min="7963" max="7963" width="13.5703125" style="252" customWidth="1"/>
    <col min="7964" max="7964" width="2.28515625" style="252" customWidth="1"/>
    <col min="7965" max="7965" width="13.5703125" style="252" customWidth="1"/>
    <col min="7966" max="7966" width="2.28515625" style="252" customWidth="1"/>
    <col min="7967" max="7967" width="13.5703125" style="252" customWidth="1"/>
    <col min="7968" max="7968" width="2.28515625" style="252" customWidth="1"/>
    <col min="7969" max="7969" width="13.5703125" style="252" customWidth="1"/>
    <col min="7970" max="7970" width="2.28515625" style="252" customWidth="1"/>
    <col min="7971" max="7971" width="13.5703125" style="252" customWidth="1"/>
    <col min="7972" max="7972" width="2.28515625" style="252" customWidth="1"/>
    <col min="7973" max="7973" width="13.5703125" style="252" customWidth="1"/>
    <col min="7974" max="7974" width="2.28515625" style="252" customWidth="1"/>
    <col min="7975" max="7975" width="13.5703125" style="252" customWidth="1"/>
    <col min="7976" max="7976" width="2.28515625" style="252" customWidth="1"/>
    <col min="7977" max="7977" width="13.5703125" style="252" customWidth="1"/>
    <col min="7978" max="7978" width="3.42578125" style="252" customWidth="1"/>
    <col min="7979" max="8192" width="9.140625" style="252"/>
    <col min="8193" max="8193" width="3.5703125" style="252" customWidth="1"/>
    <col min="8194" max="8194" width="6.7109375" style="252" bestFit="1" customWidth="1"/>
    <col min="8195" max="8195" width="12" style="252" bestFit="1" customWidth="1"/>
    <col min="8196" max="8196" width="40.28515625" style="252" bestFit="1" customWidth="1"/>
    <col min="8197" max="8197" width="2.28515625" style="252" customWidth="1"/>
    <col min="8198" max="8198" width="13.5703125" style="252" customWidth="1"/>
    <col min="8199" max="8199" width="2.28515625" style="252" customWidth="1"/>
    <col min="8200" max="8200" width="13.5703125" style="252" customWidth="1"/>
    <col min="8201" max="8201" width="2.28515625" style="252" customWidth="1"/>
    <col min="8202" max="8202" width="13.5703125" style="252" customWidth="1"/>
    <col min="8203" max="8203" width="2.28515625" style="252" customWidth="1"/>
    <col min="8204" max="8204" width="13.5703125" style="252" customWidth="1"/>
    <col min="8205" max="8205" width="2.28515625" style="252" customWidth="1"/>
    <col min="8206" max="8206" width="13.5703125" style="252" customWidth="1"/>
    <col min="8207" max="8207" width="2.28515625" style="252" customWidth="1"/>
    <col min="8208" max="8208" width="13.5703125" style="252" customWidth="1"/>
    <col min="8209" max="8209" width="2.28515625" style="252" customWidth="1"/>
    <col min="8210" max="8210" width="13.5703125" style="252" customWidth="1"/>
    <col min="8211" max="8211" width="2.28515625" style="252" customWidth="1"/>
    <col min="8212" max="8212" width="13.5703125" style="252" customWidth="1"/>
    <col min="8213" max="8213" width="4" style="252" customWidth="1"/>
    <col min="8214" max="8214" width="3.5703125" style="252" customWidth="1"/>
    <col min="8215" max="8215" width="6.7109375" style="252" bestFit="1" customWidth="1"/>
    <col min="8216" max="8216" width="12.7109375" style="252" bestFit="1" customWidth="1"/>
    <col min="8217" max="8217" width="40.28515625" style="252" bestFit="1" customWidth="1"/>
    <col min="8218" max="8218" width="2.28515625" style="252" customWidth="1"/>
    <col min="8219" max="8219" width="13.5703125" style="252" customWidth="1"/>
    <col min="8220" max="8220" width="2.28515625" style="252" customWidth="1"/>
    <col min="8221" max="8221" width="13.5703125" style="252" customWidth="1"/>
    <col min="8222" max="8222" width="2.28515625" style="252" customWidth="1"/>
    <col min="8223" max="8223" width="13.5703125" style="252" customWidth="1"/>
    <col min="8224" max="8224" width="2.28515625" style="252" customWidth="1"/>
    <col min="8225" max="8225" width="13.5703125" style="252" customWidth="1"/>
    <col min="8226" max="8226" width="2.28515625" style="252" customWidth="1"/>
    <col min="8227" max="8227" width="13.5703125" style="252" customWidth="1"/>
    <col min="8228" max="8228" width="2.28515625" style="252" customWidth="1"/>
    <col min="8229" max="8229" width="13.5703125" style="252" customWidth="1"/>
    <col min="8230" max="8230" width="2.28515625" style="252" customWidth="1"/>
    <col min="8231" max="8231" width="13.5703125" style="252" customWidth="1"/>
    <col min="8232" max="8232" width="2.28515625" style="252" customWidth="1"/>
    <col min="8233" max="8233" width="13.5703125" style="252" customWidth="1"/>
    <col min="8234" max="8234" width="3.42578125" style="252" customWidth="1"/>
    <col min="8235" max="8448" width="9.140625" style="252"/>
    <col min="8449" max="8449" width="3.5703125" style="252" customWidth="1"/>
    <col min="8450" max="8450" width="6.7109375" style="252" bestFit="1" customWidth="1"/>
    <col min="8451" max="8451" width="12" style="252" bestFit="1" customWidth="1"/>
    <col min="8452" max="8452" width="40.28515625" style="252" bestFit="1" customWidth="1"/>
    <col min="8453" max="8453" width="2.28515625" style="252" customWidth="1"/>
    <col min="8454" max="8454" width="13.5703125" style="252" customWidth="1"/>
    <col min="8455" max="8455" width="2.28515625" style="252" customWidth="1"/>
    <col min="8456" max="8456" width="13.5703125" style="252" customWidth="1"/>
    <col min="8457" max="8457" width="2.28515625" style="252" customWidth="1"/>
    <col min="8458" max="8458" width="13.5703125" style="252" customWidth="1"/>
    <col min="8459" max="8459" width="2.28515625" style="252" customWidth="1"/>
    <col min="8460" max="8460" width="13.5703125" style="252" customWidth="1"/>
    <col min="8461" max="8461" width="2.28515625" style="252" customWidth="1"/>
    <col min="8462" max="8462" width="13.5703125" style="252" customWidth="1"/>
    <col min="8463" max="8463" width="2.28515625" style="252" customWidth="1"/>
    <col min="8464" max="8464" width="13.5703125" style="252" customWidth="1"/>
    <col min="8465" max="8465" width="2.28515625" style="252" customWidth="1"/>
    <col min="8466" max="8466" width="13.5703125" style="252" customWidth="1"/>
    <col min="8467" max="8467" width="2.28515625" style="252" customWidth="1"/>
    <col min="8468" max="8468" width="13.5703125" style="252" customWidth="1"/>
    <col min="8469" max="8469" width="4" style="252" customWidth="1"/>
    <col min="8470" max="8470" width="3.5703125" style="252" customWidth="1"/>
    <col min="8471" max="8471" width="6.7109375" style="252" bestFit="1" customWidth="1"/>
    <col min="8472" max="8472" width="12.7109375" style="252" bestFit="1" customWidth="1"/>
    <col min="8473" max="8473" width="40.28515625" style="252" bestFit="1" customWidth="1"/>
    <col min="8474" max="8474" width="2.28515625" style="252" customWidth="1"/>
    <col min="8475" max="8475" width="13.5703125" style="252" customWidth="1"/>
    <col min="8476" max="8476" width="2.28515625" style="252" customWidth="1"/>
    <col min="8477" max="8477" width="13.5703125" style="252" customWidth="1"/>
    <col min="8478" max="8478" width="2.28515625" style="252" customWidth="1"/>
    <col min="8479" max="8479" width="13.5703125" style="252" customWidth="1"/>
    <col min="8480" max="8480" width="2.28515625" style="252" customWidth="1"/>
    <col min="8481" max="8481" width="13.5703125" style="252" customWidth="1"/>
    <col min="8482" max="8482" width="2.28515625" style="252" customWidth="1"/>
    <col min="8483" max="8483" width="13.5703125" style="252" customWidth="1"/>
    <col min="8484" max="8484" width="2.28515625" style="252" customWidth="1"/>
    <col min="8485" max="8485" width="13.5703125" style="252" customWidth="1"/>
    <col min="8486" max="8486" width="2.28515625" style="252" customWidth="1"/>
    <col min="8487" max="8487" width="13.5703125" style="252" customWidth="1"/>
    <col min="8488" max="8488" width="2.28515625" style="252" customWidth="1"/>
    <col min="8489" max="8489" width="13.5703125" style="252" customWidth="1"/>
    <col min="8490" max="8490" width="3.42578125" style="252" customWidth="1"/>
    <col min="8491" max="8704" width="9.140625" style="252"/>
    <col min="8705" max="8705" width="3.5703125" style="252" customWidth="1"/>
    <col min="8706" max="8706" width="6.7109375" style="252" bestFit="1" customWidth="1"/>
    <col min="8707" max="8707" width="12" style="252" bestFit="1" customWidth="1"/>
    <col min="8708" max="8708" width="40.28515625" style="252" bestFit="1" customWidth="1"/>
    <col min="8709" max="8709" width="2.28515625" style="252" customWidth="1"/>
    <col min="8710" max="8710" width="13.5703125" style="252" customWidth="1"/>
    <col min="8711" max="8711" width="2.28515625" style="252" customWidth="1"/>
    <col min="8712" max="8712" width="13.5703125" style="252" customWidth="1"/>
    <col min="8713" max="8713" width="2.28515625" style="252" customWidth="1"/>
    <col min="8714" max="8714" width="13.5703125" style="252" customWidth="1"/>
    <col min="8715" max="8715" width="2.28515625" style="252" customWidth="1"/>
    <col min="8716" max="8716" width="13.5703125" style="252" customWidth="1"/>
    <col min="8717" max="8717" width="2.28515625" style="252" customWidth="1"/>
    <col min="8718" max="8718" width="13.5703125" style="252" customWidth="1"/>
    <col min="8719" max="8719" width="2.28515625" style="252" customWidth="1"/>
    <col min="8720" max="8720" width="13.5703125" style="252" customWidth="1"/>
    <col min="8721" max="8721" width="2.28515625" style="252" customWidth="1"/>
    <col min="8722" max="8722" width="13.5703125" style="252" customWidth="1"/>
    <col min="8723" max="8723" width="2.28515625" style="252" customWidth="1"/>
    <col min="8724" max="8724" width="13.5703125" style="252" customWidth="1"/>
    <col min="8725" max="8725" width="4" style="252" customWidth="1"/>
    <col min="8726" max="8726" width="3.5703125" style="252" customWidth="1"/>
    <col min="8727" max="8727" width="6.7109375" style="252" bestFit="1" customWidth="1"/>
    <col min="8728" max="8728" width="12.7109375" style="252" bestFit="1" customWidth="1"/>
    <col min="8729" max="8729" width="40.28515625" style="252" bestFit="1" customWidth="1"/>
    <col min="8730" max="8730" width="2.28515625" style="252" customWidth="1"/>
    <col min="8731" max="8731" width="13.5703125" style="252" customWidth="1"/>
    <col min="8732" max="8732" width="2.28515625" style="252" customWidth="1"/>
    <col min="8733" max="8733" width="13.5703125" style="252" customWidth="1"/>
    <col min="8734" max="8734" width="2.28515625" style="252" customWidth="1"/>
    <col min="8735" max="8735" width="13.5703125" style="252" customWidth="1"/>
    <col min="8736" max="8736" width="2.28515625" style="252" customWidth="1"/>
    <col min="8737" max="8737" width="13.5703125" style="252" customWidth="1"/>
    <col min="8738" max="8738" width="2.28515625" style="252" customWidth="1"/>
    <col min="8739" max="8739" width="13.5703125" style="252" customWidth="1"/>
    <col min="8740" max="8740" width="2.28515625" style="252" customWidth="1"/>
    <col min="8741" max="8741" width="13.5703125" style="252" customWidth="1"/>
    <col min="8742" max="8742" width="2.28515625" style="252" customWidth="1"/>
    <col min="8743" max="8743" width="13.5703125" style="252" customWidth="1"/>
    <col min="8744" max="8744" width="2.28515625" style="252" customWidth="1"/>
    <col min="8745" max="8745" width="13.5703125" style="252" customWidth="1"/>
    <col min="8746" max="8746" width="3.42578125" style="252" customWidth="1"/>
    <col min="8747" max="8960" width="9.140625" style="252"/>
    <col min="8961" max="8961" width="3.5703125" style="252" customWidth="1"/>
    <col min="8962" max="8962" width="6.7109375" style="252" bestFit="1" customWidth="1"/>
    <col min="8963" max="8963" width="12" style="252" bestFit="1" customWidth="1"/>
    <col min="8964" max="8964" width="40.28515625" style="252" bestFit="1" customWidth="1"/>
    <col min="8965" max="8965" width="2.28515625" style="252" customWidth="1"/>
    <col min="8966" max="8966" width="13.5703125" style="252" customWidth="1"/>
    <col min="8967" max="8967" width="2.28515625" style="252" customWidth="1"/>
    <col min="8968" max="8968" width="13.5703125" style="252" customWidth="1"/>
    <col min="8969" max="8969" width="2.28515625" style="252" customWidth="1"/>
    <col min="8970" max="8970" width="13.5703125" style="252" customWidth="1"/>
    <col min="8971" max="8971" width="2.28515625" style="252" customWidth="1"/>
    <col min="8972" max="8972" width="13.5703125" style="252" customWidth="1"/>
    <col min="8973" max="8973" width="2.28515625" style="252" customWidth="1"/>
    <col min="8974" max="8974" width="13.5703125" style="252" customWidth="1"/>
    <col min="8975" max="8975" width="2.28515625" style="252" customWidth="1"/>
    <col min="8976" max="8976" width="13.5703125" style="252" customWidth="1"/>
    <col min="8977" max="8977" width="2.28515625" style="252" customWidth="1"/>
    <col min="8978" max="8978" width="13.5703125" style="252" customWidth="1"/>
    <col min="8979" max="8979" width="2.28515625" style="252" customWidth="1"/>
    <col min="8980" max="8980" width="13.5703125" style="252" customWidth="1"/>
    <col min="8981" max="8981" width="4" style="252" customWidth="1"/>
    <col min="8982" max="8982" width="3.5703125" style="252" customWidth="1"/>
    <col min="8983" max="8983" width="6.7109375" style="252" bestFit="1" customWidth="1"/>
    <col min="8984" max="8984" width="12.7109375" style="252" bestFit="1" customWidth="1"/>
    <col min="8985" max="8985" width="40.28515625" style="252" bestFit="1" customWidth="1"/>
    <col min="8986" max="8986" width="2.28515625" style="252" customWidth="1"/>
    <col min="8987" max="8987" width="13.5703125" style="252" customWidth="1"/>
    <col min="8988" max="8988" width="2.28515625" style="252" customWidth="1"/>
    <col min="8989" max="8989" width="13.5703125" style="252" customWidth="1"/>
    <col min="8990" max="8990" width="2.28515625" style="252" customWidth="1"/>
    <col min="8991" max="8991" width="13.5703125" style="252" customWidth="1"/>
    <col min="8992" max="8992" width="2.28515625" style="252" customWidth="1"/>
    <col min="8993" max="8993" width="13.5703125" style="252" customWidth="1"/>
    <col min="8994" max="8994" width="2.28515625" style="252" customWidth="1"/>
    <col min="8995" max="8995" width="13.5703125" style="252" customWidth="1"/>
    <col min="8996" max="8996" width="2.28515625" style="252" customWidth="1"/>
    <col min="8997" max="8997" width="13.5703125" style="252" customWidth="1"/>
    <col min="8998" max="8998" width="2.28515625" style="252" customWidth="1"/>
    <col min="8999" max="8999" width="13.5703125" style="252" customWidth="1"/>
    <col min="9000" max="9000" width="2.28515625" style="252" customWidth="1"/>
    <col min="9001" max="9001" width="13.5703125" style="252" customWidth="1"/>
    <col min="9002" max="9002" width="3.42578125" style="252" customWidth="1"/>
    <col min="9003" max="9216" width="9.140625" style="252"/>
    <col min="9217" max="9217" width="3.5703125" style="252" customWidth="1"/>
    <col min="9218" max="9218" width="6.7109375" style="252" bestFit="1" customWidth="1"/>
    <col min="9219" max="9219" width="12" style="252" bestFit="1" customWidth="1"/>
    <col min="9220" max="9220" width="40.28515625" style="252" bestFit="1" customWidth="1"/>
    <col min="9221" max="9221" width="2.28515625" style="252" customWidth="1"/>
    <col min="9222" max="9222" width="13.5703125" style="252" customWidth="1"/>
    <col min="9223" max="9223" width="2.28515625" style="252" customWidth="1"/>
    <col min="9224" max="9224" width="13.5703125" style="252" customWidth="1"/>
    <col min="9225" max="9225" width="2.28515625" style="252" customWidth="1"/>
    <col min="9226" max="9226" width="13.5703125" style="252" customWidth="1"/>
    <col min="9227" max="9227" width="2.28515625" style="252" customWidth="1"/>
    <col min="9228" max="9228" width="13.5703125" style="252" customWidth="1"/>
    <col min="9229" max="9229" width="2.28515625" style="252" customWidth="1"/>
    <col min="9230" max="9230" width="13.5703125" style="252" customWidth="1"/>
    <col min="9231" max="9231" width="2.28515625" style="252" customWidth="1"/>
    <col min="9232" max="9232" width="13.5703125" style="252" customWidth="1"/>
    <col min="9233" max="9233" width="2.28515625" style="252" customWidth="1"/>
    <col min="9234" max="9234" width="13.5703125" style="252" customWidth="1"/>
    <col min="9235" max="9235" width="2.28515625" style="252" customWidth="1"/>
    <col min="9236" max="9236" width="13.5703125" style="252" customWidth="1"/>
    <col min="9237" max="9237" width="4" style="252" customWidth="1"/>
    <col min="9238" max="9238" width="3.5703125" style="252" customWidth="1"/>
    <col min="9239" max="9239" width="6.7109375" style="252" bestFit="1" customWidth="1"/>
    <col min="9240" max="9240" width="12.7109375" style="252" bestFit="1" customWidth="1"/>
    <col min="9241" max="9241" width="40.28515625" style="252" bestFit="1" customWidth="1"/>
    <col min="9242" max="9242" width="2.28515625" style="252" customWidth="1"/>
    <col min="9243" max="9243" width="13.5703125" style="252" customWidth="1"/>
    <col min="9244" max="9244" width="2.28515625" style="252" customWidth="1"/>
    <col min="9245" max="9245" width="13.5703125" style="252" customWidth="1"/>
    <col min="9246" max="9246" width="2.28515625" style="252" customWidth="1"/>
    <col min="9247" max="9247" width="13.5703125" style="252" customWidth="1"/>
    <col min="9248" max="9248" width="2.28515625" style="252" customWidth="1"/>
    <col min="9249" max="9249" width="13.5703125" style="252" customWidth="1"/>
    <col min="9250" max="9250" width="2.28515625" style="252" customWidth="1"/>
    <col min="9251" max="9251" width="13.5703125" style="252" customWidth="1"/>
    <col min="9252" max="9252" width="2.28515625" style="252" customWidth="1"/>
    <col min="9253" max="9253" width="13.5703125" style="252" customWidth="1"/>
    <col min="9254" max="9254" width="2.28515625" style="252" customWidth="1"/>
    <col min="9255" max="9255" width="13.5703125" style="252" customWidth="1"/>
    <col min="9256" max="9256" width="2.28515625" style="252" customWidth="1"/>
    <col min="9257" max="9257" width="13.5703125" style="252" customWidth="1"/>
    <col min="9258" max="9258" width="3.42578125" style="252" customWidth="1"/>
    <col min="9259" max="9472" width="9.140625" style="252"/>
    <col min="9473" max="9473" width="3.5703125" style="252" customWidth="1"/>
    <col min="9474" max="9474" width="6.7109375" style="252" bestFit="1" customWidth="1"/>
    <col min="9475" max="9475" width="12" style="252" bestFit="1" customWidth="1"/>
    <col min="9476" max="9476" width="40.28515625" style="252" bestFit="1" customWidth="1"/>
    <col min="9477" max="9477" width="2.28515625" style="252" customWidth="1"/>
    <col min="9478" max="9478" width="13.5703125" style="252" customWidth="1"/>
    <col min="9479" max="9479" width="2.28515625" style="252" customWidth="1"/>
    <col min="9480" max="9480" width="13.5703125" style="252" customWidth="1"/>
    <col min="9481" max="9481" width="2.28515625" style="252" customWidth="1"/>
    <col min="9482" max="9482" width="13.5703125" style="252" customWidth="1"/>
    <col min="9483" max="9483" width="2.28515625" style="252" customWidth="1"/>
    <col min="9484" max="9484" width="13.5703125" style="252" customWidth="1"/>
    <col min="9485" max="9485" width="2.28515625" style="252" customWidth="1"/>
    <col min="9486" max="9486" width="13.5703125" style="252" customWidth="1"/>
    <col min="9487" max="9487" width="2.28515625" style="252" customWidth="1"/>
    <col min="9488" max="9488" width="13.5703125" style="252" customWidth="1"/>
    <col min="9489" max="9489" width="2.28515625" style="252" customWidth="1"/>
    <col min="9490" max="9490" width="13.5703125" style="252" customWidth="1"/>
    <col min="9491" max="9491" width="2.28515625" style="252" customWidth="1"/>
    <col min="9492" max="9492" width="13.5703125" style="252" customWidth="1"/>
    <col min="9493" max="9493" width="4" style="252" customWidth="1"/>
    <col min="9494" max="9494" width="3.5703125" style="252" customWidth="1"/>
    <col min="9495" max="9495" width="6.7109375" style="252" bestFit="1" customWidth="1"/>
    <col min="9496" max="9496" width="12.7109375" style="252" bestFit="1" customWidth="1"/>
    <col min="9497" max="9497" width="40.28515625" style="252" bestFit="1" customWidth="1"/>
    <col min="9498" max="9498" width="2.28515625" style="252" customWidth="1"/>
    <col min="9499" max="9499" width="13.5703125" style="252" customWidth="1"/>
    <col min="9500" max="9500" width="2.28515625" style="252" customWidth="1"/>
    <col min="9501" max="9501" width="13.5703125" style="252" customWidth="1"/>
    <col min="9502" max="9502" width="2.28515625" style="252" customWidth="1"/>
    <col min="9503" max="9503" width="13.5703125" style="252" customWidth="1"/>
    <col min="9504" max="9504" width="2.28515625" style="252" customWidth="1"/>
    <col min="9505" max="9505" width="13.5703125" style="252" customWidth="1"/>
    <col min="9506" max="9506" width="2.28515625" style="252" customWidth="1"/>
    <col min="9507" max="9507" width="13.5703125" style="252" customWidth="1"/>
    <col min="9508" max="9508" width="2.28515625" style="252" customWidth="1"/>
    <col min="9509" max="9509" width="13.5703125" style="252" customWidth="1"/>
    <col min="9510" max="9510" width="2.28515625" style="252" customWidth="1"/>
    <col min="9511" max="9511" width="13.5703125" style="252" customWidth="1"/>
    <col min="9512" max="9512" width="2.28515625" style="252" customWidth="1"/>
    <col min="9513" max="9513" width="13.5703125" style="252" customWidth="1"/>
    <col min="9514" max="9514" width="3.42578125" style="252" customWidth="1"/>
    <col min="9515" max="9728" width="9.140625" style="252"/>
    <col min="9729" max="9729" width="3.5703125" style="252" customWidth="1"/>
    <col min="9730" max="9730" width="6.7109375" style="252" bestFit="1" customWidth="1"/>
    <col min="9731" max="9731" width="12" style="252" bestFit="1" customWidth="1"/>
    <col min="9732" max="9732" width="40.28515625" style="252" bestFit="1" customWidth="1"/>
    <col min="9733" max="9733" width="2.28515625" style="252" customWidth="1"/>
    <col min="9734" max="9734" width="13.5703125" style="252" customWidth="1"/>
    <col min="9735" max="9735" width="2.28515625" style="252" customWidth="1"/>
    <col min="9736" max="9736" width="13.5703125" style="252" customWidth="1"/>
    <col min="9737" max="9737" width="2.28515625" style="252" customWidth="1"/>
    <col min="9738" max="9738" width="13.5703125" style="252" customWidth="1"/>
    <col min="9739" max="9739" width="2.28515625" style="252" customWidth="1"/>
    <col min="9740" max="9740" width="13.5703125" style="252" customWidth="1"/>
    <col min="9741" max="9741" width="2.28515625" style="252" customWidth="1"/>
    <col min="9742" max="9742" width="13.5703125" style="252" customWidth="1"/>
    <col min="9743" max="9743" width="2.28515625" style="252" customWidth="1"/>
    <col min="9744" max="9744" width="13.5703125" style="252" customWidth="1"/>
    <col min="9745" max="9745" width="2.28515625" style="252" customWidth="1"/>
    <col min="9746" max="9746" width="13.5703125" style="252" customWidth="1"/>
    <col min="9747" max="9747" width="2.28515625" style="252" customWidth="1"/>
    <col min="9748" max="9748" width="13.5703125" style="252" customWidth="1"/>
    <col min="9749" max="9749" width="4" style="252" customWidth="1"/>
    <col min="9750" max="9750" width="3.5703125" style="252" customWidth="1"/>
    <col min="9751" max="9751" width="6.7109375" style="252" bestFit="1" customWidth="1"/>
    <col min="9752" max="9752" width="12.7109375" style="252" bestFit="1" customWidth="1"/>
    <col min="9753" max="9753" width="40.28515625" style="252" bestFit="1" customWidth="1"/>
    <col min="9754" max="9754" width="2.28515625" style="252" customWidth="1"/>
    <col min="9755" max="9755" width="13.5703125" style="252" customWidth="1"/>
    <col min="9756" max="9756" width="2.28515625" style="252" customWidth="1"/>
    <col min="9757" max="9757" width="13.5703125" style="252" customWidth="1"/>
    <col min="9758" max="9758" width="2.28515625" style="252" customWidth="1"/>
    <col min="9759" max="9759" width="13.5703125" style="252" customWidth="1"/>
    <col min="9760" max="9760" width="2.28515625" style="252" customWidth="1"/>
    <col min="9761" max="9761" width="13.5703125" style="252" customWidth="1"/>
    <col min="9762" max="9762" width="2.28515625" style="252" customWidth="1"/>
    <col min="9763" max="9763" width="13.5703125" style="252" customWidth="1"/>
    <col min="9764" max="9764" width="2.28515625" style="252" customWidth="1"/>
    <col min="9765" max="9765" width="13.5703125" style="252" customWidth="1"/>
    <col min="9766" max="9766" width="2.28515625" style="252" customWidth="1"/>
    <col min="9767" max="9767" width="13.5703125" style="252" customWidth="1"/>
    <col min="9768" max="9768" width="2.28515625" style="252" customWidth="1"/>
    <col min="9769" max="9769" width="13.5703125" style="252" customWidth="1"/>
    <col min="9770" max="9770" width="3.42578125" style="252" customWidth="1"/>
    <col min="9771" max="9984" width="9.140625" style="252"/>
    <col min="9985" max="9985" width="3.5703125" style="252" customWidth="1"/>
    <col min="9986" max="9986" width="6.7109375" style="252" bestFit="1" customWidth="1"/>
    <col min="9987" max="9987" width="12" style="252" bestFit="1" customWidth="1"/>
    <col min="9988" max="9988" width="40.28515625" style="252" bestFit="1" customWidth="1"/>
    <col min="9989" max="9989" width="2.28515625" style="252" customWidth="1"/>
    <col min="9990" max="9990" width="13.5703125" style="252" customWidth="1"/>
    <col min="9991" max="9991" width="2.28515625" style="252" customWidth="1"/>
    <col min="9992" max="9992" width="13.5703125" style="252" customWidth="1"/>
    <col min="9993" max="9993" width="2.28515625" style="252" customWidth="1"/>
    <col min="9994" max="9994" width="13.5703125" style="252" customWidth="1"/>
    <col min="9995" max="9995" width="2.28515625" style="252" customWidth="1"/>
    <col min="9996" max="9996" width="13.5703125" style="252" customWidth="1"/>
    <col min="9997" max="9997" width="2.28515625" style="252" customWidth="1"/>
    <col min="9998" max="9998" width="13.5703125" style="252" customWidth="1"/>
    <col min="9999" max="9999" width="2.28515625" style="252" customWidth="1"/>
    <col min="10000" max="10000" width="13.5703125" style="252" customWidth="1"/>
    <col min="10001" max="10001" width="2.28515625" style="252" customWidth="1"/>
    <col min="10002" max="10002" width="13.5703125" style="252" customWidth="1"/>
    <col min="10003" max="10003" width="2.28515625" style="252" customWidth="1"/>
    <col min="10004" max="10004" width="13.5703125" style="252" customWidth="1"/>
    <col min="10005" max="10005" width="4" style="252" customWidth="1"/>
    <col min="10006" max="10006" width="3.5703125" style="252" customWidth="1"/>
    <col min="10007" max="10007" width="6.7109375" style="252" bestFit="1" customWidth="1"/>
    <col min="10008" max="10008" width="12.7109375" style="252" bestFit="1" customWidth="1"/>
    <col min="10009" max="10009" width="40.28515625" style="252" bestFit="1" customWidth="1"/>
    <col min="10010" max="10010" width="2.28515625" style="252" customWidth="1"/>
    <col min="10011" max="10011" width="13.5703125" style="252" customWidth="1"/>
    <col min="10012" max="10012" width="2.28515625" style="252" customWidth="1"/>
    <col min="10013" max="10013" width="13.5703125" style="252" customWidth="1"/>
    <col min="10014" max="10014" width="2.28515625" style="252" customWidth="1"/>
    <col min="10015" max="10015" width="13.5703125" style="252" customWidth="1"/>
    <col min="10016" max="10016" width="2.28515625" style="252" customWidth="1"/>
    <col min="10017" max="10017" width="13.5703125" style="252" customWidth="1"/>
    <col min="10018" max="10018" width="2.28515625" style="252" customWidth="1"/>
    <col min="10019" max="10019" width="13.5703125" style="252" customWidth="1"/>
    <col min="10020" max="10020" width="2.28515625" style="252" customWidth="1"/>
    <col min="10021" max="10021" width="13.5703125" style="252" customWidth="1"/>
    <col min="10022" max="10022" width="2.28515625" style="252" customWidth="1"/>
    <col min="10023" max="10023" width="13.5703125" style="252" customWidth="1"/>
    <col min="10024" max="10024" width="2.28515625" style="252" customWidth="1"/>
    <col min="10025" max="10025" width="13.5703125" style="252" customWidth="1"/>
    <col min="10026" max="10026" width="3.42578125" style="252" customWidth="1"/>
    <col min="10027" max="10240" width="9.140625" style="252"/>
    <col min="10241" max="10241" width="3.5703125" style="252" customWidth="1"/>
    <col min="10242" max="10242" width="6.7109375" style="252" bestFit="1" customWidth="1"/>
    <col min="10243" max="10243" width="12" style="252" bestFit="1" customWidth="1"/>
    <col min="10244" max="10244" width="40.28515625" style="252" bestFit="1" customWidth="1"/>
    <col min="10245" max="10245" width="2.28515625" style="252" customWidth="1"/>
    <col min="10246" max="10246" width="13.5703125" style="252" customWidth="1"/>
    <col min="10247" max="10247" width="2.28515625" style="252" customWidth="1"/>
    <col min="10248" max="10248" width="13.5703125" style="252" customWidth="1"/>
    <col min="10249" max="10249" width="2.28515625" style="252" customWidth="1"/>
    <col min="10250" max="10250" width="13.5703125" style="252" customWidth="1"/>
    <col min="10251" max="10251" width="2.28515625" style="252" customWidth="1"/>
    <col min="10252" max="10252" width="13.5703125" style="252" customWidth="1"/>
    <col min="10253" max="10253" width="2.28515625" style="252" customWidth="1"/>
    <col min="10254" max="10254" width="13.5703125" style="252" customWidth="1"/>
    <col min="10255" max="10255" width="2.28515625" style="252" customWidth="1"/>
    <col min="10256" max="10256" width="13.5703125" style="252" customWidth="1"/>
    <col min="10257" max="10257" width="2.28515625" style="252" customWidth="1"/>
    <col min="10258" max="10258" width="13.5703125" style="252" customWidth="1"/>
    <col min="10259" max="10259" width="2.28515625" style="252" customWidth="1"/>
    <col min="10260" max="10260" width="13.5703125" style="252" customWidth="1"/>
    <col min="10261" max="10261" width="4" style="252" customWidth="1"/>
    <col min="10262" max="10262" width="3.5703125" style="252" customWidth="1"/>
    <col min="10263" max="10263" width="6.7109375" style="252" bestFit="1" customWidth="1"/>
    <col min="10264" max="10264" width="12.7109375" style="252" bestFit="1" customWidth="1"/>
    <col min="10265" max="10265" width="40.28515625" style="252" bestFit="1" customWidth="1"/>
    <col min="10266" max="10266" width="2.28515625" style="252" customWidth="1"/>
    <col min="10267" max="10267" width="13.5703125" style="252" customWidth="1"/>
    <col min="10268" max="10268" width="2.28515625" style="252" customWidth="1"/>
    <col min="10269" max="10269" width="13.5703125" style="252" customWidth="1"/>
    <col min="10270" max="10270" width="2.28515625" style="252" customWidth="1"/>
    <col min="10271" max="10271" width="13.5703125" style="252" customWidth="1"/>
    <col min="10272" max="10272" width="2.28515625" style="252" customWidth="1"/>
    <col min="10273" max="10273" width="13.5703125" style="252" customWidth="1"/>
    <col min="10274" max="10274" width="2.28515625" style="252" customWidth="1"/>
    <col min="10275" max="10275" width="13.5703125" style="252" customWidth="1"/>
    <col min="10276" max="10276" width="2.28515625" style="252" customWidth="1"/>
    <col min="10277" max="10277" width="13.5703125" style="252" customWidth="1"/>
    <col min="10278" max="10278" width="2.28515625" style="252" customWidth="1"/>
    <col min="10279" max="10279" width="13.5703125" style="252" customWidth="1"/>
    <col min="10280" max="10280" width="2.28515625" style="252" customWidth="1"/>
    <col min="10281" max="10281" width="13.5703125" style="252" customWidth="1"/>
    <col min="10282" max="10282" width="3.42578125" style="252" customWidth="1"/>
    <col min="10283" max="10496" width="9.140625" style="252"/>
    <col min="10497" max="10497" width="3.5703125" style="252" customWidth="1"/>
    <col min="10498" max="10498" width="6.7109375" style="252" bestFit="1" customWidth="1"/>
    <col min="10499" max="10499" width="12" style="252" bestFit="1" customWidth="1"/>
    <col min="10500" max="10500" width="40.28515625" style="252" bestFit="1" customWidth="1"/>
    <col min="10501" max="10501" width="2.28515625" style="252" customWidth="1"/>
    <col min="10502" max="10502" width="13.5703125" style="252" customWidth="1"/>
    <col min="10503" max="10503" width="2.28515625" style="252" customWidth="1"/>
    <col min="10504" max="10504" width="13.5703125" style="252" customWidth="1"/>
    <col min="10505" max="10505" width="2.28515625" style="252" customWidth="1"/>
    <col min="10506" max="10506" width="13.5703125" style="252" customWidth="1"/>
    <col min="10507" max="10507" width="2.28515625" style="252" customWidth="1"/>
    <col min="10508" max="10508" width="13.5703125" style="252" customWidth="1"/>
    <col min="10509" max="10509" width="2.28515625" style="252" customWidth="1"/>
    <col min="10510" max="10510" width="13.5703125" style="252" customWidth="1"/>
    <col min="10511" max="10511" width="2.28515625" style="252" customWidth="1"/>
    <col min="10512" max="10512" width="13.5703125" style="252" customWidth="1"/>
    <col min="10513" max="10513" width="2.28515625" style="252" customWidth="1"/>
    <col min="10514" max="10514" width="13.5703125" style="252" customWidth="1"/>
    <col min="10515" max="10515" width="2.28515625" style="252" customWidth="1"/>
    <col min="10516" max="10516" width="13.5703125" style="252" customWidth="1"/>
    <col min="10517" max="10517" width="4" style="252" customWidth="1"/>
    <col min="10518" max="10518" width="3.5703125" style="252" customWidth="1"/>
    <col min="10519" max="10519" width="6.7109375" style="252" bestFit="1" customWidth="1"/>
    <col min="10520" max="10520" width="12.7109375" style="252" bestFit="1" customWidth="1"/>
    <col min="10521" max="10521" width="40.28515625" style="252" bestFit="1" customWidth="1"/>
    <col min="10522" max="10522" width="2.28515625" style="252" customWidth="1"/>
    <col min="10523" max="10523" width="13.5703125" style="252" customWidth="1"/>
    <col min="10524" max="10524" width="2.28515625" style="252" customWidth="1"/>
    <col min="10525" max="10525" width="13.5703125" style="252" customWidth="1"/>
    <col min="10526" max="10526" width="2.28515625" style="252" customWidth="1"/>
    <col min="10527" max="10527" width="13.5703125" style="252" customWidth="1"/>
    <col min="10528" max="10528" width="2.28515625" style="252" customWidth="1"/>
    <col min="10529" max="10529" width="13.5703125" style="252" customWidth="1"/>
    <col min="10530" max="10530" width="2.28515625" style="252" customWidth="1"/>
    <col min="10531" max="10531" width="13.5703125" style="252" customWidth="1"/>
    <col min="10532" max="10532" width="2.28515625" style="252" customWidth="1"/>
    <col min="10533" max="10533" width="13.5703125" style="252" customWidth="1"/>
    <col min="10534" max="10534" width="2.28515625" style="252" customWidth="1"/>
    <col min="10535" max="10535" width="13.5703125" style="252" customWidth="1"/>
    <col min="10536" max="10536" width="2.28515625" style="252" customWidth="1"/>
    <col min="10537" max="10537" width="13.5703125" style="252" customWidth="1"/>
    <col min="10538" max="10538" width="3.42578125" style="252" customWidth="1"/>
    <col min="10539" max="10752" width="9.140625" style="252"/>
    <col min="10753" max="10753" width="3.5703125" style="252" customWidth="1"/>
    <col min="10754" max="10754" width="6.7109375" style="252" bestFit="1" customWidth="1"/>
    <col min="10755" max="10755" width="12" style="252" bestFit="1" customWidth="1"/>
    <col min="10756" max="10756" width="40.28515625" style="252" bestFit="1" customWidth="1"/>
    <col min="10757" max="10757" width="2.28515625" style="252" customWidth="1"/>
    <col min="10758" max="10758" width="13.5703125" style="252" customWidth="1"/>
    <col min="10759" max="10759" width="2.28515625" style="252" customWidth="1"/>
    <col min="10760" max="10760" width="13.5703125" style="252" customWidth="1"/>
    <col min="10761" max="10761" width="2.28515625" style="252" customWidth="1"/>
    <col min="10762" max="10762" width="13.5703125" style="252" customWidth="1"/>
    <col min="10763" max="10763" width="2.28515625" style="252" customWidth="1"/>
    <col min="10764" max="10764" width="13.5703125" style="252" customWidth="1"/>
    <col min="10765" max="10765" width="2.28515625" style="252" customWidth="1"/>
    <col min="10766" max="10766" width="13.5703125" style="252" customWidth="1"/>
    <col min="10767" max="10767" width="2.28515625" style="252" customWidth="1"/>
    <col min="10768" max="10768" width="13.5703125" style="252" customWidth="1"/>
    <col min="10769" max="10769" width="2.28515625" style="252" customWidth="1"/>
    <col min="10770" max="10770" width="13.5703125" style="252" customWidth="1"/>
    <col min="10771" max="10771" width="2.28515625" style="252" customWidth="1"/>
    <col min="10772" max="10772" width="13.5703125" style="252" customWidth="1"/>
    <col min="10773" max="10773" width="4" style="252" customWidth="1"/>
    <col min="10774" max="10774" width="3.5703125" style="252" customWidth="1"/>
    <col min="10775" max="10775" width="6.7109375" style="252" bestFit="1" customWidth="1"/>
    <col min="10776" max="10776" width="12.7109375" style="252" bestFit="1" customWidth="1"/>
    <col min="10777" max="10777" width="40.28515625" style="252" bestFit="1" customWidth="1"/>
    <col min="10778" max="10778" width="2.28515625" style="252" customWidth="1"/>
    <col min="10779" max="10779" width="13.5703125" style="252" customWidth="1"/>
    <col min="10780" max="10780" width="2.28515625" style="252" customWidth="1"/>
    <col min="10781" max="10781" width="13.5703125" style="252" customWidth="1"/>
    <col min="10782" max="10782" width="2.28515625" style="252" customWidth="1"/>
    <col min="10783" max="10783" width="13.5703125" style="252" customWidth="1"/>
    <col min="10784" max="10784" width="2.28515625" style="252" customWidth="1"/>
    <col min="10785" max="10785" width="13.5703125" style="252" customWidth="1"/>
    <col min="10786" max="10786" width="2.28515625" style="252" customWidth="1"/>
    <col min="10787" max="10787" width="13.5703125" style="252" customWidth="1"/>
    <col min="10788" max="10788" width="2.28515625" style="252" customWidth="1"/>
    <col min="10789" max="10789" width="13.5703125" style="252" customWidth="1"/>
    <col min="10790" max="10790" width="2.28515625" style="252" customWidth="1"/>
    <col min="10791" max="10791" width="13.5703125" style="252" customWidth="1"/>
    <col min="10792" max="10792" width="2.28515625" style="252" customWidth="1"/>
    <col min="10793" max="10793" width="13.5703125" style="252" customWidth="1"/>
    <col min="10794" max="10794" width="3.42578125" style="252" customWidth="1"/>
    <col min="10795" max="11008" width="9.140625" style="252"/>
    <col min="11009" max="11009" width="3.5703125" style="252" customWidth="1"/>
    <col min="11010" max="11010" width="6.7109375" style="252" bestFit="1" customWidth="1"/>
    <col min="11011" max="11011" width="12" style="252" bestFit="1" customWidth="1"/>
    <col min="11012" max="11012" width="40.28515625" style="252" bestFit="1" customWidth="1"/>
    <col min="11013" max="11013" width="2.28515625" style="252" customWidth="1"/>
    <col min="11014" max="11014" width="13.5703125" style="252" customWidth="1"/>
    <col min="11015" max="11015" width="2.28515625" style="252" customWidth="1"/>
    <col min="11016" max="11016" width="13.5703125" style="252" customWidth="1"/>
    <col min="11017" max="11017" width="2.28515625" style="252" customWidth="1"/>
    <col min="11018" max="11018" width="13.5703125" style="252" customWidth="1"/>
    <col min="11019" max="11019" width="2.28515625" style="252" customWidth="1"/>
    <col min="11020" max="11020" width="13.5703125" style="252" customWidth="1"/>
    <col min="11021" max="11021" width="2.28515625" style="252" customWidth="1"/>
    <col min="11022" max="11022" width="13.5703125" style="252" customWidth="1"/>
    <col min="11023" max="11023" width="2.28515625" style="252" customWidth="1"/>
    <col min="11024" max="11024" width="13.5703125" style="252" customWidth="1"/>
    <col min="11025" max="11025" width="2.28515625" style="252" customWidth="1"/>
    <col min="11026" max="11026" width="13.5703125" style="252" customWidth="1"/>
    <col min="11027" max="11027" width="2.28515625" style="252" customWidth="1"/>
    <col min="11028" max="11028" width="13.5703125" style="252" customWidth="1"/>
    <col min="11029" max="11029" width="4" style="252" customWidth="1"/>
    <col min="11030" max="11030" width="3.5703125" style="252" customWidth="1"/>
    <col min="11031" max="11031" width="6.7109375" style="252" bestFit="1" customWidth="1"/>
    <col min="11032" max="11032" width="12.7109375" style="252" bestFit="1" customWidth="1"/>
    <col min="11033" max="11033" width="40.28515625" style="252" bestFit="1" customWidth="1"/>
    <col min="11034" max="11034" width="2.28515625" style="252" customWidth="1"/>
    <col min="11035" max="11035" width="13.5703125" style="252" customWidth="1"/>
    <col min="11036" max="11036" width="2.28515625" style="252" customWidth="1"/>
    <col min="11037" max="11037" width="13.5703125" style="252" customWidth="1"/>
    <col min="11038" max="11038" width="2.28515625" style="252" customWidth="1"/>
    <col min="11039" max="11039" width="13.5703125" style="252" customWidth="1"/>
    <col min="11040" max="11040" width="2.28515625" style="252" customWidth="1"/>
    <col min="11041" max="11041" width="13.5703125" style="252" customWidth="1"/>
    <col min="11042" max="11042" width="2.28515625" style="252" customWidth="1"/>
    <col min="11043" max="11043" width="13.5703125" style="252" customWidth="1"/>
    <col min="11044" max="11044" width="2.28515625" style="252" customWidth="1"/>
    <col min="11045" max="11045" width="13.5703125" style="252" customWidth="1"/>
    <col min="11046" max="11046" width="2.28515625" style="252" customWidth="1"/>
    <col min="11047" max="11047" width="13.5703125" style="252" customWidth="1"/>
    <col min="11048" max="11048" width="2.28515625" style="252" customWidth="1"/>
    <col min="11049" max="11049" width="13.5703125" style="252" customWidth="1"/>
    <col min="11050" max="11050" width="3.42578125" style="252" customWidth="1"/>
    <col min="11051" max="11264" width="9.140625" style="252"/>
    <col min="11265" max="11265" width="3.5703125" style="252" customWidth="1"/>
    <col min="11266" max="11266" width="6.7109375" style="252" bestFit="1" customWidth="1"/>
    <col min="11267" max="11267" width="12" style="252" bestFit="1" customWidth="1"/>
    <col min="11268" max="11268" width="40.28515625" style="252" bestFit="1" customWidth="1"/>
    <col min="11269" max="11269" width="2.28515625" style="252" customWidth="1"/>
    <col min="11270" max="11270" width="13.5703125" style="252" customWidth="1"/>
    <col min="11271" max="11271" width="2.28515625" style="252" customWidth="1"/>
    <col min="11272" max="11272" width="13.5703125" style="252" customWidth="1"/>
    <col min="11273" max="11273" width="2.28515625" style="252" customWidth="1"/>
    <col min="11274" max="11274" width="13.5703125" style="252" customWidth="1"/>
    <col min="11275" max="11275" width="2.28515625" style="252" customWidth="1"/>
    <col min="11276" max="11276" width="13.5703125" style="252" customWidth="1"/>
    <col min="11277" max="11277" width="2.28515625" style="252" customWidth="1"/>
    <col min="11278" max="11278" width="13.5703125" style="252" customWidth="1"/>
    <col min="11279" max="11279" width="2.28515625" style="252" customWidth="1"/>
    <col min="11280" max="11280" width="13.5703125" style="252" customWidth="1"/>
    <col min="11281" max="11281" width="2.28515625" style="252" customWidth="1"/>
    <col min="11282" max="11282" width="13.5703125" style="252" customWidth="1"/>
    <col min="11283" max="11283" width="2.28515625" style="252" customWidth="1"/>
    <col min="11284" max="11284" width="13.5703125" style="252" customWidth="1"/>
    <col min="11285" max="11285" width="4" style="252" customWidth="1"/>
    <col min="11286" max="11286" width="3.5703125" style="252" customWidth="1"/>
    <col min="11287" max="11287" width="6.7109375" style="252" bestFit="1" customWidth="1"/>
    <col min="11288" max="11288" width="12.7109375" style="252" bestFit="1" customWidth="1"/>
    <col min="11289" max="11289" width="40.28515625" style="252" bestFit="1" customWidth="1"/>
    <col min="11290" max="11290" width="2.28515625" style="252" customWidth="1"/>
    <col min="11291" max="11291" width="13.5703125" style="252" customWidth="1"/>
    <col min="11292" max="11292" width="2.28515625" style="252" customWidth="1"/>
    <col min="11293" max="11293" width="13.5703125" style="252" customWidth="1"/>
    <col min="11294" max="11294" width="2.28515625" style="252" customWidth="1"/>
    <col min="11295" max="11295" width="13.5703125" style="252" customWidth="1"/>
    <col min="11296" max="11296" width="2.28515625" style="252" customWidth="1"/>
    <col min="11297" max="11297" width="13.5703125" style="252" customWidth="1"/>
    <col min="11298" max="11298" width="2.28515625" style="252" customWidth="1"/>
    <col min="11299" max="11299" width="13.5703125" style="252" customWidth="1"/>
    <col min="11300" max="11300" width="2.28515625" style="252" customWidth="1"/>
    <col min="11301" max="11301" width="13.5703125" style="252" customWidth="1"/>
    <col min="11302" max="11302" width="2.28515625" style="252" customWidth="1"/>
    <col min="11303" max="11303" width="13.5703125" style="252" customWidth="1"/>
    <col min="11304" max="11304" width="2.28515625" style="252" customWidth="1"/>
    <col min="11305" max="11305" width="13.5703125" style="252" customWidth="1"/>
    <col min="11306" max="11306" width="3.42578125" style="252" customWidth="1"/>
    <col min="11307" max="11520" width="9.140625" style="252"/>
    <col min="11521" max="11521" width="3.5703125" style="252" customWidth="1"/>
    <col min="11522" max="11522" width="6.7109375" style="252" bestFit="1" customWidth="1"/>
    <col min="11523" max="11523" width="12" style="252" bestFit="1" customWidth="1"/>
    <col min="11524" max="11524" width="40.28515625" style="252" bestFit="1" customWidth="1"/>
    <col min="11525" max="11525" width="2.28515625" style="252" customWidth="1"/>
    <col min="11526" max="11526" width="13.5703125" style="252" customWidth="1"/>
    <col min="11527" max="11527" width="2.28515625" style="252" customWidth="1"/>
    <col min="11528" max="11528" width="13.5703125" style="252" customWidth="1"/>
    <col min="11529" max="11529" width="2.28515625" style="252" customWidth="1"/>
    <col min="11530" max="11530" width="13.5703125" style="252" customWidth="1"/>
    <col min="11531" max="11531" width="2.28515625" style="252" customWidth="1"/>
    <col min="11532" max="11532" width="13.5703125" style="252" customWidth="1"/>
    <col min="11533" max="11533" width="2.28515625" style="252" customWidth="1"/>
    <col min="11534" max="11534" width="13.5703125" style="252" customWidth="1"/>
    <col min="11535" max="11535" width="2.28515625" style="252" customWidth="1"/>
    <col min="11536" max="11536" width="13.5703125" style="252" customWidth="1"/>
    <col min="11537" max="11537" width="2.28515625" style="252" customWidth="1"/>
    <col min="11538" max="11538" width="13.5703125" style="252" customWidth="1"/>
    <col min="11539" max="11539" width="2.28515625" style="252" customWidth="1"/>
    <col min="11540" max="11540" width="13.5703125" style="252" customWidth="1"/>
    <col min="11541" max="11541" width="4" style="252" customWidth="1"/>
    <col min="11542" max="11542" width="3.5703125" style="252" customWidth="1"/>
    <col min="11543" max="11543" width="6.7109375" style="252" bestFit="1" customWidth="1"/>
    <col min="11544" max="11544" width="12.7109375" style="252" bestFit="1" customWidth="1"/>
    <col min="11545" max="11545" width="40.28515625" style="252" bestFit="1" customWidth="1"/>
    <col min="11546" max="11546" width="2.28515625" style="252" customWidth="1"/>
    <col min="11547" max="11547" width="13.5703125" style="252" customWidth="1"/>
    <col min="11548" max="11548" width="2.28515625" style="252" customWidth="1"/>
    <col min="11549" max="11549" width="13.5703125" style="252" customWidth="1"/>
    <col min="11550" max="11550" width="2.28515625" style="252" customWidth="1"/>
    <col min="11551" max="11551" width="13.5703125" style="252" customWidth="1"/>
    <col min="11552" max="11552" width="2.28515625" style="252" customWidth="1"/>
    <col min="11553" max="11553" width="13.5703125" style="252" customWidth="1"/>
    <col min="11554" max="11554" width="2.28515625" style="252" customWidth="1"/>
    <col min="11555" max="11555" width="13.5703125" style="252" customWidth="1"/>
    <col min="11556" max="11556" width="2.28515625" style="252" customWidth="1"/>
    <col min="11557" max="11557" width="13.5703125" style="252" customWidth="1"/>
    <col min="11558" max="11558" width="2.28515625" style="252" customWidth="1"/>
    <col min="11559" max="11559" width="13.5703125" style="252" customWidth="1"/>
    <col min="11560" max="11560" width="2.28515625" style="252" customWidth="1"/>
    <col min="11561" max="11561" width="13.5703125" style="252" customWidth="1"/>
    <col min="11562" max="11562" width="3.42578125" style="252" customWidth="1"/>
    <col min="11563" max="11776" width="9.140625" style="252"/>
    <col min="11777" max="11777" width="3.5703125" style="252" customWidth="1"/>
    <col min="11778" max="11778" width="6.7109375" style="252" bestFit="1" customWidth="1"/>
    <col min="11779" max="11779" width="12" style="252" bestFit="1" customWidth="1"/>
    <col min="11780" max="11780" width="40.28515625" style="252" bestFit="1" customWidth="1"/>
    <col min="11781" max="11781" width="2.28515625" style="252" customWidth="1"/>
    <col min="11782" max="11782" width="13.5703125" style="252" customWidth="1"/>
    <col min="11783" max="11783" width="2.28515625" style="252" customWidth="1"/>
    <col min="11784" max="11784" width="13.5703125" style="252" customWidth="1"/>
    <col min="11785" max="11785" width="2.28515625" style="252" customWidth="1"/>
    <col min="11786" max="11786" width="13.5703125" style="252" customWidth="1"/>
    <col min="11787" max="11787" width="2.28515625" style="252" customWidth="1"/>
    <col min="11788" max="11788" width="13.5703125" style="252" customWidth="1"/>
    <col min="11789" max="11789" width="2.28515625" style="252" customWidth="1"/>
    <col min="11790" max="11790" width="13.5703125" style="252" customWidth="1"/>
    <col min="11791" max="11791" width="2.28515625" style="252" customWidth="1"/>
    <col min="11792" max="11792" width="13.5703125" style="252" customWidth="1"/>
    <col min="11793" max="11793" width="2.28515625" style="252" customWidth="1"/>
    <col min="11794" max="11794" width="13.5703125" style="252" customWidth="1"/>
    <col min="11795" max="11795" width="2.28515625" style="252" customWidth="1"/>
    <col min="11796" max="11796" width="13.5703125" style="252" customWidth="1"/>
    <col min="11797" max="11797" width="4" style="252" customWidth="1"/>
    <col min="11798" max="11798" width="3.5703125" style="252" customWidth="1"/>
    <col min="11799" max="11799" width="6.7109375" style="252" bestFit="1" customWidth="1"/>
    <col min="11800" max="11800" width="12.7109375" style="252" bestFit="1" customWidth="1"/>
    <col min="11801" max="11801" width="40.28515625" style="252" bestFit="1" customWidth="1"/>
    <col min="11802" max="11802" width="2.28515625" style="252" customWidth="1"/>
    <col min="11803" max="11803" width="13.5703125" style="252" customWidth="1"/>
    <col min="11804" max="11804" width="2.28515625" style="252" customWidth="1"/>
    <col min="11805" max="11805" width="13.5703125" style="252" customWidth="1"/>
    <col min="11806" max="11806" width="2.28515625" style="252" customWidth="1"/>
    <col min="11807" max="11807" width="13.5703125" style="252" customWidth="1"/>
    <col min="11808" max="11808" width="2.28515625" style="252" customWidth="1"/>
    <col min="11809" max="11809" width="13.5703125" style="252" customWidth="1"/>
    <col min="11810" max="11810" width="2.28515625" style="252" customWidth="1"/>
    <col min="11811" max="11811" width="13.5703125" style="252" customWidth="1"/>
    <col min="11812" max="11812" width="2.28515625" style="252" customWidth="1"/>
    <col min="11813" max="11813" width="13.5703125" style="252" customWidth="1"/>
    <col min="11814" max="11814" width="2.28515625" style="252" customWidth="1"/>
    <col min="11815" max="11815" width="13.5703125" style="252" customWidth="1"/>
    <col min="11816" max="11816" width="2.28515625" style="252" customWidth="1"/>
    <col min="11817" max="11817" width="13.5703125" style="252" customWidth="1"/>
    <col min="11818" max="11818" width="3.42578125" style="252" customWidth="1"/>
    <col min="11819" max="12032" width="9.140625" style="252"/>
    <col min="12033" max="12033" width="3.5703125" style="252" customWidth="1"/>
    <col min="12034" max="12034" width="6.7109375" style="252" bestFit="1" customWidth="1"/>
    <col min="12035" max="12035" width="12" style="252" bestFit="1" customWidth="1"/>
    <col min="12036" max="12036" width="40.28515625" style="252" bestFit="1" customWidth="1"/>
    <col min="12037" max="12037" width="2.28515625" style="252" customWidth="1"/>
    <col min="12038" max="12038" width="13.5703125" style="252" customWidth="1"/>
    <col min="12039" max="12039" width="2.28515625" style="252" customWidth="1"/>
    <col min="12040" max="12040" width="13.5703125" style="252" customWidth="1"/>
    <col min="12041" max="12041" width="2.28515625" style="252" customWidth="1"/>
    <col min="12042" max="12042" width="13.5703125" style="252" customWidth="1"/>
    <col min="12043" max="12043" width="2.28515625" style="252" customWidth="1"/>
    <col min="12044" max="12044" width="13.5703125" style="252" customWidth="1"/>
    <col min="12045" max="12045" width="2.28515625" style="252" customWidth="1"/>
    <col min="12046" max="12046" width="13.5703125" style="252" customWidth="1"/>
    <col min="12047" max="12047" width="2.28515625" style="252" customWidth="1"/>
    <col min="12048" max="12048" width="13.5703125" style="252" customWidth="1"/>
    <col min="12049" max="12049" width="2.28515625" style="252" customWidth="1"/>
    <col min="12050" max="12050" width="13.5703125" style="252" customWidth="1"/>
    <col min="12051" max="12051" width="2.28515625" style="252" customWidth="1"/>
    <col min="12052" max="12052" width="13.5703125" style="252" customWidth="1"/>
    <col min="12053" max="12053" width="4" style="252" customWidth="1"/>
    <col min="12054" max="12054" width="3.5703125" style="252" customWidth="1"/>
    <col min="12055" max="12055" width="6.7109375" style="252" bestFit="1" customWidth="1"/>
    <col min="12056" max="12056" width="12.7109375" style="252" bestFit="1" customWidth="1"/>
    <col min="12057" max="12057" width="40.28515625" style="252" bestFit="1" customWidth="1"/>
    <col min="12058" max="12058" width="2.28515625" style="252" customWidth="1"/>
    <col min="12059" max="12059" width="13.5703125" style="252" customWidth="1"/>
    <col min="12060" max="12060" width="2.28515625" style="252" customWidth="1"/>
    <col min="12061" max="12061" width="13.5703125" style="252" customWidth="1"/>
    <col min="12062" max="12062" width="2.28515625" style="252" customWidth="1"/>
    <col min="12063" max="12063" width="13.5703125" style="252" customWidth="1"/>
    <col min="12064" max="12064" width="2.28515625" style="252" customWidth="1"/>
    <col min="12065" max="12065" width="13.5703125" style="252" customWidth="1"/>
    <col min="12066" max="12066" width="2.28515625" style="252" customWidth="1"/>
    <col min="12067" max="12067" width="13.5703125" style="252" customWidth="1"/>
    <col min="12068" max="12068" width="2.28515625" style="252" customWidth="1"/>
    <col min="12069" max="12069" width="13.5703125" style="252" customWidth="1"/>
    <col min="12070" max="12070" width="2.28515625" style="252" customWidth="1"/>
    <col min="12071" max="12071" width="13.5703125" style="252" customWidth="1"/>
    <col min="12072" max="12072" width="2.28515625" style="252" customWidth="1"/>
    <col min="12073" max="12073" width="13.5703125" style="252" customWidth="1"/>
    <col min="12074" max="12074" width="3.42578125" style="252" customWidth="1"/>
    <col min="12075" max="12288" width="9.140625" style="252"/>
    <col min="12289" max="12289" width="3.5703125" style="252" customWidth="1"/>
    <col min="12290" max="12290" width="6.7109375" style="252" bestFit="1" customWidth="1"/>
    <col min="12291" max="12291" width="12" style="252" bestFit="1" customWidth="1"/>
    <col min="12292" max="12292" width="40.28515625" style="252" bestFit="1" customWidth="1"/>
    <col min="12293" max="12293" width="2.28515625" style="252" customWidth="1"/>
    <col min="12294" max="12294" width="13.5703125" style="252" customWidth="1"/>
    <col min="12295" max="12295" width="2.28515625" style="252" customWidth="1"/>
    <col min="12296" max="12296" width="13.5703125" style="252" customWidth="1"/>
    <col min="12297" max="12297" width="2.28515625" style="252" customWidth="1"/>
    <col min="12298" max="12298" width="13.5703125" style="252" customWidth="1"/>
    <col min="12299" max="12299" width="2.28515625" style="252" customWidth="1"/>
    <col min="12300" max="12300" width="13.5703125" style="252" customWidth="1"/>
    <col min="12301" max="12301" width="2.28515625" style="252" customWidth="1"/>
    <col min="12302" max="12302" width="13.5703125" style="252" customWidth="1"/>
    <col min="12303" max="12303" width="2.28515625" style="252" customWidth="1"/>
    <col min="12304" max="12304" width="13.5703125" style="252" customWidth="1"/>
    <col min="12305" max="12305" width="2.28515625" style="252" customWidth="1"/>
    <col min="12306" max="12306" width="13.5703125" style="252" customWidth="1"/>
    <col min="12307" max="12307" width="2.28515625" style="252" customWidth="1"/>
    <col min="12308" max="12308" width="13.5703125" style="252" customWidth="1"/>
    <col min="12309" max="12309" width="4" style="252" customWidth="1"/>
    <col min="12310" max="12310" width="3.5703125" style="252" customWidth="1"/>
    <col min="12311" max="12311" width="6.7109375" style="252" bestFit="1" customWidth="1"/>
    <col min="12312" max="12312" width="12.7109375" style="252" bestFit="1" customWidth="1"/>
    <col min="12313" max="12313" width="40.28515625" style="252" bestFit="1" customWidth="1"/>
    <col min="12314" max="12314" width="2.28515625" style="252" customWidth="1"/>
    <col min="12315" max="12315" width="13.5703125" style="252" customWidth="1"/>
    <col min="12316" max="12316" width="2.28515625" style="252" customWidth="1"/>
    <col min="12317" max="12317" width="13.5703125" style="252" customWidth="1"/>
    <col min="12318" max="12318" width="2.28515625" style="252" customWidth="1"/>
    <col min="12319" max="12319" width="13.5703125" style="252" customWidth="1"/>
    <col min="12320" max="12320" width="2.28515625" style="252" customWidth="1"/>
    <col min="12321" max="12321" width="13.5703125" style="252" customWidth="1"/>
    <col min="12322" max="12322" width="2.28515625" style="252" customWidth="1"/>
    <col min="12323" max="12323" width="13.5703125" style="252" customWidth="1"/>
    <col min="12324" max="12324" width="2.28515625" style="252" customWidth="1"/>
    <col min="12325" max="12325" width="13.5703125" style="252" customWidth="1"/>
    <col min="12326" max="12326" width="2.28515625" style="252" customWidth="1"/>
    <col min="12327" max="12327" width="13.5703125" style="252" customWidth="1"/>
    <col min="12328" max="12328" width="2.28515625" style="252" customWidth="1"/>
    <col min="12329" max="12329" width="13.5703125" style="252" customWidth="1"/>
    <col min="12330" max="12330" width="3.42578125" style="252" customWidth="1"/>
    <col min="12331" max="12544" width="9.140625" style="252"/>
    <col min="12545" max="12545" width="3.5703125" style="252" customWidth="1"/>
    <col min="12546" max="12546" width="6.7109375" style="252" bestFit="1" customWidth="1"/>
    <col min="12547" max="12547" width="12" style="252" bestFit="1" customWidth="1"/>
    <col min="12548" max="12548" width="40.28515625" style="252" bestFit="1" customWidth="1"/>
    <col min="12549" max="12549" width="2.28515625" style="252" customWidth="1"/>
    <col min="12550" max="12550" width="13.5703125" style="252" customWidth="1"/>
    <col min="12551" max="12551" width="2.28515625" style="252" customWidth="1"/>
    <col min="12552" max="12552" width="13.5703125" style="252" customWidth="1"/>
    <col min="12553" max="12553" width="2.28515625" style="252" customWidth="1"/>
    <col min="12554" max="12554" width="13.5703125" style="252" customWidth="1"/>
    <col min="12555" max="12555" width="2.28515625" style="252" customWidth="1"/>
    <col min="12556" max="12556" width="13.5703125" style="252" customWidth="1"/>
    <col min="12557" max="12557" width="2.28515625" style="252" customWidth="1"/>
    <col min="12558" max="12558" width="13.5703125" style="252" customWidth="1"/>
    <col min="12559" max="12559" width="2.28515625" style="252" customWidth="1"/>
    <col min="12560" max="12560" width="13.5703125" style="252" customWidth="1"/>
    <col min="12561" max="12561" width="2.28515625" style="252" customWidth="1"/>
    <col min="12562" max="12562" width="13.5703125" style="252" customWidth="1"/>
    <col min="12563" max="12563" width="2.28515625" style="252" customWidth="1"/>
    <col min="12564" max="12564" width="13.5703125" style="252" customWidth="1"/>
    <col min="12565" max="12565" width="4" style="252" customWidth="1"/>
    <col min="12566" max="12566" width="3.5703125" style="252" customWidth="1"/>
    <col min="12567" max="12567" width="6.7109375" style="252" bestFit="1" customWidth="1"/>
    <col min="12568" max="12568" width="12.7109375" style="252" bestFit="1" customWidth="1"/>
    <col min="12569" max="12569" width="40.28515625" style="252" bestFit="1" customWidth="1"/>
    <col min="12570" max="12570" width="2.28515625" style="252" customWidth="1"/>
    <col min="12571" max="12571" width="13.5703125" style="252" customWidth="1"/>
    <col min="12572" max="12572" width="2.28515625" style="252" customWidth="1"/>
    <col min="12573" max="12573" width="13.5703125" style="252" customWidth="1"/>
    <col min="12574" max="12574" width="2.28515625" style="252" customWidth="1"/>
    <col min="12575" max="12575" width="13.5703125" style="252" customWidth="1"/>
    <col min="12576" max="12576" width="2.28515625" style="252" customWidth="1"/>
    <col min="12577" max="12577" width="13.5703125" style="252" customWidth="1"/>
    <col min="12578" max="12578" width="2.28515625" style="252" customWidth="1"/>
    <col min="12579" max="12579" width="13.5703125" style="252" customWidth="1"/>
    <col min="12580" max="12580" width="2.28515625" style="252" customWidth="1"/>
    <col min="12581" max="12581" width="13.5703125" style="252" customWidth="1"/>
    <col min="12582" max="12582" width="2.28515625" style="252" customWidth="1"/>
    <col min="12583" max="12583" width="13.5703125" style="252" customWidth="1"/>
    <col min="12584" max="12584" width="2.28515625" style="252" customWidth="1"/>
    <col min="12585" max="12585" width="13.5703125" style="252" customWidth="1"/>
    <col min="12586" max="12586" width="3.42578125" style="252" customWidth="1"/>
    <col min="12587" max="12800" width="9.140625" style="252"/>
    <col min="12801" max="12801" width="3.5703125" style="252" customWidth="1"/>
    <col min="12802" max="12802" width="6.7109375" style="252" bestFit="1" customWidth="1"/>
    <col min="12803" max="12803" width="12" style="252" bestFit="1" customWidth="1"/>
    <col min="12804" max="12804" width="40.28515625" style="252" bestFit="1" customWidth="1"/>
    <col min="12805" max="12805" width="2.28515625" style="252" customWidth="1"/>
    <col min="12806" max="12806" width="13.5703125" style="252" customWidth="1"/>
    <col min="12807" max="12807" width="2.28515625" style="252" customWidth="1"/>
    <col min="12808" max="12808" width="13.5703125" style="252" customWidth="1"/>
    <col min="12809" max="12809" width="2.28515625" style="252" customWidth="1"/>
    <col min="12810" max="12810" width="13.5703125" style="252" customWidth="1"/>
    <col min="12811" max="12811" width="2.28515625" style="252" customWidth="1"/>
    <col min="12812" max="12812" width="13.5703125" style="252" customWidth="1"/>
    <col min="12813" max="12813" width="2.28515625" style="252" customWidth="1"/>
    <col min="12814" max="12814" width="13.5703125" style="252" customWidth="1"/>
    <col min="12815" max="12815" width="2.28515625" style="252" customWidth="1"/>
    <col min="12816" max="12816" width="13.5703125" style="252" customWidth="1"/>
    <col min="12817" max="12817" width="2.28515625" style="252" customWidth="1"/>
    <col min="12818" max="12818" width="13.5703125" style="252" customWidth="1"/>
    <col min="12819" max="12819" width="2.28515625" style="252" customWidth="1"/>
    <col min="12820" max="12820" width="13.5703125" style="252" customWidth="1"/>
    <col min="12821" max="12821" width="4" style="252" customWidth="1"/>
    <col min="12822" max="12822" width="3.5703125" style="252" customWidth="1"/>
    <col min="12823" max="12823" width="6.7109375" style="252" bestFit="1" customWidth="1"/>
    <col min="12824" max="12824" width="12.7109375" style="252" bestFit="1" customWidth="1"/>
    <col min="12825" max="12825" width="40.28515625" style="252" bestFit="1" customWidth="1"/>
    <col min="12826" max="12826" width="2.28515625" style="252" customWidth="1"/>
    <col min="12827" max="12827" width="13.5703125" style="252" customWidth="1"/>
    <col min="12828" max="12828" width="2.28515625" style="252" customWidth="1"/>
    <col min="12829" max="12829" width="13.5703125" style="252" customWidth="1"/>
    <col min="12830" max="12830" width="2.28515625" style="252" customWidth="1"/>
    <col min="12831" max="12831" width="13.5703125" style="252" customWidth="1"/>
    <col min="12832" max="12832" width="2.28515625" style="252" customWidth="1"/>
    <col min="12833" max="12833" width="13.5703125" style="252" customWidth="1"/>
    <col min="12834" max="12834" width="2.28515625" style="252" customWidth="1"/>
    <col min="12835" max="12835" width="13.5703125" style="252" customWidth="1"/>
    <col min="12836" max="12836" width="2.28515625" style="252" customWidth="1"/>
    <col min="12837" max="12837" width="13.5703125" style="252" customWidth="1"/>
    <col min="12838" max="12838" width="2.28515625" style="252" customWidth="1"/>
    <col min="12839" max="12839" width="13.5703125" style="252" customWidth="1"/>
    <col min="12840" max="12840" width="2.28515625" style="252" customWidth="1"/>
    <col min="12841" max="12841" width="13.5703125" style="252" customWidth="1"/>
    <col min="12842" max="12842" width="3.42578125" style="252" customWidth="1"/>
    <col min="12843" max="13056" width="9.140625" style="252"/>
    <col min="13057" max="13057" width="3.5703125" style="252" customWidth="1"/>
    <col min="13058" max="13058" width="6.7109375" style="252" bestFit="1" customWidth="1"/>
    <col min="13059" max="13059" width="12" style="252" bestFit="1" customWidth="1"/>
    <col min="13060" max="13060" width="40.28515625" style="252" bestFit="1" customWidth="1"/>
    <col min="13061" max="13061" width="2.28515625" style="252" customWidth="1"/>
    <col min="13062" max="13062" width="13.5703125" style="252" customWidth="1"/>
    <col min="13063" max="13063" width="2.28515625" style="252" customWidth="1"/>
    <col min="13064" max="13064" width="13.5703125" style="252" customWidth="1"/>
    <col min="13065" max="13065" width="2.28515625" style="252" customWidth="1"/>
    <col min="13066" max="13066" width="13.5703125" style="252" customWidth="1"/>
    <col min="13067" max="13067" width="2.28515625" style="252" customWidth="1"/>
    <col min="13068" max="13068" width="13.5703125" style="252" customWidth="1"/>
    <col min="13069" max="13069" width="2.28515625" style="252" customWidth="1"/>
    <col min="13070" max="13070" width="13.5703125" style="252" customWidth="1"/>
    <col min="13071" max="13071" width="2.28515625" style="252" customWidth="1"/>
    <col min="13072" max="13072" width="13.5703125" style="252" customWidth="1"/>
    <col min="13073" max="13073" width="2.28515625" style="252" customWidth="1"/>
    <col min="13074" max="13074" width="13.5703125" style="252" customWidth="1"/>
    <col min="13075" max="13075" width="2.28515625" style="252" customWidth="1"/>
    <col min="13076" max="13076" width="13.5703125" style="252" customWidth="1"/>
    <col min="13077" max="13077" width="4" style="252" customWidth="1"/>
    <col min="13078" max="13078" width="3.5703125" style="252" customWidth="1"/>
    <col min="13079" max="13079" width="6.7109375" style="252" bestFit="1" customWidth="1"/>
    <col min="13080" max="13080" width="12.7109375" style="252" bestFit="1" customWidth="1"/>
    <col min="13081" max="13081" width="40.28515625" style="252" bestFit="1" customWidth="1"/>
    <col min="13082" max="13082" width="2.28515625" style="252" customWidth="1"/>
    <col min="13083" max="13083" width="13.5703125" style="252" customWidth="1"/>
    <col min="13084" max="13084" width="2.28515625" style="252" customWidth="1"/>
    <col min="13085" max="13085" width="13.5703125" style="252" customWidth="1"/>
    <col min="13086" max="13086" width="2.28515625" style="252" customWidth="1"/>
    <col min="13087" max="13087" width="13.5703125" style="252" customWidth="1"/>
    <col min="13088" max="13088" width="2.28515625" style="252" customWidth="1"/>
    <col min="13089" max="13089" width="13.5703125" style="252" customWidth="1"/>
    <col min="13090" max="13090" width="2.28515625" style="252" customWidth="1"/>
    <col min="13091" max="13091" width="13.5703125" style="252" customWidth="1"/>
    <col min="13092" max="13092" width="2.28515625" style="252" customWidth="1"/>
    <col min="13093" max="13093" width="13.5703125" style="252" customWidth="1"/>
    <col min="13094" max="13094" width="2.28515625" style="252" customWidth="1"/>
    <col min="13095" max="13095" width="13.5703125" style="252" customWidth="1"/>
    <col min="13096" max="13096" width="2.28515625" style="252" customWidth="1"/>
    <col min="13097" max="13097" width="13.5703125" style="252" customWidth="1"/>
    <col min="13098" max="13098" width="3.42578125" style="252" customWidth="1"/>
    <col min="13099" max="13312" width="9.140625" style="252"/>
    <col min="13313" max="13313" width="3.5703125" style="252" customWidth="1"/>
    <col min="13314" max="13314" width="6.7109375" style="252" bestFit="1" customWidth="1"/>
    <col min="13315" max="13315" width="12" style="252" bestFit="1" customWidth="1"/>
    <col min="13316" max="13316" width="40.28515625" style="252" bestFit="1" customWidth="1"/>
    <col min="13317" max="13317" width="2.28515625" style="252" customWidth="1"/>
    <col min="13318" max="13318" width="13.5703125" style="252" customWidth="1"/>
    <col min="13319" max="13319" width="2.28515625" style="252" customWidth="1"/>
    <col min="13320" max="13320" width="13.5703125" style="252" customWidth="1"/>
    <col min="13321" max="13321" width="2.28515625" style="252" customWidth="1"/>
    <col min="13322" max="13322" width="13.5703125" style="252" customWidth="1"/>
    <col min="13323" max="13323" width="2.28515625" style="252" customWidth="1"/>
    <col min="13324" max="13324" width="13.5703125" style="252" customWidth="1"/>
    <col min="13325" max="13325" width="2.28515625" style="252" customWidth="1"/>
    <col min="13326" max="13326" width="13.5703125" style="252" customWidth="1"/>
    <col min="13327" max="13327" width="2.28515625" style="252" customWidth="1"/>
    <col min="13328" max="13328" width="13.5703125" style="252" customWidth="1"/>
    <col min="13329" max="13329" width="2.28515625" style="252" customWidth="1"/>
    <col min="13330" max="13330" width="13.5703125" style="252" customWidth="1"/>
    <col min="13331" max="13331" width="2.28515625" style="252" customWidth="1"/>
    <col min="13332" max="13332" width="13.5703125" style="252" customWidth="1"/>
    <col min="13333" max="13333" width="4" style="252" customWidth="1"/>
    <col min="13334" max="13334" width="3.5703125" style="252" customWidth="1"/>
    <col min="13335" max="13335" width="6.7109375" style="252" bestFit="1" customWidth="1"/>
    <col min="13336" max="13336" width="12.7109375" style="252" bestFit="1" customWidth="1"/>
    <col min="13337" max="13337" width="40.28515625" style="252" bestFit="1" customWidth="1"/>
    <col min="13338" max="13338" width="2.28515625" style="252" customWidth="1"/>
    <col min="13339" max="13339" width="13.5703125" style="252" customWidth="1"/>
    <col min="13340" max="13340" width="2.28515625" style="252" customWidth="1"/>
    <col min="13341" max="13341" width="13.5703125" style="252" customWidth="1"/>
    <col min="13342" max="13342" width="2.28515625" style="252" customWidth="1"/>
    <col min="13343" max="13343" width="13.5703125" style="252" customWidth="1"/>
    <col min="13344" max="13344" width="2.28515625" style="252" customWidth="1"/>
    <col min="13345" max="13345" width="13.5703125" style="252" customWidth="1"/>
    <col min="13346" max="13346" width="2.28515625" style="252" customWidth="1"/>
    <col min="13347" max="13347" width="13.5703125" style="252" customWidth="1"/>
    <col min="13348" max="13348" width="2.28515625" style="252" customWidth="1"/>
    <col min="13349" max="13349" width="13.5703125" style="252" customWidth="1"/>
    <col min="13350" max="13350" width="2.28515625" style="252" customWidth="1"/>
    <col min="13351" max="13351" width="13.5703125" style="252" customWidth="1"/>
    <col min="13352" max="13352" width="2.28515625" style="252" customWidth="1"/>
    <col min="13353" max="13353" width="13.5703125" style="252" customWidth="1"/>
    <col min="13354" max="13354" width="3.42578125" style="252" customWidth="1"/>
    <col min="13355" max="13568" width="9.140625" style="252"/>
    <col min="13569" max="13569" width="3.5703125" style="252" customWidth="1"/>
    <col min="13570" max="13570" width="6.7109375" style="252" bestFit="1" customWidth="1"/>
    <col min="13571" max="13571" width="12" style="252" bestFit="1" customWidth="1"/>
    <col min="13572" max="13572" width="40.28515625" style="252" bestFit="1" customWidth="1"/>
    <col min="13573" max="13573" width="2.28515625" style="252" customWidth="1"/>
    <col min="13574" max="13574" width="13.5703125" style="252" customWidth="1"/>
    <col min="13575" max="13575" width="2.28515625" style="252" customWidth="1"/>
    <col min="13576" max="13576" width="13.5703125" style="252" customWidth="1"/>
    <col min="13577" max="13577" width="2.28515625" style="252" customWidth="1"/>
    <col min="13578" max="13578" width="13.5703125" style="252" customWidth="1"/>
    <col min="13579" max="13579" width="2.28515625" style="252" customWidth="1"/>
    <col min="13580" max="13580" width="13.5703125" style="252" customWidth="1"/>
    <col min="13581" max="13581" width="2.28515625" style="252" customWidth="1"/>
    <col min="13582" max="13582" width="13.5703125" style="252" customWidth="1"/>
    <col min="13583" max="13583" width="2.28515625" style="252" customWidth="1"/>
    <col min="13584" max="13584" width="13.5703125" style="252" customWidth="1"/>
    <col min="13585" max="13585" width="2.28515625" style="252" customWidth="1"/>
    <col min="13586" max="13586" width="13.5703125" style="252" customWidth="1"/>
    <col min="13587" max="13587" width="2.28515625" style="252" customWidth="1"/>
    <col min="13588" max="13588" width="13.5703125" style="252" customWidth="1"/>
    <col min="13589" max="13589" width="4" style="252" customWidth="1"/>
    <col min="13590" max="13590" width="3.5703125" style="252" customWidth="1"/>
    <col min="13591" max="13591" width="6.7109375" style="252" bestFit="1" customWidth="1"/>
    <col min="13592" max="13592" width="12.7109375" style="252" bestFit="1" customWidth="1"/>
    <col min="13593" max="13593" width="40.28515625" style="252" bestFit="1" customWidth="1"/>
    <col min="13594" max="13594" width="2.28515625" style="252" customWidth="1"/>
    <col min="13595" max="13595" width="13.5703125" style="252" customWidth="1"/>
    <col min="13596" max="13596" width="2.28515625" style="252" customWidth="1"/>
    <col min="13597" max="13597" width="13.5703125" style="252" customWidth="1"/>
    <col min="13598" max="13598" width="2.28515625" style="252" customWidth="1"/>
    <col min="13599" max="13599" width="13.5703125" style="252" customWidth="1"/>
    <col min="13600" max="13600" width="2.28515625" style="252" customWidth="1"/>
    <col min="13601" max="13601" width="13.5703125" style="252" customWidth="1"/>
    <col min="13602" max="13602" width="2.28515625" style="252" customWidth="1"/>
    <col min="13603" max="13603" width="13.5703125" style="252" customWidth="1"/>
    <col min="13604" max="13604" width="2.28515625" style="252" customWidth="1"/>
    <col min="13605" max="13605" width="13.5703125" style="252" customWidth="1"/>
    <col min="13606" max="13606" width="2.28515625" style="252" customWidth="1"/>
    <col min="13607" max="13607" width="13.5703125" style="252" customWidth="1"/>
    <col min="13608" max="13608" width="2.28515625" style="252" customWidth="1"/>
    <col min="13609" max="13609" width="13.5703125" style="252" customWidth="1"/>
    <col min="13610" max="13610" width="3.42578125" style="252" customWidth="1"/>
    <col min="13611" max="13824" width="9.140625" style="252"/>
    <col min="13825" max="13825" width="3.5703125" style="252" customWidth="1"/>
    <col min="13826" max="13826" width="6.7109375" style="252" bestFit="1" customWidth="1"/>
    <col min="13827" max="13827" width="12" style="252" bestFit="1" customWidth="1"/>
    <col min="13828" max="13828" width="40.28515625" style="252" bestFit="1" customWidth="1"/>
    <col min="13829" max="13829" width="2.28515625" style="252" customWidth="1"/>
    <col min="13830" max="13830" width="13.5703125" style="252" customWidth="1"/>
    <col min="13831" max="13831" width="2.28515625" style="252" customWidth="1"/>
    <col min="13832" max="13832" width="13.5703125" style="252" customWidth="1"/>
    <col min="13833" max="13833" width="2.28515625" style="252" customWidth="1"/>
    <col min="13834" max="13834" width="13.5703125" style="252" customWidth="1"/>
    <col min="13835" max="13835" width="2.28515625" style="252" customWidth="1"/>
    <col min="13836" max="13836" width="13.5703125" style="252" customWidth="1"/>
    <col min="13837" max="13837" width="2.28515625" style="252" customWidth="1"/>
    <col min="13838" max="13838" width="13.5703125" style="252" customWidth="1"/>
    <col min="13839" max="13839" width="2.28515625" style="252" customWidth="1"/>
    <col min="13840" max="13840" width="13.5703125" style="252" customWidth="1"/>
    <col min="13841" max="13841" width="2.28515625" style="252" customWidth="1"/>
    <col min="13842" max="13842" width="13.5703125" style="252" customWidth="1"/>
    <col min="13843" max="13843" width="2.28515625" style="252" customWidth="1"/>
    <col min="13844" max="13844" width="13.5703125" style="252" customWidth="1"/>
    <col min="13845" max="13845" width="4" style="252" customWidth="1"/>
    <col min="13846" max="13846" width="3.5703125" style="252" customWidth="1"/>
    <col min="13847" max="13847" width="6.7109375" style="252" bestFit="1" customWidth="1"/>
    <col min="13848" max="13848" width="12.7109375" style="252" bestFit="1" customWidth="1"/>
    <col min="13849" max="13849" width="40.28515625" style="252" bestFit="1" customWidth="1"/>
    <col min="13850" max="13850" width="2.28515625" style="252" customWidth="1"/>
    <col min="13851" max="13851" width="13.5703125" style="252" customWidth="1"/>
    <col min="13852" max="13852" width="2.28515625" style="252" customWidth="1"/>
    <col min="13853" max="13853" width="13.5703125" style="252" customWidth="1"/>
    <col min="13854" max="13854" width="2.28515625" style="252" customWidth="1"/>
    <col min="13855" max="13855" width="13.5703125" style="252" customWidth="1"/>
    <col min="13856" max="13856" width="2.28515625" style="252" customWidth="1"/>
    <col min="13857" max="13857" width="13.5703125" style="252" customWidth="1"/>
    <col min="13858" max="13858" width="2.28515625" style="252" customWidth="1"/>
    <col min="13859" max="13859" width="13.5703125" style="252" customWidth="1"/>
    <col min="13860" max="13860" width="2.28515625" style="252" customWidth="1"/>
    <col min="13861" max="13861" width="13.5703125" style="252" customWidth="1"/>
    <col min="13862" max="13862" width="2.28515625" style="252" customWidth="1"/>
    <col min="13863" max="13863" width="13.5703125" style="252" customWidth="1"/>
    <col min="13864" max="13864" width="2.28515625" style="252" customWidth="1"/>
    <col min="13865" max="13865" width="13.5703125" style="252" customWidth="1"/>
    <col min="13866" max="13866" width="3.42578125" style="252" customWidth="1"/>
    <col min="13867" max="14080" width="9.140625" style="252"/>
    <col min="14081" max="14081" width="3.5703125" style="252" customWidth="1"/>
    <col min="14082" max="14082" width="6.7109375" style="252" bestFit="1" customWidth="1"/>
    <col min="14083" max="14083" width="12" style="252" bestFit="1" customWidth="1"/>
    <col min="14084" max="14084" width="40.28515625" style="252" bestFit="1" customWidth="1"/>
    <col min="14085" max="14085" width="2.28515625" style="252" customWidth="1"/>
    <col min="14086" max="14086" width="13.5703125" style="252" customWidth="1"/>
    <col min="14087" max="14087" width="2.28515625" style="252" customWidth="1"/>
    <col min="14088" max="14088" width="13.5703125" style="252" customWidth="1"/>
    <col min="14089" max="14089" width="2.28515625" style="252" customWidth="1"/>
    <col min="14090" max="14090" width="13.5703125" style="252" customWidth="1"/>
    <col min="14091" max="14091" width="2.28515625" style="252" customWidth="1"/>
    <col min="14092" max="14092" width="13.5703125" style="252" customWidth="1"/>
    <col min="14093" max="14093" width="2.28515625" style="252" customWidth="1"/>
    <col min="14094" max="14094" width="13.5703125" style="252" customWidth="1"/>
    <col min="14095" max="14095" width="2.28515625" style="252" customWidth="1"/>
    <col min="14096" max="14096" width="13.5703125" style="252" customWidth="1"/>
    <col min="14097" max="14097" width="2.28515625" style="252" customWidth="1"/>
    <col min="14098" max="14098" width="13.5703125" style="252" customWidth="1"/>
    <col min="14099" max="14099" width="2.28515625" style="252" customWidth="1"/>
    <col min="14100" max="14100" width="13.5703125" style="252" customWidth="1"/>
    <col min="14101" max="14101" width="4" style="252" customWidth="1"/>
    <col min="14102" max="14102" width="3.5703125" style="252" customWidth="1"/>
    <col min="14103" max="14103" width="6.7109375" style="252" bestFit="1" customWidth="1"/>
    <col min="14104" max="14104" width="12.7109375" style="252" bestFit="1" customWidth="1"/>
    <col min="14105" max="14105" width="40.28515625" style="252" bestFit="1" customWidth="1"/>
    <col min="14106" max="14106" width="2.28515625" style="252" customWidth="1"/>
    <col min="14107" max="14107" width="13.5703125" style="252" customWidth="1"/>
    <col min="14108" max="14108" width="2.28515625" style="252" customWidth="1"/>
    <col min="14109" max="14109" width="13.5703125" style="252" customWidth="1"/>
    <col min="14110" max="14110" width="2.28515625" style="252" customWidth="1"/>
    <col min="14111" max="14111" width="13.5703125" style="252" customWidth="1"/>
    <col min="14112" max="14112" width="2.28515625" style="252" customWidth="1"/>
    <col min="14113" max="14113" width="13.5703125" style="252" customWidth="1"/>
    <col min="14114" max="14114" width="2.28515625" style="252" customWidth="1"/>
    <col min="14115" max="14115" width="13.5703125" style="252" customWidth="1"/>
    <col min="14116" max="14116" width="2.28515625" style="252" customWidth="1"/>
    <col min="14117" max="14117" width="13.5703125" style="252" customWidth="1"/>
    <col min="14118" max="14118" width="2.28515625" style="252" customWidth="1"/>
    <col min="14119" max="14119" width="13.5703125" style="252" customWidth="1"/>
    <col min="14120" max="14120" width="2.28515625" style="252" customWidth="1"/>
    <col min="14121" max="14121" width="13.5703125" style="252" customWidth="1"/>
    <col min="14122" max="14122" width="3.42578125" style="252" customWidth="1"/>
    <col min="14123" max="14336" width="9.140625" style="252"/>
    <col min="14337" max="14337" width="3.5703125" style="252" customWidth="1"/>
    <col min="14338" max="14338" width="6.7109375" style="252" bestFit="1" customWidth="1"/>
    <col min="14339" max="14339" width="12" style="252" bestFit="1" customWidth="1"/>
    <col min="14340" max="14340" width="40.28515625" style="252" bestFit="1" customWidth="1"/>
    <col min="14341" max="14341" width="2.28515625" style="252" customWidth="1"/>
    <col min="14342" max="14342" width="13.5703125" style="252" customWidth="1"/>
    <col min="14343" max="14343" width="2.28515625" style="252" customWidth="1"/>
    <col min="14344" max="14344" width="13.5703125" style="252" customWidth="1"/>
    <col min="14345" max="14345" width="2.28515625" style="252" customWidth="1"/>
    <col min="14346" max="14346" width="13.5703125" style="252" customWidth="1"/>
    <col min="14347" max="14347" width="2.28515625" style="252" customWidth="1"/>
    <col min="14348" max="14348" width="13.5703125" style="252" customWidth="1"/>
    <col min="14349" max="14349" width="2.28515625" style="252" customWidth="1"/>
    <col min="14350" max="14350" width="13.5703125" style="252" customWidth="1"/>
    <col min="14351" max="14351" width="2.28515625" style="252" customWidth="1"/>
    <col min="14352" max="14352" width="13.5703125" style="252" customWidth="1"/>
    <col min="14353" max="14353" width="2.28515625" style="252" customWidth="1"/>
    <col min="14354" max="14354" width="13.5703125" style="252" customWidth="1"/>
    <col min="14355" max="14355" width="2.28515625" style="252" customWidth="1"/>
    <col min="14356" max="14356" width="13.5703125" style="252" customWidth="1"/>
    <col min="14357" max="14357" width="4" style="252" customWidth="1"/>
    <col min="14358" max="14358" width="3.5703125" style="252" customWidth="1"/>
    <col min="14359" max="14359" width="6.7109375" style="252" bestFit="1" customWidth="1"/>
    <col min="14360" max="14360" width="12.7109375" style="252" bestFit="1" customWidth="1"/>
    <col min="14361" max="14361" width="40.28515625" style="252" bestFit="1" customWidth="1"/>
    <col min="14362" max="14362" width="2.28515625" style="252" customWidth="1"/>
    <col min="14363" max="14363" width="13.5703125" style="252" customWidth="1"/>
    <col min="14364" max="14364" width="2.28515625" style="252" customWidth="1"/>
    <col min="14365" max="14365" width="13.5703125" style="252" customWidth="1"/>
    <col min="14366" max="14366" width="2.28515625" style="252" customWidth="1"/>
    <col min="14367" max="14367" width="13.5703125" style="252" customWidth="1"/>
    <col min="14368" max="14368" width="2.28515625" style="252" customWidth="1"/>
    <col min="14369" max="14369" width="13.5703125" style="252" customWidth="1"/>
    <col min="14370" max="14370" width="2.28515625" style="252" customWidth="1"/>
    <col min="14371" max="14371" width="13.5703125" style="252" customWidth="1"/>
    <col min="14372" max="14372" width="2.28515625" style="252" customWidth="1"/>
    <col min="14373" max="14373" width="13.5703125" style="252" customWidth="1"/>
    <col min="14374" max="14374" width="2.28515625" style="252" customWidth="1"/>
    <col min="14375" max="14375" width="13.5703125" style="252" customWidth="1"/>
    <col min="14376" max="14376" width="2.28515625" style="252" customWidth="1"/>
    <col min="14377" max="14377" width="13.5703125" style="252" customWidth="1"/>
    <col min="14378" max="14378" width="3.42578125" style="252" customWidth="1"/>
    <col min="14379" max="14592" width="9.140625" style="252"/>
    <col min="14593" max="14593" width="3.5703125" style="252" customWidth="1"/>
    <col min="14594" max="14594" width="6.7109375" style="252" bestFit="1" customWidth="1"/>
    <col min="14595" max="14595" width="12" style="252" bestFit="1" customWidth="1"/>
    <col min="14596" max="14596" width="40.28515625" style="252" bestFit="1" customWidth="1"/>
    <col min="14597" max="14597" width="2.28515625" style="252" customWidth="1"/>
    <col min="14598" max="14598" width="13.5703125" style="252" customWidth="1"/>
    <col min="14599" max="14599" width="2.28515625" style="252" customWidth="1"/>
    <col min="14600" max="14600" width="13.5703125" style="252" customWidth="1"/>
    <col min="14601" max="14601" width="2.28515625" style="252" customWidth="1"/>
    <col min="14602" max="14602" width="13.5703125" style="252" customWidth="1"/>
    <col min="14603" max="14603" width="2.28515625" style="252" customWidth="1"/>
    <col min="14604" max="14604" width="13.5703125" style="252" customWidth="1"/>
    <col min="14605" max="14605" width="2.28515625" style="252" customWidth="1"/>
    <col min="14606" max="14606" width="13.5703125" style="252" customWidth="1"/>
    <col min="14607" max="14607" width="2.28515625" style="252" customWidth="1"/>
    <col min="14608" max="14608" width="13.5703125" style="252" customWidth="1"/>
    <col min="14609" max="14609" width="2.28515625" style="252" customWidth="1"/>
    <col min="14610" max="14610" width="13.5703125" style="252" customWidth="1"/>
    <col min="14611" max="14611" width="2.28515625" style="252" customWidth="1"/>
    <col min="14612" max="14612" width="13.5703125" style="252" customWidth="1"/>
    <col min="14613" max="14613" width="4" style="252" customWidth="1"/>
    <col min="14614" max="14614" width="3.5703125" style="252" customWidth="1"/>
    <col min="14615" max="14615" width="6.7109375" style="252" bestFit="1" customWidth="1"/>
    <col min="14616" max="14616" width="12.7109375" style="252" bestFit="1" customWidth="1"/>
    <col min="14617" max="14617" width="40.28515625" style="252" bestFit="1" customWidth="1"/>
    <col min="14618" max="14618" width="2.28515625" style="252" customWidth="1"/>
    <col min="14619" max="14619" width="13.5703125" style="252" customWidth="1"/>
    <col min="14620" max="14620" width="2.28515625" style="252" customWidth="1"/>
    <col min="14621" max="14621" width="13.5703125" style="252" customWidth="1"/>
    <col min="14622" max="14622" width="2.28515625" style="252" customWidth="1"/>
    <col min="14623" max="14623" width="13.5703125" style="252" customWidth="1"/>
    <col min="14624" max="14624" width="2.28515625" style="252" customWidth="1"/>
    <col min="14625" max="14625" width="13.5703125" style="252" customWidth="1"/>
    <col min="14626" max="14626" width="2.28515625" style="252" customWidth="1"/>
    <col min="14627" max="14627" width="13.5703125" style="252" customWidth="1"/>
    <col min="14628" max="14628" width="2.28515625" style="252" customWidth="1"/>
    <col min="14629" max="14629" width="13.5703125" style="252" customWidth="1"/>
    <col min="14630" max="14630" width="2.28515625" style="252" customWidth="1"/>
    <col min="14631" max="14631" width="13.5703125" style="252" customWidth="1"/>
    <col min="14632" max="14632" width="2.28515625" style="252" customWidth="1"/>
    <col min="14633" max="14633" width="13.5703125" style="252" customWidth="1"/>
    <col min="14634" max="14634" width="3.42578125" style="252" customWidth="1"/>
    <col min="14635" max="14848" width="9.140625" style="252"/>
    <col min="14849" max="14849" width="3.5703125" style="252" customWidth="1"/>
    <col min="14850" max="14850" width="6.7109375" style="252" bestFit="1" customWidth="1"/>
    <col min="14851" max="14851" width="12" style="252" bestFit="1" customWidth="1"/>
    <col min="14852" max="14852" width="40.28515625" style="252" bestFit="1" customWidth="1"/>
    <col min="14853" max="14853" width="2.28515625" style="252" customWidth="1"/>
    <col min="14854" max="14854" width="13.5703125" style="252" customWidth="1"/>
    <col min="14855" max="14855" width="2.28515625" style="252" customWidth="1"/>
    <col min="14856" max="14856" width="13.5703125" style="252" customWidth="1"/>
    <col min="14857" max="14857" width="2.28515625" style="252" customWidth="1"/>
    <col min="14858" max="14858" width="13.5703125" style="252" customWidth="1"/>
    <col min="14859" max="14859" width="2.28515625" style="252" customWidth="1"/>
    <col min="14860" max="14860" width="13.5703125" style="252" customWidth="1"/>
    <col min="14861" max="14861" width="2.28515625" style="252" customWidth="1"/>
    <col min="14862" max="14862" width="13.5703125" style="252" customWidth="1"/>
    <col min="14863" max="14863" width="2.28515625" style="252" customWidth="1"/>
    <col min="14864" max="14864" width="13.5703125" style="252" customWidth="1"/>
    <col min="14865" max="14865" width="2.28515625" style="252" customWidth="1"/>
    <col min="14866" max="14866" width="13.5703125" style="252" customWidth="1"/>
    <col min="14867" max="14867" width="2.28515625" style="252" customWidth="1"/>
    <col min="14868" max="14868" width="13.5703125" style="252" customWidth="1"/>
    <col min="14869" max="14869" width="4" style="252" customWidth="1"/>
    <col min="14870" max="14870" width="3.5703125" style="252" customWidth="1"/>
    <col min="14871" max="14871" width="6.7109375" style="252" bestFit="1" customWidth="1"/>
    <col min="14872" max="14872" width="12.7109375" style="252" bestFit="1" customWidth="1"/>
    <col min="14873" max="14873" width="40.28515625" style="252" bestFit="1" customWidth="1"/>
    <col min="14874" max="14874" width="2.28515625" style="252" customWidth="1"/>
    <col min="14875" max="14875" width="13.5703125" style="252" customWidth="1"/>
    <col min="14876" max="14876" width="2.28515625" style="252" customWidth="1"/>
    <col min="14877" max="14877" width="13.5703125" style="252" customWidth="1"/>
    <col min="14878" max="14878" width="2.28515625" style="252" customWidth="1"/>
    <col min="14879" max="14879" width="13.5703125" style="252" customWidth="1"/>
    <col min="14880" max="14880" width="2.28515625" style="252" customWidth="1"/>
    <col min="14881" max="14881" width="13.5703125" style="252" customWidth="1"/>
    <col min="14882" max="14882" width="2.28515625" style="252" customWidth="1"/>
    <col min="14883" max="14883" width="13.5703125" style="252" customWidth="1"/>
    <col min="14884" max="14884" width="2.28515625" style="252" customWidth="1"/>
    <col min="14885" max="14885" width="13.5703125" style="252" customWidth="1"/>
    <col min="14886" max="14886" width="2.28515625" style="252" customWidth="1"/>
    <col min="14887" max="14887" width="13.5703125" style="252" customWidth="1"/>
    <col min="14888" max="14888" width="2.28515625" style="252" customWidth="1"/>
    <col min="14889" max="14889" width="13.5703125" style="252" customWidth="1"/>
    <col min="14890" max="14890" width="3.42578125" style="252" customWidth="1"/>
    <col min="14891" max="15104" width="9.140625" style="252"/>
    <col min="15105" max="15105" width="3.5703125" style="252" customWidth="1"/>
    <col min="15106" max="15106" width="6.7109375" style="252" bestFit="1" customWidth="1"/>
    <col min="15107" max="15107" width="12" style="252" bestFit="1" customWidth="1"/>
    <col min="15108" max="15108" width="40.28515625" style="252" bestFit="1" customWidth="1"/>
    <col min="15109" max="15109" width="2.28515625" style="252" customWidth="1"/>
    <col min="15110" max="15110" width="13.5703125" style="252" customWidth="1"/>
    <col min="15111" max="15111" width="2.28515625" style="252" customWidth="1"/>
    <col min="15112" max="15112" width="13.5703125" style="252" customWidth="1"/>
    <col min="15113" max="15113" width="2.28515625" style="252" customWidth="1"/>
    <col min="15114" max="15114" width="13.5703125" style="252" customWidth="1"/>
    <col min="15115" max="15115" width="2.28515625" style="252" customWidth="1"/>
    <col min="15116" max="15116" width="13.5703125" style="252" customWidth="1"/>
    <col min="15117" max="15117" width="2.28515625" style="252" customWidth="1"/>
    <col min="15118" max="15118" width="13.5703125" style="252" customWidth="1"/>
    <col min="15119" max="15119" width="2.28515625" style="252" customWidth="1"/>
    <col min="15120" max="15120" width="13.5703125" style="252" customWidth="1"/>
    <col min="15121" max="15121" width="2.28515625" style="252" customWidth="1"/>
    <col min="15122" max="15122" width="13.5703125" style="252" customWidth="1"/>
    <col min="15123" max="15123" width="2.28515625" style="252" customWidth="1"/>
    <col min="15124" max="15124" width="13.5703125" style="252" customWidth="1"/>
    <col min="15125" max="15125" width="4" style="252" customWidth="1"/>
    <col min="15126" max="15126" width="3.5703125" style="252" customWidth="1"/>
    <col min="15127" max="15127" width="6.7109375" style="252" bestFit="1" customWidth="1"/>
    <col min="15128" max="15128" width="12.7109375" style="252" bestFit="1" customWidth="1"/>
    <col min="15129" max="15129" width="40.28515625" style="252" bestFit="1" customWidth="1"/>
    <col min="15130" max="15130" width="2.28515625" style="252" customWidth="1"/>
    <col min="15131" max="15131" width="13.5703125" style="252" customWidth="1"/>
    <col min="15132" max="15132" width="2.28515625" style="252" customWidth="1"/>
    <col min="15133" max="15133" width="13.5703125" style="252" customWidth="1"/>
    <col min="15134" max="15134" width="2.28515625" style="252" customWidth="1"/>
    <col min="15135" max="15135" width="13.5703125" style="252" customWidth="1"/>
    <col min="15136" max="15136" width="2.28515625" style="252" customWidth="1"/>
    <col min="15137" max="15137" width="13.5703125" style="252" customWidth="1"/>
    <col min="15138" max="15138" width="2.28515625" style="252" customWidth="1"/>
    <col min="15139" max="15139" width="13.5703125" style="252" customWidth="1"/>
    <col min="15140" max="15140" width="2.28515625" style="252" customWidth="1"/>
    <col min="15141" max="15141" width="13.5703125" style="252" customWidth="1"/>
    <col min="15142" max="15142" width="2.28515625" style="252" customWidth="1"/>
    <col min="15143" max="15143" width="13.5703125" style="252" customWidth="1"/>
    <col min="15144" max="15144" width="2.28515625" style="252" customWidth="1"/>
    <col min="15145" max="15145" width="13.5703125" style="252" customWidth="1"/>
    <col min="15146" max="15146" width="3.42578125" style="252" customWidth="1"/>
    <col min="15147" max="15360" width="9.140625" style="252"/>
    <col min="15361" max="15361" width="3.5703125" style="252" customWidth="1"/>
    <col min="15362" max="15362" width="6.7109375" style="252" bestFit="1" customWidth="1"/>
    <col min="15363" max="15363" width="12" style="252" bestFit="1" customWidth="1"/>
    <col min="15364" max="15364" width="40.28515625" style="252" bestFit="1" customWidth="1"/>
    <col min="15365" max="15365" width="2.28515625" style="252" customWidth="1"/>
    <col min="15366" max="15366" width="13.5703125" style="252" customWidth="1"/>
    <col min="15367" max="15367" width="2.28515625" style="252" customWidth="1"/>
    <col min="15368" max="15368" width="13.5703125" style="252" customWidth="1"/>
    <col min="15369" max="15369" width="2.28515625" style="252" customWidth="1"/>
    <col min="15370" max="15370" width="13.5703125" style="252" customWidth="1"/>
    <col min="15371" max="15371" width="2.28515625" style="252" customWidth="1"/>
    <col min="15372" max="15372" width="13.5703125" style="252" customWidth="1"/>
    <col min="15373" max="15373" width="2.28515625" style="252" customWidth="1"/>
    <col min="15374" max="15374" width="13.5703125" style="252" customWidth="1"/>
    <col min="15375" max="15375" width="2.28515625" style="252" customWidth="1"/>
    <col min="15376" max="15376" width="13.5703125" style="252" customWidth="1"/>
    <col min="15377" max="15377" width="2.28515625" style="252" customWidth="1"/>
    <col min="15378" max="15378" width="13.5703125" style="252" customWidth="1"/>
    <col min="15379" max="15379" width="2.28515625" style="252" customWidth="1"/>
    <col min="15380" max="15380" width="13.5703125" style="252" customWidth="1"/>
    <col min="15381" max="15381" width="4" style="252" customWidth="1"/>
    <col min="15382" max="15382" width="3.5703125" style="252" customWidth="1"/>
    <col min="15383" max="15383" width="6.7109375" style="252" bestFit="1" customWidth="1"/>
    <col min="15384" max="15384" width="12.7109375" style="252" bestFit="1" customWidth="1"/>
    <col min="15385" max="15385" width="40.28515625" style="252" bestFit="1" customWidth="1"/>
    <col min="15386" max="15386" width="2.28515625" style="252" customWidth="1"/>
    <col min="15387" max="15387" width="13.5703125" style="252" customWidth="1"/>
    <col min="15388" max="15388" width="2.28515625" style="252" customWidth="1"/>
    <col min="15389" max="15389" width="13.5703125" style="252" customWidth="1"/>
    <col min="15390" max="15390" width="2.28515625" style="252" customWidth="1"/>
    <col min="15391" max="15391" width="13.5703125" style="252" customWidth="1"/>
    <col min="15392" max="15392" width="2.28515625" style="252" customWidth="1"/>
    <col min="15393" max="15393" width="13.5703125" style="252" customWidth="1"/>
    <col min="15394" max="15394" width="2.28515625" style="252" customWidth="1"/>
    <col min="15395" max="15395" width="13.5703125" style="252" customWidth="1"/>
    <col min="15396" max="15396" width="2.28515625" style="252" customWidth="1"/>
    <col min="15397" max="15397" width="13.5703125" style="252" customWidth="1"/>
    <col min="15398" max="15398" width="2.28515625" style="252" customWidth="1"/>
    <col min="15399" max="15399" width="13.5703125" style="252" customWidth="1"/>
    <col min="15400" max="15400" width="2.28515625" style="252" customWidth="1"/>
    <col min="15401" max="15401" width="13.5703125" style="252" customWidth="1"/>
    <col min="15402" max="15402" width="3.42578125" style="252" customWidth="1"/>
    <col min="15403" max="15616" width="9.140625" style="252"/>
    <col min="15617" max="15617" width="3.5703125" style="252" customWidth="1"/>
    <col min="15618" max="15618" width="6.7109375" style="252" bestFit="1" customWidth="1"/>
    <col min="15619" max="15619" width="12" style="252" bestFit="1" customWidth="1"/>
    <col min="15620" max="15620" width="40.28515625" style="252" bestFit="1" customWidth="1"/>
    <col min="15621" max="15621" width="2.28515625" style="252" customWidth="1"/>
    <col min="15622" max="15622" width="13.5703125" style="252" customWidth="1"/>
    <col min="15623" max="15623" width="2.28515625" style="252" customWidth="1"/>
    <col min="15624" max="15624" width="13.5703125" style="252" customWidth="1"/>
    <col min="15625" max="15625" width="2.28515625" style="252" customWidth="1"/>
    <col min="15626" max="15626" width="13.5703125" style="252" customWidth="1"/>
    <col min="15627" max="15627" width="2.28515625" style="252" customWidth="1"/>
    <col min="15628" max="15628" width="13.5703125" style="252" customWidth="1"/>
    <col min="15629" max="15629" width="2.28515625" style="252" customWidth="1"/>
    <col min="15630" max="15630" width="13.5703125" style="252" customWidth="1"/>
    <col min="15631" max="15631" width="2.28515625" style="252" customWidth="1"/>
    <col min="15632" max="15632" width="13.5703125" style="252" customWidth="1"/>
    <col min="15633" max="15633" width="2.28515625" style="252" customWidth="1"/>
    <col min="15634" max="15634" width="13.5703125" style="252" customWidth="1"/>
    <col min="15635" max="15635" width="2.28515625" style="252" customWidth="1"/>
    <col min="15636" max="15636" width="13.5703125" style="252" customWidth="1"/>
    <col min="15637" max="15637" width="4" style="252" customWidth="1"/>
    <col min="15638" max="15638" width="3.5703125" style="252" customWidth="1"/>
    <col min="15639" max="15639" width="6.7109375" style="252" bestFit="1" customWidth="1"/>
    <col min="15640" max="15640" width="12.7109375" style="252" bestFit="1" customWidth="1"/>
    <col min="15641" max="15641" width="40.28515625" style="252" bestFit="1" customWidth="1"/>
    <col min="15642" max="15642" width="2.28515625" style="252" customWidth="1"/>
    <col min="15643" max="15643" width="13.5703125" style="252" customWidth="1"/>
    <col min="15644" max="15644" width="2.28515625" style="252" customWidth="1"/>
    <col min="15645" max="15645" width="13.5703125" style="252" customWidth="1"/>
    <col min="15646" max="15646" width="2.28515625" style="252" customWidth="1"/>
    <col min="15647" max="15647" width="13.5703125" style="252" customWidth="1"/>
    <col min="15648" max="15648" width="2.28515625" style="252" customWidth="1"/>
    <col min="15649" max="15649" width="13.5703125" style="252" customWidth="1"/>
    <col min="15650" max="15650" width="2.28515625" style="252" customWidth="1"/>
    <col min="15651" max="15651" width="13.5703125" style="252" customWidth="1"/>
    <col min="15652" max="15652" width="2.28515625" style="252" customWidth="1"/>
    <col min="15653" max="15653" width="13.5703125" style="252" customWidth="1"/>
    <col min="15654" max="15654" width="2.28515625" style="252" customWidth="1"/>
    <col min="15655" max="15655" width="13.5703125" style="252" customWidth="1"/>
    <col min="15656" max="15656" width="2.28515625" style="252" customWidth="1"/>
    <col min="15657" max="15657" width="13.5703125" style="252" customWidth="1"/>
    <col min="15658" max="15658" width="3.42578125" style="252" customWidth="1"/>
    <col min="15659" max="15872" width="9.140625" style="252"/>
    <col min="15873" max="15873" width="3.5703125" style="252" customWidth="1"/>
    <col min="15874" max="15874" width="6.7109375" style="252" bestFit="1" customWidth="1"/>
    <col min="15875" max="15875" width="12" style="252" bestFit="1" customWidth="1"/>
    <col min="15876" max="15876" width="40.28515625" style="252" bestFit="1" customWidth="1"/>
    <col min="15877" max="15877" width="2.28515625" style="252" customWidth="1"/>
    <col min="15878" max="15878" width="13.5703125" style="252" customWidth="1"/>
    <col min="15879" max="15879" width="2.28515625" style="252" customWidth="1"/>
    <col min="15880" max="15880" width="13.5703125" style="252" customWidth="1"/>
    <col min="15881" max="15881" width="2.28515625" style="252" customWidth="1"/>
    <col min="15882" max="15882" width="13.5703125" style="252" customWidth="1"/>
    <col min="15883" max="15883" width="2.28515625" style="252" customWidth="1"/>
    <col min="15884" max="15884" width="13.5703125" style="252" customWidth="1"/>
    <col min="15885" max="15885" width="2.28515625" style="252" customWidth="1"/>
    <col min="15886" max="15886" width="13.5703125" style="252" customWidth="1"/>
    <col min="15887" max="15887" width="2.28515625" style="252" customWidth="1"/>
    <col min="15888" max="15888" width="13.5703125" style="252" customWidth="1"/>
    <col min="15889" max="15889" width="2.28515625" style="252" customWidth="1"/>
    <col min="15890" max="15890" width="13.5703125" style="252" customWidth="1"/>
    <col min="15891" max="15891" width="2.28515625" style="252" customWidth="1"/>
    <col min="15892" max="15892" width="13.5703125" style="252" customWidth="1"/>
    <col min="15893" max="15893" width="4" style="252" customWidth="1"/>
    <col min="15894" max="15894" width="3.5703125" style="252" customWidth="1"/>
    <col min="15895" max="15895" width="6.7109375" style="252" bestFit="1" customWidth="1"/>
    <col min="15896" max="15896" width="12.7109375" style="252" bestFit="1" customWidth="1"/>
    <col min="15897" max="15897" width="40.28515625" style="252" bestFit="1" customWidth="1"/>
    <col min="15898" max="15898" width="2.28515625" style="252" customWidth="1"/>
    <col min="15899" max="15899" width="13.5703125" style="252" customWidth="1"/>
    <col min="15900" max="15900" width="2.28515625" style="252" customWidth="1"/>
    <col min="15901" max="15901" width="13.5703125" style="252" customWidth="1"/>
    <col min="15902" max="15902" width="2.28515625" style="252" customWidth="1"/>
    <col min="15903" max="15903" width="13.5703125" style="252" customWidth="1"/>
    <col min="15904" max="15904" width="2.28515625" style="252" customWidth="1"/>
    <col min="15905" max="15905" width="13.5703125" style="252" customWidth="1"/>
    <col min="15906" max="15906" width="2.28515625" style="252" customWidth="1"/>
    <col min="15907" max="15907" width="13.5703125" style="252" customWidth="1"/>
    <col min="15908" max="15908" width="2.28515625" style="252" customWidth="1"/>
    <col min="15909" max="15909" width="13.5703125" style="252" customWidth="1"/>
    <col min="15910" max="15910" width="2.28515625" style="252" customWidth="1"/>
    <col min="15911" max="15911" width="13.5703125" style="252" customWidth="1"/>
    <col min="15912" max="15912" width="2.28515625" style="252" customWidth="1"/>
    <col min="15913" max="15913" width="13.5703125" style="252" customWidth="1"/>
    <col min="15914" max="15914" width="3.42578125" style="252" customWidth="1"/>
    <col min="15915" max="16128" width="9.140625" style="252"/>
    <col min="16129" max="16129" width="3.5703125" style="252" customWidth="1"/>
    <col min="16130" max="16130" width="6.7109375" style="252" bestFit="1" customWidth="1"/>
    <col min="16131" max="16131" width="12" style="252" bestFit="1" customWidth="1"/>
    <col min="16132" max="16132" width="40.28515625" style="252" bestFit="1" customWidth="1"/>
    <col min="16133" max="16133" width="2.28515625" style="252" customWidth="1"/>
    <col min="16134" max="16134" width="13.5703125" style="252" customWidth="1"/>
    <col min="16135" max="16135" width="2.28515625" style="252" customWidth="1"/>
    <col min="16136" max="16136" width="13.5703125" style="252" customWidth="1"/>
    <col min="16137" max="16137" width="2.28515625" style="252" customWidth="1"/>
    <col min="16138" max="16138" width="13.5703125" style="252" customWidth="1"/>
    <col min="16139" max="16139" width="2.28515625" style="252" customWidth="1"/>
    <col min="16140" max="16140" width="13.5703125" style="252" customWidth="1"/>
    <col min="16141" max="16141" width="2.28515625" style="252" customWidth="1"/>
    <col min="16142" max="16142" width="13.5703125" style="252" customWidth="1"/>
    <col min="16143" max="16143" width="2.28515625" style="252" customWidth="1"/>
    <col min="16144" max="16144" width="13.5703125" style="252" customWidth="1"/>
    <col min="16145" max="16145" width="2.28515625" style="252" customWidth="1"/>
    <col min="16146" max="16146" width="13.5703125" style="252" customWidth="1"/>
    <col min="16147" max="16147" width="2.28515625" style="252" customWidth="1"/>
    <col min="16148" max="16148" width="13.5703125" style="252" customWidth="1"/>
    <col min="16149" max="16149" width="4" style="252" customWidth="1"/>
    <col min="16150" max="16150" width="3.5703125" style="252" customWidth="1"/>
    <col min="16151" max="16151" width="6.7109375" style="252" bestFit="1" customWidth="1"/>
    <col min="16152" max="16152" width="12.7109375" style="252" bestFit="1" customWidth="1"/>
    <col min="16153" max="16153" width="40.28515625" style="252" bestFit="1" customWidth="1"/>
    <col min="16154" max="16154" width="2.28515625" style="252" customWidth="1"/>
    <col min="16155" max="16155" width="13.5703125" style="252" customWidth="1"/>
    <col min="16156" max="16156" width="2.28515625" style="252" customWidth="1"/>
    <col min="16157" max="16157" width="13.5703125" style="252" customWidth="1"/>
    <col min="16158" max="16158" width="2.28515625" style="252" customWidth="1"/>
    <col min="16159" max="16159" width="13.5703125" style="252" customWidth="1"/>
    <col min="16160" max="16160" width="2.28515625" style="252" customWidth="1"/>
    <col min="16161" max="16161" width="13.5703125" style="252" customWidth="1"/>
    <col min="16162" max="16162" width="2.28515625" style="252" customWidth="1"/>
    <col min="16163" max="16163" width="13.5703125" style="252" customWidth="1"/>
    <col min="16164" max="16164" width="2.28515625" style="252" customWidth="1"/>
    <col min="16165" max="16165" width="13.5703125" style="252" customWidth="1"/>
    <col min="16166" max="16166" width="2.28515625" style="252" customWidth="1"/>
    <col min="16167" max="16167" width="13.5703125" style="252" customWidth="1"/>
    <col min="16168" max="16168" width="2.28515625" style="252" customWidth="1"/>
    <col min="16169" max="16169" width="13.5703125" style="252" customWidth="1"/>
    <col min="16170" max="16170" width="3.42578125" style="252" customWidth="1"/>
    <col min="16171" max="16384" width="9.140625" style="252"/>
  </cols>
  <sheetData>
    <row r="1" spans="1:44" s="83" customFormat="1" ht="14.1" customHeight="1" thickBot="1" x14ac:dyDescent="0.25">
      <c r="A1" s="82" t="s">
        <v>301</v>
      </c>
      <c r="B1" s="79"/>
      <c r="C1" s="79"/>
      <c r="D1" s="79"/>
      <c r="E1" s="79"/>
      <c r="F1" s="79" t="s">
        <v>302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256">
        <v>10</v>
      </c>
      <c r="S1" s="79"/>
      <c r="T1" s="79" t="s">
        <v>323</v>
      </c>
      <c r="V1" s="82" t="s">
        <v>301</v>
      </c>
      <c r="W1" s="79"/>
      <c r="X1" s="332"/>
      <c r="Y1" s="79"/>
      <c r="Z1" s="79"/>
      <c r="AA1" s="79" t="s">
        <v>302</v>
      </c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 t="s">
        <v>324</v>
      </c>
    </row>
    <row r="2" spans="1:44" ht="14.1" customHeight="1" x14ac:dyDescent="0.2">
      <c r="A2" s="252" t="s">
        <v>129</v>
      </c>
      <c r="E2" s="260" t="s">
        <v>130</v>
      </c>
      <c r="F2" s="279" t="s">
        <v>303</v>
      </c>
      <c r="J2" s="286"/>
      <c r="K2" s="286"/>
      <c r="P2" s="286"/>
      <c r="Q2" s="286"/>
      <c r="R2" s="286" t="s">
        <v>132</v>
      </c>
      <c r="T2" s="261"/>
      <c r="V2" s="252" t="s">
        <v>129</v>
      </c>
      <c r="Z2" s="260" t="s">
        <v>130</v>
      </c>
      <c r="AA2" s="252" t="s">
        <v>303</v>
      </c>
      <c r="AE2" s="286"/>
      <c r="AF2" s="286"/>
      <c r="AH2" s="286"/>
      <c r="AJ2" s="286"/>
      <c r="AK2" s="286"/>
      <c r="AL2" s="286"/>
      <c r="AM2" s="286" t="s">
        <v>132</v>
      </c>
      <c r="AO2" s="261"/>
    </row>
    <row r="3" spans="1:44" ht="14.1" customHeight="1" x14ac:dyDescent="0.2">
      <c r="A3" s="700"/>
      <c r="B3" s="701"/>
      <c r="F3" s="279" t="s">
        <v>1399</v>
      </c>
      <c r="J3" s="260"/>
      <c r="K3" s="261"/>
      <c r="P3" s="260"/>
      <c r="Q3" s="80"/>
      <c r="R3" s="259" t="s">
        <v>1361</v>
      </c>
      <c r="T3" s="260"/>
      <c r="AA3" s="252" t="s">
        <v>1399</v>
      </c>
      <c r="AE3" s="260"/>
      <c r="AF3" s="261"/>
      <c r="AH3" s="261"/>
      <c r="AK3" s="260"/>
      <c r="AL3" s="80"/>
      <c r="AM3" s="261" t="s">
        <v>1361</v>
      </c>
      <c r="AO3" s="260"/>
    </row>
    <row r="4" spans="1:44" ht="14.1" customHeight="1" x14ac:dyDescent="0.2">
      <c r="A4" s="252" t="s">
        <v>134</v>
      </c>
      <c r="J4" s="260"/>
      <c r="K4" s="261"/>
      <c r="L4" s="260"/>
      <c r="N4" s="260"/>
      <c r="Q4" s="80"/>
      <c r="R4" s="259"/>
      <c r="T4" s="260"/>
      <c r="V4" s="252" t="s">
        <v>134</v>
      </c>
      <c r="AE4" s="260"/>
      <c r="AF4" s="261"/>
      <c r="AG4" s="260"/>
      <c r="AH4" s="261"/>
      <c r="AI4" s="260"/>
      <c r="AL4" s="80"/>
      <c r="AM4" s="261">
        <v>0</v>
      </c>
      <c r="AO4" s="260"/>
    </row>
    <row r="5" spans="1:44" ht="14.1" customHeight="1" x14ac:dyDescent="0.2">
      <c r="J5" s="260"/>
      <c r="K5" s="261"/>
      <c r="L5" s="260"/>
      <c r="N5" s="260"/>
      <c r="Q5" s="80"/>
      <c r="R5" s="259"/>
      <c r="T5" s="260"/>
      <c r="AE5" s="260"/>
      <c r="AF5" s="261"/>
      <c r="AG5" s="260"/>
      <c r="AH5" s="261"/>
      <c r="AI5" s="260"/>
      <c r="AL5" s="80"/>
      <c r="AM5" s="261"/>
      <c r="AO5" s="260"/>
    </row>
    <row r="6" spans="1:44" ht="14.1" customHeight="1" thickBot="1" x14ac:dyDescent="0.25">
      <c r="A6" s="263" t="s">
        <v>135</v>
      </c>
      <c r="B6" s="264"/>
      <c r="C6" s="264"/>
      <c r="D6" s="264"/>
      <c r="E6" s="264"/>
      <c r="F6" s="264"/>
      <c r="G6" s="264"/>
      <c r="H6" s="266"/>
      <c r="I6" s="264"/>
      <c r="J6" s="264"/>
      <c r="K6" s="264"/>
      <c r="L6" s="264"/>
      <c r="M6" s="264"/>
      <c r="N6" s="264"/>
      <c r="O6" s="264"/>
      <c r="P6" s="264"/>
      <c r="Q6" s="81"/>
      <c r="R6" s="263"/>
      <c r="S6" s="264"/>
      <c r="T6" s="264"/>
      <c r="V6" s="265" t="s">
        <v>135</v>
      </c>
      <c r="W6" s="264"/>
      <c r="X6" s="702"/>
      <c r="Y6" s="264"/>
      <c r="Z6" s="264"/>
      <c r="AA6" s="264"/>
      <c r="AB6" s="264"/>
      <c r="AC6" s="266"/>
      <c r="AD6" s="264"/>
      <c r="AE6" s="264"/>
      <c r="AF6" s="264"/>
      <c r="AG6" s="264"/>
      <c r="AH6" s="264"/>
      <c r="AI6" s="264"/>
      <c r="AJ6" s="264"/>
      <c r="AK6" s="264"/>
      <c r="AL6" s="81"/>
      <c r="AM6" s="265"/>
      <c r="AN6" s="264"/>
      <c r="AO6" s="264"/>
    </row>
    <row r="7" spans="1:44" ht="14.1" customHeight="1" x14ac:dyDescent="0.2"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X7" s="703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</row>
    <row r="8" spans="1:44" ht="14.1" customHeight="1" x14ac:dyDescent="0.2">
      <c r="C8" s="267" t="s">
        <v>136</v>
      </c>
      <c r="D8" s="267" t="s">
        <v>137</v>
      </c>
      <c r="E8" s="267"/>
      <c r="F8" s="267" t="s">
        <v>138</v>
      </c>
      <c r="G8" s="267"/>
      <c r="H8" s="267" t="s">
        <v>139</v>
      </c>
      <c r="I8" s="267"/>
      <c r="J8" s="269" t="s">
        <v>140</v>
      </c>
      <c r="L8" s="267" t="s">
        <v>141</v>
      </c>
      <c r="M8" s="267"/>
      <c r="N8" s="267" t="s">
        <v>142</v>
      </c>
      <c r="O8" s="267"/>
      <c r="P8" s="267" t="s">
        <v>143</v>
      </c>
      <c r="Q8" s="267"/>
      <c r="R8" s="267" t="s">
        <v>144</v>
      </c>
      <c r="S8" s="267"/>
      <c r="T8" s="267" t="s">
        <v>305</v>
      </c>
      <c r="X8" s="703" t="s">
        <v>136</v>
      </c>
      <c r="Y8" s="267" t="s">
        <v>137</v>
      </c>
      <c r="Z8" s="267"/>
      <c r="AA8" s="267" t="s">
        <v>138</v>
      </c>
      <c r="AB8" s="267"/>
      <c r="AC8" s="267" t="s">
        <v>139</v>
      </c>
      <c r="AD8" s="267"/>
      <c r="AE8" s="269" t="s">
        <v>140</v>
      </c>
      <c r="AG8" s="267" t="s">
        <v>141</v>
      </c>
      <c r="AI8" s="267" t="s">
        <v>142</v>
      </c>
      <c r="AJ8" s="267"/>
      <c r="AK8" s="267" t="s">
        <v>143</v>
      </c>
      <c r="AL8" s="267"/>
      <c r="AM8" s="267" t="s">
        <v>144</v>
      </c>
      <c r="AN8" s="267"/>
      <c r="AO8" s="267" t="s">
        <v>305</v>
      </c>
    </row>
    <row r="9" spans="1:44" ht="14.1" customHeight="1" x14ac:dyDescent="0.2">
      <c r="C9" s="269" t="s">
        <v>145</v>
      </c>
      <c r="D9" s="269" t="s">
        <v>145</v>
      </c>
      <c r="F9" s="267" t="s">
        <v>41</v>
      </c>
      <c r="G9" s="269"/>
      <c r="H9" s="267" t="s">
        <v>40</v>
      </c>
      <c r="I9" s="269"/>
      <c r="J9" s="267"/>
      <c r="K9" s="269"/>
      <c r="L9" s="269"/>
      <c r="M9" s="269"/>
      <c r="N9" s="269"/>
      <c r="O9" s="269"/>
      <c r="P9" s="269"/>
      <c r="Q9" s="269"/>
      <c r="R9" s="269" t="s">
        <v>41</v>
      </c>
      <c r="T9" s="269"/>
      <c r="X9" s="704" t="s">
        <v>145</v>
      </c>
      <c r="Y9" s="269" t="s">
        <v>145</v>
      </c>
      <c r="AA9" s="267" t="s">
        <v>41</v>
      </c>
      <c r="AB9" s="269"/>
      <c r="AC9" s="267" t="s">
        <v>40</v>
      </c>
      <c r="AD9" s="269"/>
      <c r="AE9" s="267"/>
      <c r="AF9" s="269"/>
      <c r="AG9" s="269"/>
      <c r="AH9" s="269"/>
      <c r="AI9" s="269"/>
      <c r="AJ9" s="269"/>
      <c r="AK9" s="269"/>
      <c r="AL9" s="269"/>
      <c r="AM9" s="269" t="s">
        <v>41</v>
      </c>
      <c r="AO9" s="269"/>
    </row>
    <row r="10" spans="1:44" ht="14.1" customHeight="1" x14ac:dyDescent="0.2">
      <c r="A10" s="252" t="s">
        <v>146</v>
      </c>
      <c r="B10" s="269"/>
      <c r="C10" s="269" t="s">
        <v>147</v>
      </c>
      <c r="D10" s="269" t="s">
        <v>147</v>
      </c>
      <c r="E10" s="267"/>
      <c r="F10" s="269" t="s">
        <v>6</v>
      </c>
      <c r="G10" s="269"/>
      <c r="H10" s="269" t="s">
        <v>6</v>
      </c>
      <c r="I10" s="269"/>
      <c r="J10" s="269"/>
      <c r="K10" s="267"/>
      <c r="L10" s="269" t="s">
        <v>306</v>
      </c>
      <c r="M10" s="269"/>
      <c r="N10" s="269" t="s">
        <v>306</v>
      </c>
      <c r="O10" s="269"/>
      <c r="P10" s="269" t="s">
        <v>150</v>
      </c>
      <c r="Q10" s="267"/>
      <c r="R10" s="267" t="s">
        <v>6</v>
      </c>
      <c r="S10" s="267"/>
      <c r="T10" s="269" t="s">
        <v>151</v>
      </c>
      <c r="V10" s="252" t="s">
        <v>146</v>
      </c>
      <c r="W10" s="269"/>
      <c r="X10" s="704" t="s">
        <v>147</v>
      </c>
      <c r="Y10" s="269" t="s">
        <v>147</v>
      </c>
      <c r="Z10" s="267"/>
      <c r="AA10" s="269" t="s">
        <v>6</v>
      </c>
      <c r="AB10" s="269"/>
      <c r="AC10" s="269" t="s">
        <v>6</v>
      </c>
      <c r="AD10" s="269"/>
      <c r="AE10" s="269"/>
      <c r="AF10" s="267"/>
      <c r="AG10" s="269" t="s">
        <v>306</v>
      </c>
      <c r="AH10" s="267"/>
      <c r="AI10" s="269" t="s">
        <v>306</v>
      </c>
      <c r="AJ10" s="261"/>
      <c r="AK10" s="269" t="s">
        <v>150</v>
      </c>
      <c r="AL10" s="267"/>
      <c r="AM10" s="267" t="s">
        <v>6</v>
      </c>
      <c r="AN10" s="267"/>
      <c r="AO10" s="269" t="s">
        <v>151</v>
      </c>
    </row>
    <row r="11" spans="1:44" ht="14.1" customHeight="1" thickBot="1" x14ac:dyDescent="0.25">
      <c r="A11" s="264" t="s">
        <v>152</v>
      </c>
      <c r="B11" s="266"/>
      <c r="C11" s="266" t="s">
        <v>52</v>
      </c>
      <c r="D11" s="266" t="s">
        <v>153</v>
      </c>
      <c r="E11" s="266"/>
      <c r="F11" s="270" t="s">
        <v>154</v>
      </c>
      <c r="G11" s="270"/>
      <c r="H11" s="270" t="s">
        <v>307</v>
      </c>
      <c r="I11" s="271"/>
      <c r="J11" s="270" t="s">
        <v>18</v>
      </c>
      <c r="K11" s="271"/>
      <c r="L11" s="270" t="s">
        <v>19</v>
      </c>
      <c r="M11" s="271"/>
      <c r="N11" s="270" t="s">
        <v>54</v>
      </c>
      <c r="O11" s="271"/>
      <c r="P11" s="272" t="s">
        <v>157</v>
      </c>
      <c r="Q11" s="272"/>
      <c r="R11" s="272" t="s">
        <v>158</v>
      </c>
      <c r="S11" s="272"/>
      <c r="T11" s="272" t="s">
        <v>3</v>
      </c>
      <c r="V11" s="264" t="s">
        <v>152</v>
      </c>
      <c r="W11" s="266"/>
      <c r="X11" s="705" t="s">
        <v>52</v>
      </c>
      <c r="Y11" s="266" t="s">
        <v>153</v>
      </c>
      <c r="Z11" s="266"/>
      <c r="AA11" s="270" t="s">
        <v>154</v>
      </c>
      <c r="AB11" s="270"/>
      <c r="AC11" s="270" t="s">
        <v>307</v>
      </c>
      <c r="AD11" s="271"/>
      <c r="AE11" s="270" t="s">
        <v>18</v>
      </c>
      <c r="AF11" s="271"/>
      <c r="AG11" s="270" t="s">
        <v>19</v>
      </c>
      <c r="AH11" s="271"/>
      <c r="AI11" s="271" t="s">
        <v>54</v>
      </c>
      <c r="AJ11" s="272"/>
      <c r="AK11" s="272" t="s">
        <v>157</v>
      </c>
      <c r="AL11" s="272"/>
      <c r="AM11" s="272" t="s">
        <v>158</v>
      </c>
      <c r="AN11" s="272"/>
      <c r="AO11" s="272" t="s">
        <v>3</v>
      </c>
    </row>
    <row r="12" spans="1:44" ht="14.1" customHeight="1" x14ac:dyDescent="0.2">
      <c r="A12" s="252">
        <v>1</v>
      </c>
      <c r="B12" s="273"/>
      <c r="V12" s="252">
        <v>1</v>
      </c>
      <c r="W12" s="273"/>
    </row>
    <row r="13" spans="1:44" ht="14.1" customHeight="1" x14ac:dyDescent="0.2">
      <c r="A13" s="252">
        <v>2</v>
      </c>
      <c r="B13" s="273"/>
      <c r="D13" s="252" t="s">
        <v>58</v>
      </c>
      <c r="V13" s="252">
        <v>2</v>
      </c>
      <c r="W13" s="273"/>
    </row>
    <row r="14" spans="1:44" ht="14.1" customHeight="1" x14ac:dyDescent="0.2">
      <c r="A14" s="252">
        <v>3</v>
      </c>
      <c r="B14" s="273"/>
      <c r="D14" s="252" t="s">
        <v>159</v>
      </c>
      <c r="F14" s="274">
        <v>9</v>
      </c>
      <c r="G14" s="275"/>
      <c r="H14" s="274">
        <v>10</v>
      </c>
      <c r="I14" s="275"/>
      <c r="J14" s="274">
        <v>11</v>
      </c>
      <c r="K14" s="275"/>
      <c r="L14" s="274">
        <v>12</v>
      </c>
      <c r="M14" s="275"/>
      <c r="N14" s="274">
        <v>13</v>
      </c>
      <c r="O14" s="275"/>
      <c r="P14" s="274">
        <v>14</v>
      </c>
      <c r="Q14" s="275"/>
      <c r="R14" s="274">
        <v>15</v>
      </c>
      <c r="S14" s="275"/>
      <c r="T14" s="274">
        <v>16</v>
      </c>
      <c r="V14" s="252">
        <v>3</v>
      </c>
      <c r="W14" s="273"/>
      <c r="Y14" s="252" t="s">
        <v>68</v>
      </c>
      <c r="AA14" s="655">
        <v>823067032.5400002</v>
      </c>
      <c r="AB14" s="275"/>
      <c r="AC14" s="655">
        <v>72734684.385556325</v>
      </c>
      <c r="AD14" s="275"/>
      <c r="AE14" s="655">
        <v>-970117110.76599991</v>
      </c>
      <c r="AF14" s="275"/>
      <c r="AG14" s="655">
        <v>-8331442.3499999996</v>
      </c>
      <c r="AH14" s="275"/>
      <c r="AI14" s="655">
        <v>0</v>
      </c>
      <c r="AJ14" s="275"/>
      <c r="AK14" s="655">
        <v>476194577.48750001</v>
      </c>
      <c r="AL14" s="275"/>
      <c r="AM14" s="655">
        <v>393547741.2970565</v>
      </c>
      <c r="AN14" s="275"/>
      <c r="AO14" s="655">
        <v>812520877.02280343</v>
      </c>
      <c r="AR14" s="283">
        <v>0</v>
      </c>
    </row>
    <row r="15" spans="1:44" ht="14.1" customHeight="1" x14ac:dyDescent="0.2">
      <c r="A15" s="252">
        <v>4</v>
      </c>
      <c r="B15" s="273"/>
      <c r="D15" s="252" t="s">
        <v>160</v>
      </c>
      <c r="F15" s="276"/>
      <c r="G15" s="706"/>
      <c r="H15" s="706"/>
      <c r="I15" s="706"/>
      <c r="J15" s="706"/>
      <c r="K15" s="706"/>
      <c r="L15" s="706"/>
      <c r="M15" s="706"/>
      <c r="N15" s="706"/>
      <c r="O15" s="706"/>
      <c r="P15" s="706"/>
      <c r="Q15" s="706"/>
      <c r="R15" s="706"/>
      <c r="S15" s="706"/>
      <c r="T15" s="706"/>
      <c r="V15" s="252">
        <v>4</v>
      </c>
      <c r="W15" s="273"/>
      <c r="AA15" s="27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</row>
    <row r="16" spans="1:44" ht="14.1" customHeight="1" x14ac:dyDescent="0.2">
      <c r="A16" s="252">
        <v>5</v>
      </c>
      <c r="B16" s="273"/>
      <c r="C16" s="269">
        <v>31140</v>
      </c>
      <c r="D16" s="252" t="s">
        <v>161</v>
      </c>
      <c r="F16" s="655">
        <v>63285667.740000032</v>
      </c>
      <c r="G16" s="329"/>
      <c r="H16" s="655">
        <v>6820061.9456500001</v>
      </c>
      <c r="I16" s="329"/>
      <c r="J16" s="655">
        <v>-68339560</v>
      </c>
      <c r="K16" s="329"/>
      <c r="L16" s="655">
        <v>-6311000</v>
      </c>
      <c r="M16" s="329"/>
      <c r="N16" s="655">
        <v>0</v>
      </c>
      <c r="O16" s="329"/>
      <c r="P16" s="655">
        <v>0</v>
      </c>
      <c r="Q16" s="329"/>
      <c r="R16" s="655">
        <v>-4544830.3143499643</v>
      </c>
      <c r="S16" s="329"/>
      <c r="T16" s="655">
        <v>56973655.635901973</v>
      </c>
      <c r="V16" s="252">
        <v>5</v>
      </c>
      <c r="W16" s="273"/>
      <c r="X16" s="704"/>
      <c r="Y16" s="252" t="s">
        <v>66</v>
      </c>
      <c r="AA16" s="657">
        <v>862885279.13</v>
      </c>
      <c r="AB16" s="602"/>
      <c r="AC16" s="657">
        <v>114509070.39083953</v>
      </c>
      <c r="AD16" s="602"/>
      <c r="AE16" s="657">
        <v>-17131990.850000001</v>
      </c>
      <c r="AF16" s="602"/>
      <c r="AG16" s="657">
        <v>-1079062.4900000002</v>
      </c>
      <c r="AH16" s="602"/>
      <c r="AI16" s="657">
        <v>0</v>
      </c>
      <c r="AJ16" s="602"/>
      <c r="AK16" s="657">
        <v>4383.01</v>
      </c>
      <c r="AL16" s="707"/>
      <c r="AM16" s="657">
        <v>959187679.19083953</v>
      </c>
      <c r="AN16" s="707"/>
      <c r="AO16" s="657">
        <v>912906724.88883328</v>
      </c>
    </row>
    <row r="17" spans="1:41" ht="14.1" customHeight="1" x14ac:dyDescent="0.2">
      <c r="A17" s="252">
        <v>6</v>
      </c>
      <c r="B17" s="273"/>
      <c r="C17" s="269">
        <v>31240</v>
      </c>
      <c r="D17" s="252" t="s">
        <v>162</v>
      </c>
      <c r="F17" s="655">
        <v>2053690.2399999911</v>
      </c>
      <c r="G17" s="329"/>
      <c r="H17" s="655">
        <v>6270966.9409979992</v>
      </c>
      <c r="I17" s="329"/>
      <c r="J17" s="655">
        <v>-2546468.5440000002</v>
      </c>
      <c r="K17" s="329"/>
      <c r="L17" s="655">
        <v>-1451604</v>
      </c>
      <c r="M17" s="329"/>
      <c r="N17" s="655">
        <v>0</v>
      </c>
      <c r="O17" s="329"/>
      <c r="P17" s="655">
        <v>712111.12249999994</v>
      </c>
      <c r="Q17" s="329"/>
      <c r="R17" s="655">
        <v>5038695.7594979899</v>
      </c>
      <c r="S17" s="329"/>
      <c r="T17" s="655">
        <v>3715064.0677341446</v>
      </c>
      <c r="V17" s="252">
        <v>6</v>
      </c>
      <c r="W17" s="273"/>
      <c r="X17" s="704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  <c r="AL17" s="707"/>
      <c r="AM17" s="602"/>
      <c r="AN17" s="707"/>
      <c r="AO17" s="602"/>
    </row>
    <row r="18" spans="1:41" ht="14.1" customHeight="1" x14ac:dyDescent="0.2">
      <c r="A18" s="252">
        <v>7</v>
      </c>
      <c r="B18" s="273"/>
      <c r="C18" s="269">
        <v>31440</v>
      </c>
      <c r="D18" s="252" t="s">
        <v>163</v>
      </c>
      <c r="F18" s="655">
        <v>2336844.2300000004</v>
      </c>
      <c r="G18" s="329"/>
      <c r="H18" s="655">
        <v>233774.97245100004</v>
      </c>
      <c r="I18" s="329"/>
      <c r="J18" s="655">
        <v>-1782400.4940000004</v>
      </c>
      <c r="K18" s="329"/>
      <c r="L18" s="655">
        <v>0</v>
      </c>
      <c r="M18" s="329"/>
      <c r="N18" s="655">
        <v>0</v>
      </c>
      <c r="O18" s="329"/>
      <c r="P18" s="655">
        <v>0</v>
      </c>
      <c r="Q18" s="329"/>
      <c r="R18" s="655">
        <v>788218.70845100004</v>
      </c>
      <c r="S18" s="329"/>
      <c r="T18" s="655">
        <v>2001019.986159462</v>
      </c>
      <c r="V18" s="252">
        <v>7</v>
      </c>
      <c r="W18" s="273"/>
      <c r="X18" s="704"/>
      <c r="Y18" s="252" t="s">
        <v>67</v>
      </c>
      <c r="AA18" s="602">
        <v>1685952311.6700001</v>
      </c>
      <c r="AB18" s="602"/>
      <c r="AC18" s="602">
        <v>187243754.77639586</v>
      </c>
      <c r="AD18" s="602"/>
      <c r="AE18" s="602">
        <v>-987249101.61599994</v>
      </c>
      <c r="AF18" s="602"/>
      <c r="AG18" s="602">
        <v>-9410504.8399999999</v>
      </c>
      <c r="AH18" s="602"/>
      <c r="AI18" s="602">
        <v>0</v>
      </c>
      <c r="AJ18" s="602">
        <v>0</v>
      </c>
      <c r="AK18" s="602">
        <v>476198960.4975</v>
      </c>
      <c r="AL18" s="707"/>
      <c r="AM18" s="602">
        <v>1352735420.487896</v>
      </c>
      <c r="AN18" s="707"/>
      <c r="AO18" s="602">
        <v>1725427601.9116368</v>
      </c>
    </row>
    <row r="19" spans="1:41" ht="14.1" customHeight="1" x14ac:dyDescent="0.2">
      <c r="A19" s="252">
        <v>8</v>
      </c>
      <c r="B19" s="273"/>
      <c r="C19" s="269">
        <v>31540</v>
      </c>
      <c r="D19" s="252" t="s">
        <v>164</v>
      </c>
      <c r="F19" s="655">
        <v>13813679.079999998</v>
      </c>
      <c r="G19" s="329"/>
      <c r="H19" s="655">
        <v>1621407.25083</v>
      </c>
      <c r="I19" s="329"/>
      <c r="J19" s="655">
        <v>0</v>
      </c>
      <c r="K19" s="329"/>
      <c r="L19" s="655">
        <v>0</v>
      </c>
      <c r="M19" s="329"/>
      <c r="N19" s="655">
        <v>0</v>
      </c>
      <c r="O19" s="329"/>
      <c r="P19" s="655">
        <v>0</v>
      </c>
      <c r="Q19" s="329"/>
      <c r="R19" s="655">
        <v>15435086.330829998</v>
      </c>
      <c r="S19" s="329"/>
      <c r="T19" s="655">
        <v>14624382.705414997</v>
      </c>
      <c r="V19" s="252">
        <v>8</v>
      </c>
      <c r="W19" s="273"/>
      <c r="X19" s="704"/>
      <c r="AA19" s="602"/>
      <c r="AB19" s="602"/>
      <c r="AC19" s="602"/>
      <c r="AD19" s="602"/>
      <c r="AE19" s="602"/>
      <c r="AF19" s="602"/>
      <c r="AG19" s="602"/>
      <c r="AH19" s="602"/>
      <c r="AI19" s="602"/>
      <c r="AJ19" s="602"/>
      <c r="AK19" s="602"/>
      <c r="AL19" s="707"/>
      <c r="AM19" s="602"/>
      <c r="AN19" s="707"/>
      <c r="AO19" s="602"/>
    </row>
    <row r="20" spans="1:41" ht="14.1" customHeight="1" x14ac:dyDescent="0.2">
      <c r="A20" s="252">
        <v>9</v>
      </c>
      <c r="B20" s="273"/>
      <c r="C20" s="269">
        <v>31640</v>
      </c>
      <c r="D20" s="252" t="s">
        <v>165</v>
      </c>
      <c r="F20" s="655">
        <v>8550807.6900000069</v>
      </c>
      <c r="G20" s="329"/>
      <c r="H20" s="655">
        <v>1054057.3134000001</v>
      </c>
      <c r="I20" s="329"/>
      <c r="J20" s="655">
        <v>0</v>
      </c>
      <c r="K20" s="329"/>
      <c r="L20" s="655">
        <v>0</v>
      </c>
      <c r="M20" s="329"/>
      <c r="N20" s="655">
        <v>0</v>
      </c>
      <c r="O20" s="329"/>
      <c r="P20" s="655">
        <v>0</v>
      </c>
      <c r="Q20" s="329"/>
      <c r="R20" s="655">
        <v>9604865.0034000073</v>
      </c>
      <c r="S20" s="329"/>
      <c r="T20" s="655">
        <v>9077836.3467000052</v>
      </c>
      <c r="V20" s="252">
        <v>9</v>
      </c>
      <c r="W20" s="273"/>
      <c r="X20" s="704"/>
      <c r="Y20" s="252" t="s">
        <v>166</v>
      </c>
      <c r="AA20" s="602">
        <v>237371578.45000011</v>
      </c>
      <c r="AB20" s="602"/>
      <c r="AC20" s="602">
        <v>29412702.677049953</v>
      </c>
      <c r="AD20" s="602"/>
      <c r="AE20" s="602">
        <v>-20818311.779380001</v>
      </c>
      <c r="AF20" s="602"/>
      <c r="AG20" s="602">
        <v>-3004699.1900000004</v>
      </c>
      <c r="AH20" s="602"/>
      <c r="AI20" s="602">
        <v>240500.01</v>
      </c>
      <c r="AJ20" s="602"/>
      <c r="AK20" s="602">
        <v>5325059.2200000007</v>
      </c>
      <c r="AL20" s="707"/>
      <c r="AM20" s="602">
        <v>248526829.38767007</v>
      </c>
      <c r="AN20" s="707"/>
      <c r="AO20" s="602">
        <v>241930327.85337532</v>
      </c>
    </row>
    <row r="21" spans="1:41" ht="14.1" customHeight="1" x14ac:dyDescent="0.2">
      <c r="A21" s="252">
        <v>10</v>
      </c>
      <c r="B21" s="273"/>
      <c r="C21" s="269"/>
      <c r="D21" s="252" t="s">
        <v>167</v>
      </c>
      <c r="F21" s="664">
        <v>90040688.980000034</v>
      </c>
      <c r="G21" s="602"/>
      <c r="H21" s="664">
        <v>16000268.423328999</v>
      </c>
      <c r="I21" s="602"/>
      <c r="J21" s="664">
        <v>-72668429.038000003</v>
      </c>
      <c r="K21" s="602"/>
      <c r="L21" s="664">
        <v>-7762604</v>
      </c>
      <c r="M21" s="602"/>
      <c r="N21" s="664">
        <v>0</v>
      </c>
      <c r="O21" s="602"/>
      <c r="P21" s="664">
        <v>712111.12249999994</v>
      </c>
      <c r="Q21" s="602"/>
      <c r="R21" s="664">
        <v>26322035.48782903</v>
      </c>
      <c r="S21" s="602"/>
      <c r="T21" s="664">
        <v>86391958.741910577</v>
      </c>
      <c r="V21" s="252">
        <v>10</v>
      </c>
      <c r="W21" s="273"/>
      <c r="X21" s="704"/>
      <c r="AA21" s="602"/>
      <c r="AB21" s="602"/>
      <c r="AC21" s="602"/>
      <c r="AD21" s="602"/>
      <c r="AE21" s="602"/>
      <c r="AF21" s="602"/>
      <c r="AG21" s="602"/>
      <c r="AH21" s="602"/>
      <c r="AI21" s="602"/>
      <c r="AJ21" s="602"/>
      <c r="AK21" s="602"/>
      <c r="AL21" s="602"/>
      <c r="AM21" s="602"/>
      <c r="AN21" s="602"/>
      <c r="AO21" s="602"/>
    </row>
    <row r="22" spans="1:41" ht="14.1" customHeight="1" x14ac:dyDescent="0.2">
      <c r="A22" s="252">
        <v>11</v>
      </c>
      <c r="B22" s="273"/>
      <c r="C22" s="269"/>
      <c r="F22" s="708"/>
      <c r="G22" s="708"/>
      <c r="H22" s="602"/>
      <c r="I22" s="602"/>
      <c r="J22" s="602"/>
      <c r="K22" s="602"/>
      <c r="L22" s="602"/>
      <c r="M22" s="602"/>
      <c r="N22" s="602"/>
      <c r="O22" s="602"/>
      <c r="P22" s="602"/>
      <c r="Q22" s="602"/>
      <c r="R22" s="602"/>
      <c r="S22" s="602"/>
      <c r="T22" s="602"/>
      <c r="V22" s="252">
        <v>11</v>
      </c>
      <c r="W22" s="273"/>
      <c r="X22" s="704"/>
      <c r="Y22" s="252" t="s">
        <v>169</v>
      </c>
      <c r="AA22" s="602">
        <v>1113633339</v>
      </c>
      <c r="AB22" s="602"/>
      <c r="AC22" s="602">
        <v>109213822.44132407</v>
      </c>
      <c r="AD22" s="602"/>
      <c r="AE22" s="602">
        <v>-180635932.62201452</v>
      </c>
      <c r="AF22" s="602"/>
      <c r="AG22" s="602">
        <v>-19112952.009999998</v>
      </c>
      <c r="AH22" s="602"/>
      <c r="AI22" s="602">
        <v>2359500.06</v>
      </c>
      <c r="AJ22" s="602"/>
      <c r="AK22" s="602">
        <v>41644371.177604727</v>
      </c>
      <c r="AL22" s="602"/>
      <c r="AM22" s="602">
        <v>1067102148.0469142</v>
      </c>
      <c r="AN22" s="602"/>
      <c r="AO22" s="602">
        <v>1104541409.9619219</v>
      </c>
    </row>
    <row r="23" spans="1:41" ht="14.1" customHeight="1" x14ac:dyDescent="0.2">
      <c r="A23" s="252">
        <v>12</v>
      </c>
      <c r="B23" s="273"/>
      <c r="C23" s="269"/>
      <c r="D23" s="252" t="s">
        <v>170</v>
      </c>
      <c r="F23" s="692"/>
      <c r="G23" s="69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  <c r="T23" s="602"/>
      <c r="V23" s="252">
        <v>12</v>
      </c>
      <c r="W23" s="273"/>
      <c r="X23" s="704"/>
      <c r="AA23" s="602"/>
      <c r="AB23" s="602"/>
      <c r="AC23" s="602"/>
      <c r="AD23" s="602"/>
      <c r="AE23" s="602"/>
      <c r="AF23" s="602"/>
      <c r="AG23" s="602"/>
      <c r="AH23" s="602"/>
      <c r="AI23" s="602"/>
      <c r="AJ23" s="602"/>
      <c r="AK23" s="602"/>
      <c r="AL23" s="602"/>
      <c r="AM23" s="602"/>
      <c r="AN23" s="602"/>
      <c r="AO23" s="602"/>
    </row>
    <row r="24" spans="1:41" ht="14.1" customHeight="1" x14ac:dyDescent="0.2">
      <c r="A24" s="252">
        <v>13</v>
      </c>
      <c r="B24" s="273"/>
      <c r="C24" s="269">
        <v>31141</v>
      </c>
      <c r="D24" s="252" t="s">
        <v>161</v>
      </c>
      <c r="F24" s="655">
        <v>4518344.5499999942</v>
      </c>
      <c r="G24" s="329"/>
      <c r="H24" s="655">
        <v>145742.52479999998</v>
      </c>
      <c r="I24" s="329"/>
      <c r="J24" s="655">
        <v>-4852753.2599999988</v>
      </c>
      <c r="K24" s="329"/>
      <c r="L24" s="655">
        <v>0</v>
      </c>
      <c r="M24" s="329"/>
      <c r="N24" s="655">
        <v>0</v>
      </c>
      <c r="O24" s="329"/>
      <c r="P24" s="655">
        <v>1750961.2324999999</v>
      </c>
      <c r="Q24" s="329"/>
      <c r="R24" s="655">
        <v>1562295.0472999951</v>
      </c>
      <c r="S24" s="329"/>
      <c r="T24" s="655">
        <v>4352616.4256692268</v>
      </c>
      <c r="V24" s="252">
        <v>13</v>
      </c>
      <c r="W24" s="273"/>
      <c r="X24" s="704"/>
      <c r="Y24" s="252" t="s">
        <v>171</v>
      </c>
      <c r="AA24" s="657">
        <v>144217343.02999997</v>
      </c>
      <c r="AB24" s="602"/>
      <c r="AC24" s="657">
        <v>27764022.870259237</v>
      </c>
      <c r="AD24" s="602"/>
      <c r="AE24" s="657">
        <v>-9386840.8146804553</v>
      </c>
      <c r="AF24" s="602"/>
      <c r="AG24" s="657">
        <v>-49553.79</v>
      </c>
      <c r="AH24" s="602"/>
      <c r="AI24" s="657">
        <v>367500</v>
      </c>
      <c r="AJ24" s="602"/>
      <c r="AK24" s="657">
        <v>12984.947499999998</v>
      </c>
      <c r="AL24" s="709"/>
      <c r="AM24" s="657">
        <v>162925456.24307883</v>
      </c>
      <c r="AN24" s="707"/>
      <c r="AO24" s="657">
        <v>152925429.2082372</v>
      </c>
    </row>
    <row r="25" spans="1:41" ht="14.1" customHeight="1" x14ac:dyDescent="0.2">
      <c r="A25" s="252">
        <v>14</v>
      </c>
      <c r="B25" s="273"/>
      <c r="C25" s="269">
        <v>31241</v>
      </c>
      <c r="D25" s="252" t="s">
        <v>162</v>
      </c>
      <c r="F25" s="655">
        <v>35309260.549999997</v>
      </c>
      <c r="G25" s="329"/>
      <c r="H25" s="655">
        <v>4118634.8703999999</v>
      </c>
      <c r="I25" s="329"/>
      <c r="J25" s="655">
        <v>-101960153.7</v>
      </c>
      <c r="K25" s="329"/>
      <c r="L25" s="655">
        <v>0</v>
      </c>
      <c r="M25" s="329"/>
      <c r="N25" s="655">
        <v>0</v>
      </c>
      <c r="O25" s="329"/>
      <c r="P25" s="655">
        <v>59809670.277500004</v>
      </c>
      <c r="Q25" s="329"/>
      <c r="R25" s="655">
        <v>-2722588.0021000057</v>
      </c>
      <c r="S25" s="329"/>
      <c r="T25" s="655">
        <v>34126233.106546149</v>
      </c>
      <c r="V25" s="252">
        <v>14</v>
      </c>
      <c r="W25" s="273"/>
      <c r="X25" s="704"/>
      <c r="AA25" s="602"/>
      <c r="AB25" s="602"/>
      <c r="AC25" s="602"/>
      <c r="AD25" s="602"/>
      <c r="AE25" s="602"/>
      <c r="AF25" s="602"/>
      <c r="AG25" s="602"/>
      <c r="AH25" s="602"/>
      <c r="AI25" s="602"/>
      <c r="AJ25" s="602"/>
      <c r="AK25" s="602"/>
      <c r="AL25" s="707"/>
      <c r="AM25" s="602"/>
      <c r="AN25" s="707"/>
      <c r="AO25" s="602"/>
    </row>
    <row r="26" spans="1:41" ht="14.1" customHeight="1" x14ac:dyDescent="0.2">
      <c r="A26" s="252">
        <v>15</v>
      </c>
      <c r="B26" s="273"/>
      <c r="C26" s="269">
        <v>31441</v>
      </c>
      <c r="D26" s="252" t="s">
        <v>163</v>
      </c>
      <c r="F26" s="655">
        <v>17426514.730000019</v>
      </c>
      <c r="G26" s="329"/>
      <c r="H26" s="655">
        <v>1767109.7527999997</v>
      </c>
      <c r="I26" s="329"/>
      <c r="J26" s="655">
        <v>-28553151.819999997</v>
      </c>
      <c r="K26" s="329"/>
      <c r="L26" s="655">
        <v>0</v>
      </c>
      <c r="M26" s="329"/>
      <c r="N26" s="655">
        <v>0</v>
      </c>
      <c r="O26" s="329"/>
      <c r="P26" s="655">
        <v>16189076.810000008</v>
      </c>
      <c r="Q26" s="329"/>
      <c r="R26" s="655">
        <v>6829549.4728000294</v>
      </c>
      <c r="S26" s="329"/>
      <c r="T26" s="655">
        <v>17358986.913323089</v>
      </c>
      <c r="V26" s="252">
        <v>15</v>
      </c>
      <c r="W26" s="273"/>
      <c r="X26" s="704"/>
      <c r="Y26" s="278" t="s">
        <v>308</v>
      </c>
      <c r="AA26" s="602">
        <v>3181174572.1499996</v>
      </c>
      <c r="AB26" s="602"/>
      <c r="AC26" s="602">
        <v>353634302.76502913</v>
      </c>
      <c r="AD26" s="602"/>
      <c r="AE26" s="602">
        <v>-1198090186.8320749</v>
      </c>
      <c r="AF26" s="602"/>
      <c r="AG26" s="602">
        <v>-31577709.829999998</v>
      </c>
      <c r="AH26" s="602"/>
      <c r="AI26" s="602">
        <v>2967500.0700000003</v>
      </c>
      <c r="AJ26" s="602"/>
      <c r="AK26" s="602">
        <v>523181375.84260476</v>
      </c>
      <c r="AL26" s="709"/>
      <c r="AM26" s="602">
        <v>2831289854.1655588</v>
      </c>
      <c r="AN26" s="707"/>
      <c r="AO26" s="602">
        <v>3224824768.9351716</v>
      </c>
    </row>
    <row r="27" spans="1:41" ht="14.1" customHeight="1" x14ac:dyDescent="0.2">
      <c r="A27" s="252">
        <v>16</v>
      </c>
      <c r="B27" s="273"/>
      <c r="C27" s="269">
        <v>31541</v>
      </c>
      <c r="D27" s="252" t="s">
        <v>164</v>
      </c>
      <c r="F27" s="655">
        <v>8469866.5499999952</v>
      </c>
      <c r="G27" s="329"/>
      <c r="H27" s="655">
        <v>595652.19070000004</v>
      </c>
      <c r="I27" s="329"/>
      <c r="J27" s="655">
        <v>-16777127.199999994</v>
      </c>
      <c r="K27" s="329"/>
      <c r="L27" s="655">
        <v>0</v>
      </c>
      <c r="M27" s="329"/>
      <c r="N27" s="655">
        <v>0</v>
      </c>
      <c r="O27" s="329"/>
      <c r="P27" s="655">
        <v>7855894.7475000108</v>
      </c>
      <c r="Q27" s="329"/>
      <c r="R27" s="655">
        <v>144286.28820001241</v>
      </c>
      <c r="S27" s="329"/>
      <c r="T27" s="655">
        <v>8081443.9951576907</v>
      </c>
      <c r="V27" s="252">
        <v>16</v>
      </c>
      <c r="W27" s="273"/>
      <c r="X27" s="704"/>
      <c r="AA27" s="602"/>
      <c r="AB27" s="602"/>
      <c r="AC27" s="602"/>
      <c r="AD27" s="602"/>
      <c r="AE27" s="602"/>
      <c r="AF27" s="602"/>
      <c r="AG27" s="602"/>
      <c r="AH27" s="602"/>
      <c r="AI27" s="602"/>
      <c r="AJ27" s="602"/>
      <c r="AK27" s="602"/>
      <c r="AL27" s="707"/>
      <c r="AM27" s="602"/>
      <c r="AN27" s="707"/>
      <c r="AO27" s="602"/>
    </row>
    <row r="28" spans="1:41" ht="14.1" customHeight="1" x14ac:dyDescent="0.2">
      <c r="A28" s="252">
        <v>17</v>
      </c>
      <c r="B28" s="273"/>
      <c r="C28" s="269">
        <v>31641</v>
      </c>
      <c r="D28" s="252" t="s">
        <v>165</v>
      </c>
      <c r="F28" s="655">
        <v>511644.18999999837</v>
      </c>
      <c r="G28" s="329"/>
      <c r="H28" s="655">
        <v>27495.673719999988</v>
      </c>
      <c r="I28" s="329"/>
      <c r="J28" s="655">
        <v>-661257.77000000014</v>
      </c>
      <c r="K28" s="329"/>
      <c r="L28" s="655">
        <v>0</v>
      </c>
      <c r="M28" s="329"/>
      <c r="N28" s="655">
        <v>0</v>
      </c>
      <c r="O28" s="329"/>
      <c r="P28" s="655">
        <v>334867.27499999997</v>
      </c>
      <c r="Q28" s="329"/>
      <c r="R28" s="655">
        <v>212749.36871999822</v>
      </c>
      <c r="S28" s="329"/>
      <c r="T28" s="655">
        <v>500285.06570615212</v>
      </c>
      <c r="V28" s="252">
        <v>17</v>
      </c>
      <c r="W28" s="273"/>
      <c r="X28" s="704"/>
      <c r="Y28" s="279" t="s">
        <v>173</v>
      </c>
      <c r="AA28" s="602">
        <v>0</v>
      </c>
      <c r="AB28" s="602"/>
      <c r="AC28" s="602">
        <v>0</v>
      </c>
      <c r="AD28" s="602"/>
      <c r="AE28" s="602">
        <v>0</v>
      </c>
      <c r="AF28" s="602"/>
      <c r="AG28" s="602">
        <v>0</v>
      </c>
      <c r="AH28" s="602"/>
      <c r="AI28" s="602">
        <v>0</v>
      </c>
      <c r="AJ28" s="602"/>
      <c r="AK28" s="602">
        <v>0</v>
      </c>
      <c r="AL28" s="707"/>
      <c r="AM28" s="602">
        <v>0</v>
      </c>
      <c r="AN28" s="707"/>
      <c r="AO28" s="602">
        <v>0</v>
      </c>
    </row>
    <row r="29" spans="1:41" ht="14.1" customHeight="1" x14ac:dyDescent="0.2">
      <c r="A29" s="252">
        <v>18</v>
      </c>
      <c r="B29" s="273"/>
      <c r="C29" s="269"/>
      <c r="D29" s="252" t="s">
        <v>174</v>
      </c>
      <c r="F29" s="664">
        <v>66235630.570000008</v>
      </c>
      <c r="G29" s="602"/>
      <c r="H29" s="664">
        <v>6654635.0124200005</v>
      </c>
      <c r="I29" s="602"/>
      <c r="J29" s="664">
        <v>-152804443.75</v>
      </c>
      <c r="K29" s="602"/>
      <c r="L29" s="664">
        <v>0</v>
      </c>
      <c r="M29" s="602"/>
      <c r="N29" s="664">
        <v>0</v>
      </c>
      <c r="O29" s="602"/>
      <c r="P29" s="664">
        <v>85940470.342500031</v>
      </c>
      <c r="Q29" s="602"/>
      <c r="R29" s="664">
        <v>6026292.174920029</v>
      </c>
      <c r="S29" s="602"/>
      <c r="T29" s="664">
        <v>64419565.506402299</v>
      </c>
      <c r="V29" s="252">
        <v>18</v>
      </c>
      <c r="W29" s="273"/>
      <c r="X29" s="704"/>
      <c r="AA29" s="602"/>
      <c r="AB29" s="602"/>
      <c r="AC29" s="602"/>
      <c r="AD29" s="602"/>
      <c r="AE29" s="602"/>
      <c r="AF29" s="602"/>
      <c r="AG29" s="602"/>
      <c r="AH29" s="602"/>
      <c r="AI29" s="602"/>
      <c r="AJ29" s="602"/>
      <c r="AK29" s="602"/>
      <c r="AL29" s="602"/>
      <c r="AM29" s="602"/>
      <c r="AN29" s="602"/>
      <c r="AO29" s="602"/>
    </row>
    <row r="30" spans="1:41" ht="14.1" customHeight="1" x14ac:dyDescent="0.2">
      <c r="A30" s="252">
        <v>19</v>
      </c>
      <c r="B30" s="273"/>
      <c r="C30" s="269"/>
      <c r="D30" s="280"/>
      <c r="E30" s="280"/>
      <c r="F30" s="708"/>
      <c r="G30" s="708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  <c r="S30" s="602"/>
      <c r="T30" s="602"/>
      <c r="V30" s="252">
        <v>19</v>
      </c>
      <c r="W30" s="273"/>
      <c r="X30" s="704"/>
      <c r="Y30" s="280" t="s">
        <v>175</v>
      </c>
      <c r="Z30" s="280"/>
      <c r="AA30" s="657">
        <v>83023323.069999993</v>
      </c>
      <c r="AB30" s="602"/>
      <c r="AC30" s="657">
        <v>18018310.107033826</v>
      </c>
      <c r="AD30" s="602"/>
      <c r="AE30" s="657">
        <v>0</v>
      </c>
      <c r="AF30" s="602"/>
      <c r="AG30" s="657">
        <v>0</v>
      </c>
      <c r="AH30" s="602"/>
      <c r="AI30" s="657">
        <v>0</v>
      </c>
      <c r="AJ30" s="602"/>
      <c r="AK30" s="657">
        <v>0</v>
      </c>
      <c r="AL30" s="709"/>
      <c r="AM30" s="657">
        <v>101041633.17703381</v>
      </c>
      <c r="AN30" s="602"/>
      <c r="AO30" s="657">
        <v>91803910.079129547</v>
      </c>
    </row>
    <row r="31" spans="1:41" ht="14.1" customHeight="1" x14ac:dyDescent="0.2">
      <c r="A31" s="252">
        <v>20</v>
      </c>
      <c r="B31" s="273"/>
      <c r="C31" s="269"/>
      <c r="D31" s="280" t="s">
        <v>176</v>
      </c>
      <c r="E31" s="280"/>
      <c r="F31" s="708"/>
      <c r="G31" s="708"/>
      <c r="H31" s="602"/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V31" s="252">
        <v>20</v>
      </c>
      <c r="W31" s="273"/>
      <c r="X31" s="704"/>
      <c r="Y31" s="280"/>
      <c r="Z31" s="280"/>
      <c r="AA31" s="602"/>
      <c r="AB31" s="602"/>
      <c r="AC31" s="602"/>
      <c r="AD31" s="602"/>
      <c r="AE31" s="602"/>
      <c r="AF31" s="602"/>
      <c r="AG31" s="602"/>
      <c r="AH31" s="602"/>
      <c r="AI31" s="602"/>
      <c r="AJ31" s="602"/>
      <c r="AK31" s="602"/>
      <c r="AL31" s="602"/>
      <c r="AM31" s="602"/>
      <c r="AN31" s="602"/>
      <c r="AO31" s="602"/>
    </row>
    <row r="32" spans="1:41" ht="14.1" customHeight="1" x14ac:dyDescent="0.2">
      <c r="A32" s="252">
        <v>21</v>
      </c>
      <c r="B32" s="273"/>
      <c r="C32" s="269">
        <v>31142</v>
      </c>
      <c r="D32" s="252" t="s">
        <v>161</v>
      </c>
      <c r="F32" s="655">
        <v>4032641.52999999</v>
      </c>
      <c r="G32" s="329"/>
      <c r="H32" s="655">
        <v>140836.43340000001</v>
      </c>
      <c r="I32" s="329"/>
      <c r="J32" s="655">
        <v>-7041562.8900000015</v>
      </c>
      <c r="K32" s="329"/>
      <c r="L32" s="655">
        <v>0</v>
      </c>
      <c r="M32" s="329"/>
      <c r="N32" s="655">
        <v>0</v>
      </c>
      <c r="O32" s="329"/>
      <c r="P32" s="655">
        <v>2868090.5125000011</v>
      </c>
      <c r="Q32" s="329"/>
      <c r="R32" s="655">
        <v>5.5858999895863235</v>
      </c>
      <c r="S32" s="329"/>
      <c r="T32" s="655">
        <v>3782023.4099692223</v>
      </c>
      <c r="V32" s="252">
        <v>21</v>
      </c>
      <c r="W32" s="273"/>
      <c r="X32" s="704"/>
      <c r="Y32" s="279" t="s">
        <v>309</v>
      </c>
      <c r="AA32" s="602">
        <v>3264197895.2199998</v>
      </c>
      <c r="AB32" s="602"/>
      <c r="AC32" s="602">
        <v>371652612.87206298</v>
      </c>
      <c r="AD32" s="602"/>
      <c r="AE32" s="602">
        <v>-1198090186.8320749</v>
      </c>
      <c r="AF32" s="602"/>
      <c r="AG32" s="602">
        <v>-31577709.829999998</v>
      </c>
      <c r="AH32" s="602"/>
      <c r="AI32" s="602">
        <v>2967500.0700000003</v>
      </c>
      <c r="AJ32" s="602"/>
      <c r="AK32" s="602">
        <v>523181375.84260476</v>
      </c>
      <c r="AL32" s="707"/>
      <c r="AM32" s="602">
        <v>2932331487.3425927</v>
      </c>
      <c r="AN32" s="707"/>
      <c r="AO32" s="602">
        <v>3316628679.0143013</v>
      </c>
    </row>
    <row r="33" spans="1:41" ht="14.1" customHeight="1" x14ac:dyDescent="0.2">
      <c r="A33" s="252">
        <v>22</v>
      </c>
      <c r="B33" s="273"/>
      <c r="C33" s="269">
        <v>31242</v>
      </c>
      <c r="D33" s="252" t="s">
        <v>162</v>
      </c>
      <c r="F33" s="655">
        <v>29428764.919999983</v>
      </c>
      <c r="G33" s="329"/>
      <c r="H33" s="655">
        <v>3242754.413314668</v>
      </c>
      <c r="I33" s="329"/>
      <c r="J33" s="655">
        <v>-86164055.207999974</v>
      </c>
      <c r="K33" s="329"/>
      <c r="L33" s="655">
        <v>0</v>
      </c>
      <c r="M33" s="329"/>
      <c r="N33" s="655">
        <v>0</v>
      </c>
      <c r="O33" s="329"/>
      <c r="P33" s="655">
        <v>51080915.675000004</v>
      </c>
      <c r="Q33" s="329"/>
      <c r="R33" s="655">
        <v>-2411620.1996853203</v>
      </c>
      <c r="S33" s="329"/>
      <c r="T33" s="655">
        <v>28351174.350803562</v>
      </c>
      <c r="V33" s="252">
        <v>22</v>
      </c>
      <c r="W33" s="273"/>
      <c r="X33" s="704"/>
      <c r="AA33" s="602"/>
      <c r="AB33" s="602"/>
      <c r="AC33" s="602"/>
      <c r="AD33" s="602"/>
      <c r="AE33" s="602"/>
      <c r="AF33" s="602"/>
      <c r="AG33" s="602"/>
      <c r="AH33" s="602"/>
      <c r="AI33" s="602"/>
      <c r="AJ33" s="602"/>
      <c r="AK33" s="602"/>
      <c r="AL33" s="707"/>
      <c r="AM33" s="602"/>
      <c r="AN33" s="707"/>
      <c r="AO33" s="602"/>
    </row>
    <row r="34" spans="1:41" ht="14.1" customHeight="1" x14ac:dyDescent="0.2">
      <c r="A34" s="252">
        <v>23</v>
      </c>
      <c r="B34" s="273"/>
      <c r="C34" s="269">
        <v>31442</v>
      </c>
      <c r="D34" s="252" t="s">
        <v>163</v>
      </c>
      <c r="F34" s="655">
        <v>25022385.920000017</v>
      </c>
      <c r="G34" s="329"/>
      <c r="H34" s="655">
        <v>1932837.9230853333</v>
      </c>
      <c r="I34" s="329"/>
      <c r="J34" s="655">
        <v>-50861566.317999974</v>
      </c>
      <c r="K34" s="329"/>
      <c r="L34" s="655">
        <v>0</v>
      </c>
      <c r="M34" s="329"/>
      <c r="N34" s="655">
        <v>0</v>
      </c>
      <c r="O34" s="329"/>
      <c r="P34" s="655">
        <v>23743167.497500002</v>
      </c>
      <c r="Q34" s="329"/>
      <c r="R34" s="655">
        <v>-163174.9774146229</v>
      </c>
      <c r="S34" s="329"/>
      <c r="T34" s="655">
        <v>23902509.131804124</v>
      </c>
      <c r="V34" s="252">
        <v>23</v>
      </c>
      <c r="W34" s="273"/>
      <c r="X34" s="704"/>
      <c r="Y34" s="252" t="s">
        <v>310</v>
      </c>
      <c r="AA34" s="602">
        <v>96708590.800000221</v>
      </c>
      <c r="AB34" s="602"/>
      <c r="AC34" s="602">
        <v>1186094.04</v>
      </c>
      <c r="AD34" s="602"/>
      <c r="AE34" s="602">
        <v>0</v>
      </c>
      <c r="AF34" s="602"/>
      <c r="AG34" s="602">
        <v>-1000000</v>
      </c>
      <c r="AH34" s="602"/>
      <c r="AI34" s="602">
        <v>0</v>
      </c>
      <c r="AJ34" s="602"/>
      <c r="AK34" s="602">
        <v>111088808</v>
      </c>
      <c r="AL34" s="707"/>
      <c r="AM34" s="602">
        <v>207983492.84000021</v>
      </c>
      <c r="AN34" s="707"/>
      <c r="AO34" s="602">
        <v>105344624.08307715</v>
      </c>
    </row>
    <row r="35" spans="1:41" ht="14.1" customHeight="1" x14ac:dyDescent="0.2">
      <c r="A35" s="252">
        <v>24</v>
      </c>
      <c r="B35" s="273"/>
      <c r="C35" s="269">
        <v>31542</v>
      </c>
      <c r="D35" s="252" t="s">
        <v>164</v>
      </c>
      <c r="F35" s="655">
        <v>7618531.8000000054</v>
      </c>
      <c r="G35" s="329"/>
      <c r="H35" s="655">
        <v>622711.92620999995</v>
      </c>
      <c r="I35" s="329"/>
      <c r="J35" s="655">
        <v>-18870058.369999997</v>
      </c>
      <c r="K35" s="329"/>
      <c r="L35" s="655">
        <v>0</v>
      </c>
      <c r="M35" s="329"/>
      <c r="N35" s="655">
        <v>0</v>
      </c>
      <c r="O35" s="329"/>
      <c r="P35" s="655">
        <v>10628814.574999996</v>
      </c>
      <c r="Q35" s="329"/>
      <c r="R35" s="655">
        <v>-6.8789996206760406E-2</v>
      </c>
      <c r="S35" s="329"/>
      <c r="T35" s="655">
        <v>7295945.9327203883</v>
      </c>
      <c r="V35" s="252">
        <v>24</v>
      </c>
      <c r="W35" s="273"/>
      <c r="X35" s="704"/>
      <c r="AA35" s="602"/>
      <c r="AB35" s="602"/>
      <c r="AC35" s="602"/>
      <c r="AD35" s="602"/>
      <c r="AE35" s="602"/>
      <c r="AF35" s="602"/>
      <c r="AG35" s="602"/>
      <c r="AH35" s="602"/>
      <c r="AI35" s="602"/>
      <c r="AJ35" s="602"/>
      <c r="AK35" s="602"/>
      <c r="AL35" s="707"/>
      <c r="AM35" s="602"/>
      <c r="AN35" s="707"/>
      <c r="AO35" s="602"/>
    </row>
    <row r="36" spans="1:41" ht="14.1" customHeight="1" x14ac:dyDescent="0.2">
      <c r="A36" s="252">
        <v>25</v>
      </c>
      <c r="B36" s="273"/>
      <c r="C36" s="269">
        <v>31642</v>
      </c>
      <c r="D36" s="252" t="s">
        <v>165</v>
      </c>
      <c r="F36" s="655">
        <v>485412.90000000078</v>
      </c>
      <c r="G36" s="329"/>
      <c r="H36" s="655">
        <v>16408.511700000006</v>
      </c>
      <c r="I36" s="329"/>
      <c r="J36" s="655">
        <v>-546950.39</v>
      </c>
      <c r="K36" s="329"/>
      <c r="L36" s="655">
        <v>0</v>
      </c>
      <c r="M36" s="329"/>
      <c r="N36" s="655">
        <v>0</v>
      </c>
      <c r="O36" s="329"/>
      <c r="P36" s="655">
        <v>45128.992500000008</v>
      </c>
      <c r="Q36" s="329"/>
      <c r="R36" s="655">
        <v>1.4200000805431046E-2</v>
      </c>
      <c r="S36" s="329"/>
      <c r="T36" s="655">
        <v>455015.50988846208</v>
      </c>
      <c r="V36" s="252">
        <v>25</v>
      </c>
      <c r="W36" s="273"/>
      <c r="X36" s="704"/>
      <c r="Y36" s="279" t="s">
        <v>179</v>
      </c>
      <c r="AA36" s="281">
        <v>5936531.3000000007</v>
      </c>
      <c r="AC36" s="281">
        <v>236708.75999999995</v>
      </c>
      <c r="AD36" s="602"/>
      <c r="AE36" s="602">
        <v>0</v>
      </c>
      <c r="AF36" s="602"/>
      <c r="AG36" s="602">
        <v>0</v>
      </c>
      <c r="AH36" s="602"/>
      <c r="AI36" s="602">
        <v>0</v>
      </c>
      <c r="AJ36" s="602"/>
      <c r="AK36" s="281">
        <v>0</v>
      </c>
      <c r="AL36" s="707"/>
      <c r="AM36" s="281">
        <v>6173240.0600000015</v>
      </c>
      <c r="AN36" s="707"/>
      <c r="AO36" s="281">
        <v>6054885.6800000025</v>
      </c>
    </row>
    <row r="37" spans="1:41" ht="14.1" customHeight="1" x14ac:dyDescent="0.2">
      <c r="A37" s="252">
        <v>26</v>
      </c>
      <c r="B37" s="273"/>
      <c r="C37" s="269"/>
      <c r="D37" s="282" t="s">
        <v>180</v>
      </c>
      <c r="E37" s="282"/>
      <c r="F37" s="664">
        <v>66587737.069999993</v>
      </c>
      <c r="G37" s="602"/>
      <c r="H37" s="664">
        <v>5955549.2077100016</v>
      </c>
      <c r="I37" s="602"/>
      <c r="J37" s="664">
        <v>-163484193.17599994</v>
      </c>
      <c r="K37" s="602"/>
      <c r="L37" s="664">
        <v>0</v>
      </c>
      <c r="M37" s="602"/>
      <c r="N37" s="664">
        <v>0</v>
      </c>
      <c r="O37" s="602"/>
      <c r="P37" s="664">
        <v>88366117.252499998</v>
      </c>
      <c r="Q37" s="602"/>
      <c r="R37" s="664">
        <v>-2574789.6457899488</v>
      </c>
      <c r="S37" s="602"/>
      <c r="T37" s="664">
        <v>63786668.335185751</v>
      </c>
      <c r="V37" s="252">
        <v>26</v>
      </c>
      <c r="W37" s="273"/>
      <c r="X37" s="269"/>
    </row>
    <row r="38" spans="1:41" ht="14.1" customHeight="1" x14ac:dyDescent="0.2">
      <c r="A38" s="252">
        <v>27</v>
      </c>
      <c r="B38" s="273"/>
      <c r="C38" s="269"/>
      <c r="D38" s="282"/>
      <c r="E38" s="282"/>
      <c r="F38" s="602"/>
      <c r="G38" s="602"/>
      <c r="H38" s="602"/>
      <c r="I38" s="602"/>
      <c r="J38" s="602"/>
      <c r="K38" s="602"/>
      <c r="L38" s="692"/>
      <c r="M38" s="602"/>
      <c r="N38" s="692"/>
      <c r="O38" s="602"/>
      <c r="P38" s="692"/>
      <c r="Q38" s="692"/>
      <c r="R38" s="602"/>
      <c r="S38" s="602"/>
      <c r="T38" s="602"/>
      <c r="V38" s="252">
        <v>27</v>
      </c>
      <c r="W38" s="273"/>
      <c r="X38" s="704"/>
      <c r="Y38" s="252" t="s">
        <v>183</v>
      </c>
      <c r="AA38" s="283">
        <v>4383.010000000002</v>
      </c>
      <c r="AC38" s="283">
        <v>0</v>
      </c>
      <c r="AE38" s="283">
        <v>0</v>
      </c>
      <c r="AG38" s="283">
        <v>0</v>
      </c>
      <c r="AI38" s="283">
        <v>0</v>
      </c>
      <c r="AK38" s="283">
        <v>-4383.01</v>
      </c>
      <c r="AM38" s="283">
        <v>0</v>
      </c>
      <c r="AO38" s="283">
        <v>4045.8553846153864</v>
      </c>
    </row>
    <row r="39" spans="1:41" ht="14.1" customHeight="1" x14ac:dyDescent="0.2">
      <c r="A39" s="252">
        <v>28</v>
      </c>
      <c r="B39" s="273"/>
      <c r="C39" s="269"/>
      <c r="D39" s="282" t="s">
        <v>182</v>
      </c>
      <c r="E39" s="282"/>
      <c r="F39" s="602"/>
      <c r="G39" s="602"/>
      <c r="H39" s="602"/>
      <c r="I39" s="602"/>
      <c r="J39" s="602"/>
      <c r="K39" s="602"/>
      <c r="L39" s="692"/>
      <c r="M39" s="602"/>
      <c r="N39" s="692"/>
      <c r="O39" s="602"/>
      <c r="P39" s="692"/>
      <c r="Q39" s="692"/>
      <c r="R39" s="602"/>
      <c r="S39" s="602"/>
      <c r="T39" s="602"/>
      <c r="V39" s="252">
        <v>28</v>
      </c>
      <c r="W39" s="273"/>
      <c r="X39" s="704"/>
      <c r="Y39" s="252" t="s">
        <v>1362</v>
      </c>
      <c r="AA39" s="281">
        <v>22476892.569999997</v>
      </c>
      <c r="AC39" s="281">
        <v>5493446.8799999999</v>
      </c>
      <c r="AD39" s="602"/>
      <c r="AE39" s="602">
        <v>0</v>
      </c>
      <c r="AF39" s="602"/>
      <c r="AG39" s="602">
        <v>0</v>
      </c>
      <c r="AH39" s="602"/>
      <c r="AI39" s="602">
        <v>0</v>
      </c>
      <c r="AJ39" s="602"/>
      <c r="AK39" s="281">
        <v>0</v>
      </c>
      <c r="AL39" s="707"/>
      <c r="AM39" s="281">
        <v>27970339.449999992</v>
      </c>
      <c r="AN39" s="707"/>
      <c r="AO39" s="281">
        <v>25223616.009999976</v>
      </c>
    </row>
    <row r="40" spans="1:41" ht="14.1" customHeight="1" x14ac:dyDescent="0.2">
      <c r="A40" s="252">
        <v>29</v>
      </c>
      <c r="B40" s="273"/>
      <c r="C40" s="269">
        <v>31143</v>
      </c>
      <c r="D40" s="252" t="s">
        <v>161</v>
      </c>
      <c r="F40" s="655">
        <v>10087978.699999969</v>
      </c>
      <c r="G40" s="329"/>
      <c r="H40" s="655">
        <v>273512.18897999992</v>
      </c>
      <c r="I40" s="329"/>
      <c r="J40" s="655">
        <v>-15195121.609999996</v>
      </c>
      <c r="K40" s="329"/>
      <c r="L40" s="655">
        <v>0</v>
      </c>
      <c r="M40" s="329"/>
      <c r="N40" s="655">
        <v>0</v>
      </c>
      <c r="O40" s="329"/>
      <c r="P40" s="655">
        <v>4833630.8175000064</v>
      </c>
      <c r="Q40" s="329"/>
      <c r="R40" s="655">
        <v>9.6479980275034904E-2</v>
      </c>
      <c r="S40" s="329"/>
      <c r="T40" s="655">
        <v>9427697.0412207358</v>
      </c>
      <c r="V40" s="252">
        <v>29</v>
      </c>
      <c r="W40" s="273"/>
      <c r="X40" s="704"/>
    </row>
    <row r="41" spans="1:41" ht="14.1" customHeight="1" x14ac:dyDescent="0.2">
      <c r="A41" s="252">
        <v>30</v>
      </c>
      <c r="B41" s="273"/>
      <c r="C41" s="269">
        <v>31243</v>
      </c>
      <c r="D41" s="252" t="s">
        <v>162</v>
      </c>
      <c r="F41" s="655">
        <v>63080532.81000004</v>
      </c>
      <c r="G41" s="329"/>
      <c r="H41" s="655">
        <v>5772450.975981663</v>
      </c>
      <c r="I41" s="329"/>
      <c r="J41" s="655">
        <v>-164615095.13899994</v>
      </c>
      <c r="K41" s="329"/>
      <c r="L41" s="655">
        <v>-147333.35</v>
      </c>
      <c r="M41" s="329"/>
      <c r="N41" s="655">
        <v>0</v>
      </c>
      <c r="O41" s="329"/>
      <c r="P41" s="655">
        <v>95210521.227499947</v>
      </c>
      <c r="Q41" s="329"/>
      <c r="R41" s="655">
        <v>-698923.47551828623</v>
      </c>
      <c r="S41" s="329"/>
      <c r="T41" s="655">
        <v>60520851.973384269</v>
      </c>
      <c r="V41" s="252">
        <v>30</v>
      </c>
      <c r="W41" s="273"/>
      <c r="X41" s="704"/>
      <c r="Y41" s="279" t="s">
        <v>311</v>
      </c>
      <c r="AA41" s="283">
        <v>0</v>
      </c>
      <c r="AC41" s="283">
        <v>0</v>
      </c>
      <c r="AE41" s="283">
        <v>0</v>
      </c>
      <c r="AG41" s="283">
        <v>0</v>
      </c>
      <c r="AI41" s="283">
        <v>0</v>
      </c>
      <c r="AK41" s="283">
        <v>0</v>
      </c>
      <c r="AM41" s="283">
        <v>0</v>
      </c>
      <c r="AO41" s="283">
        <v>0</v>
      </c>
    </row>
    <row r="42" spans="1:41" ht="14.1" customHeight="1" x14ac:dyDescent="0.2">
      <c r="A42" s="252">
        <v>31</v>
      </c>
      <c r="B42" s="273"/>
      <c r="C42" s="269">
        <v>31443</v>
      </c>
      <c r="D42" s="252" t="s">
        <v>163</v>
      </c>
      <c r="F42" s="655">
        <v>23316479.299999967</v>
      </c>
      <c r="G42" s="329"/>
      <c r="H42" s="655">
        <v>1757117.3927146664</v>
      </c>
      <c r="I42" s="329"/>
      <c r="J42" s="655">
        <v>-54838227.589000002</v>
      </c>
      <c r="K42" s="329"/>
      <c r="L42" s="655">
        <v>0</v>
      </c>
      <c r="M42" s="329"/>
      <c r="N42" s="655">
        <v>0</v>
      </c>
      <c r="O42" s="329"/>
      <c r="P42" s="655">
        <v>29557804.997499991</v>
      </c>
      <c r="Q42" s="329"/>
      <c r="R42" s="655">
        <v>-206825.89878537506</v>
      </c>
      <c r="S42" s="329"/>
      <c r="T42" s="655">
        <v>22239288.917474113</v>
      </c>
      <c r="V42" s="252">
        <v>31</v>
      </c>
      <c r="W42" s="273"/>
      <c r="X42" s="704"/>
      <c r="Y42" s="282"/>
      <c r="Z42" s="282"/>
      <c r="AA42" s="664"/>
      <c r="AB42" s="602"/>
      <c r="AC42" s="664"/>
      <c r="AD42" s="602"/>
      <c r="AE42" s="664"/>
      <c r="AF42" s="602"/>
      <c r="AG42" s="664"/>
      <c r="AH42" s="602"/>
      <c r="AI42" s="664"/>
      <c r="AJ42" s="602"/>
      <c r="AK42" s="664"/>
      <c r="AL42" s="602"/>
      <c r="AM42" s="664"/>
      <c r="AN42" s="602"/>
      <c r="AO42" s="664"/>
    </row>
    <row r="43" spans="1:41" ht="14.1" customHeight="1" thickBot="1" x14ac:dyDescent="0.25">
      <c r="A43" s="252">
        <v>32</v>
      </c>
      <c r="B43" s="273"/>
      <c r="C43" s="269">
        <v>31543</v>
      </c>
      <c r="D43" s="252" t="s">
        <v>164</v>
      </c>
      <c r="F43" s="655">
        <v>15308576.919999989</v>
      </c>
      <c r="G43" s="329"/>
      <c r="H43" s="655">
        <v>938965.37472000008</v>
      </c>
      <c r="I43" s="329"/>
      <c r="J43" s="655">
        <v>-26437260.870000001</v>
      </c>
      <c r="K43" s="329"/>
      <c r="L43" s="655">
        <v>0</v>
      </c>
      <c r="M43" s="329"/>
      <c r="N43" s="655">
        <v>0</v>
      </c>
      <c r="O43" s="329"/>
      <c r="P43" s="655">
        <v>10077658.264999989</v>
      </c>
      <c r="Q43" s="329"/>
      <c r="R43" s="655">
        <v>-112060.31028002314</v>
      </c>
      <c r="S43" s="329"/>
      <c r="T43" s="655">
        <v>14519628.637744607</v>
      </c>
      <c r="V43" s="252">
        <v>32</v>
      </c>
      <c r="W43" s="273"/>
      <c r="X43" s="704"/>
      <c r="Y43" s="278" t="s">
        <v>312</v>
      </c>
      <c r="Z43" s="282"/>
      <c r="AA43" s="670">
        <v>3389324292.9000006</v>
      </c>
      <c r="AB43" s="602"/>
      <c r="AC43" s="670">
        <v>378568862.55206299</v>
      </c>
      <c r="AD43" s="709"/>
      <c r="AE43" s="670">
        <v>-1198090186.8320749</v>
      </c>
      <c r="AG43" s="670">
        <v>-32577709.829999998</v>
      </c>
      <c r="AI43" s="670">
        <v>2967500.0700000003</v>
      </c>
      <c r="AK43" s="670">
        <v>634265800.83260477</v>
      </c>
      <c r="AL43" s="709"/>
      <c r="AM43" s="670">
        <v>3174458559.6925926</v>
      </c>
      <c r="AN43" s="602"/>
      <c r="AO43" s="670">
        <v>3453255850.6427627</v>
      </c>
    </row>
    <row r="44" spans="1:41" ht="14.1" customHeight="1" thickTop="1" x14ac:dyDescent="0.2">
      <c r="A44" s="252">
        <v>33</v>
      </c>
      <c r="B44" s="273"/>
      <c r="C44" s="269">
        <v>31643</v>
      </c>
      <c r="D44" s="252" t="s">
        <v>165</v>
      </c>
      <c r="F44" s="655">
        <v>900973.58000000147</v>
      </c>
      <c r="G44" s="329"/>
      <c r="H44" s="655">
        <v>59647.583999999995</v>
      </c>
      <c r="I44" s="329"/>
      <c r="J44" s="655">
        <v>-1988252.7999999998</v>
      </c>
      <c r="K44" s="329"/>
      <c r="L44" s="655">
        <v>0</v>
      </c>
      <c r="M44" s="329"/>
      <c r="N44" s="655">
        <v>0</v>
      </c>
      <c r="O44" s="329"/>
      <c r="P44" s="655">
        <v>1027631.6199999996</v>
      </c>
      <c r="Q44" s="329"/>
      <c r="R44" s="655">
        <v>-1.5999998664483428E-2</v>
      </c>
      <c r="S44" s="329"/>
      <c r="T44" s="655">
        <v>856903.43507692451</v>
      </c>
      <c r="V44" s="252">
        <v>33</v>
      </c>
      <c r="W44" s="273"/>
      <c r="X44" s="704"/>
      <c r="Y44" s="282"/>
      <c r="Z44" s="282"/>
      <c r="AA44" s="710">
        <v>0</v>
      </c>
      <c r="AB44" s="710"/>
      <c r="AC44" s="710">
        <v>0</v>
      </c>
      <c r="AD44" s="710"/>
      <c r="AE44" s="710">
        <v>0</v>
      </c>
      <c r="AF44" s="710"/>
      <c r="AG44" s="710">
        <v>0</v>
      </c>
      <c r="AH44" s="710"/>
      <c r="AI44" s="710">
        <v>0</v>
      </c>
      <c r="AJ44" s="710"/>
      <c r="AK44" s="710">
        <v>0</v>
      </c>
      <c r="AL44" s="711"/>
      <c r="AM44" s="710">
        <v>0</v>
      </c>
      <c r="AN44" s="710"/>
      <c r="AO44" s="710">
        <v>0</v>
      </c>
    </row>
    <row r="45" spans="1:41" ht="14.1" customHeight="1" x14ac:dyDescent="0.2">
      <c r="A45" s="252">
        <v>34</v>
      </c>
      <c r="B45" s="273"/>
      <c r="C45" s="269"/>
      <c r="D45" s="282" t="s">
        <v>185</v>
      </c>
      <c r="E45" s="282"/>
      <c r="F45" s="664">
        <v>112694541.30999996</v>
      </c>
      <c r="G45" s="602"/>
      <c r="H45" s="664">
        <v>8801693.5163963307</v>
      </c>
      <c r="I45" s="602"/>
      <c r="J45" s="664">
        <v>-263073958.00799996</v>
      </c>
      <c r="K45" s="602"/>
      <c r="L45" s="664">
        <v>-147333.35</v>
      </c>
      <c r="M45" s="602"/>
      <c r="N45" s="664">
        <v>0</v>
      </c>
      <c r="O45" s="602"/>
      <c r="P45" s="664">
        <v>140707246.92749995</v>
      </c>
      <c r="Q45" s="602"/>
      <c r="R45" s="664">
        <v>-1017809.6041037028</v>
      </c>
      <c r="S45" s="602"/>
      <c r="T45" s="664">
        <v>107564370.00490063</v>
      </c>
      <c r="V45" s="252">
        <v>34</v>
      </c>
      <c r="W45" s="273"/>
      <c r="X45" s="704"/>
      <c r="Y45" s="282"/>
      <c r="Z45" s="282"/>
      <c r="AA45" s="602"/>
      <c r="AB45" s="602"/>
      <c r="AC45" s="602"/>
      <c r="AD45" s="602"/>
      <c r="AE45" s="602"/>
      <c r="AF45" s="602"/>
      <c r="AG45" s="602"/>
      <c r="AH45" s="602"/>
      <c r="AI45" s="602"/>
      <c r="AJ45" s="602"/>
      <c r="AK45" s="602"/>
      <c r="AL45" s="602"/>
      <c r="AM45" s="602"/>
      <c r="AN45" s="602"/>
      <c r="AO45" s="602"/>
    </row>
    <row r="46" spans="1:41" ht="14.1" customHeight="1" x14ac:dyDescent="0.2">
      <c r="A46" s="252">
        <v>35</v>
      </c>
      <c r="B46" s="273"/>
      <c r="C46" s="269"/>
      <c r="D46" s="282"/>
      <c r="E46" s="282"/>
      <c r="F46" s="602"/>
      <c r="G46" s="602"/>
      <c r="H46" s="602"/>
      <c r="I46" s="602"/>
      <c r="J46" s="602"/>
      <c r="K46" s="602"/>
      <c r="L46" s="602"/>
      <c r="M46" s="602"/>
      <c r="N46" s="602"/>
      <c r="O46" s="602"/>
      <c r="P46" s="602"/>
      <c r="Q46" s="602"/>
      <c r="R46" s="602"/>
      <c r="S46" s="602"/>
      <c r="T46" s="602"/>
      <c r="V46" s="252">
        <v>35</v>
      </c>
      <c r="W46" s="273"/>
      <c r="X46" s="704"/>
      <c r="Y46" s="282"/>
      <c r="Z46" s="282"/>
      <c r="AA46" s="602"/>
      <c r="AB46" s="602"/>
      <c r="AC46" s="602"/>
      <c r="AD46" s="602"/>
      <c r="AE46" s="602"/>
      <c r="AF46" s="602"/>
      <c r="AG46" s="602"/>
      <c r="AH46" s="602"/>
      <c r="AI46" s="602"/>
      <c r="AJ46" s="602"/>
      <c r="AK46" s="602"/>
      <c r="AL46" s="602"/>
      <c r="AM46" s="602"/>
      <c r="AN46" s="602"/>
      <c r="AO46" s="602"/>
    </row>
    <row r="47" spans="1:41" ht="14.1" customHeight="1" x14ac:dyDescent="0.2">
      <c r="A47" s="252">
        <v>36</v>
      </c>
      <c r="B47" s="273"/>
      <c r="C47" s="284"/>
      <c r="D47" s="282" t="s">
        <v>188</v>
      </c>
      <c r="E47" s="282"/>
      <c r="F47" s="602"/>
      <c r="G47" s="602"/>
      <c r="H47" s="602"/>
      <c r="I47" s="602"/>
      <c r="J47" s="602"/>
      <c r="K47" s="602"/>
      <c r="L47" s="692"/>
      <c r="M47" s="602"/>
      <c r="N47" s="692"/>
      <c r="O47" s="602"/>
      <c r="P47" s="692"/>
      <c r="Q47" s="692"/>
      <c r="R47" s="602"/>
      <c r="S47" s="602"/>
      <c r="T47" s="602"/>
      <c r="V47" s="252">
        <v>36</v>
      </c>
      <c r="W47" s="273"/>
      <c r="X47" s="704"/>
      <c r="Y47" s="282"/>
      <c r="Z47" s="282"/>
      <c r="AA47" s="602"/>
      <c r="AB47" s="602"/>
      <c r="AC47" s="602"/>
      <c r="AD47" s="602"/>
      <c r="AE47" s="602"/>
      <c r="AF47" s="602"/>
      <c r="AG47" s="602"/>
      <c r="AH47" s="602"/>
      <c r="AI47" s="602"/>
      <c r="AJ47" s="602"/>
      <c r="AK47" s="602"/>
      <c r="AL47" s="602"/>
      <c r="AM47" s="602"/>
      <c r="AN47" s="602"/>
      <c r="AO47" s="602"/>
    </row>
    <row r="48" spans="1:41" ht="14.1" customHeight="1" x14ac:dyDescent="0.2">
      <c r="A48" s="252">
        <v>37</v>
      </c>
      <c r="B48" s="273"/>
      <c r="C48" s="269">
        <v>31144</v>
      </c>
      <c r="D48" s="252" t="s">
        <v>161</v>
      </c>
      <c r="F48" s="655">
        <v>35727870.820000015</v>
      </c>
      <c r="G48" s="329"/>
      <c r="H48" s="655">
        <v>1165892.0337000003</v>
      </c>
      <c r="I48" s="329"/>
      <c r="J48" s="655">
        <v>0</v>
      </c>
      <c r="K48" s="329"/>
      <c r="L48" s="655">
        <v>0</v>
      </c>
      <c r="M48" s="329"/>
      <c r="N48" s="655">
        <v>0</v>
      </c>
      <c r="O48" s="329"/>
      <c r="P48" s="655">
        <v>0</v>
      </c>
      <c r="Q48" s="329"/>
      <c r="R48" s="655">
        <v>36893762.853700012</v>
      </c>
      <c r="S48" s="329"/>
      <c r="T48" s="655">
        <v>36310816.836849995</v>
      </c>
      <c r="V48" s="252">
        <v>37</v>
      </c>
      <c r="W48" s="712"/>
      <c r="X48" s="704"/>
      <c r="Y48" s="282"/>
      <c r="Z48" s="282"/>
      <c r="AA48" s="602"/>
      <c r="AB48" s="602"/>
      <c r="AC48" s="602"/>
      <c r="AD48" s="602"/>
      <c r="AE48" s="602"/>
      <c r="AF48" s="602"/>
      <c r="AG48" s="602"/>
      <c r="AH48" s="602"/>
      <c r="AI48" s="602"/>
      <c r="AJ48" s="602"/>
      <c r="AK48" s="602"/>
      <c r="AL48" s="602"/>
      <c r="AM48" s="602"/>
      <c r="AN48" s="602"/>
      <c r="AO48" s="602"/>
    </row>
    <row r="49" spans="1:41" ht="14.1" customHeight="1" x14ac:dyDescent="0.2">
      <c r="A49" s="252">
        <v>38</v>
      </c>
      <c r="B49" s="273"/>
      <c r="C49" s="269">
        <v>31244</v>
      </c>
      <c r="D49" s="252" t="s">
        <v>162</v>
      </c>
      <c r="F49" s="655">
        <v>93710611.190000057</v>
      </c>
      <c r="G49" s="329"/>
      <c r="H49" s="655">
        <v>8666862.2645899989</v>
      </c>
      <c r="I49" s="329"/>
      <c r="J49" s="655">
        <v>-831130.21500000008</v>
      </c>
      <c r="K49" s="329"/>
      <c r="L49" s="655">
        <v>-421505</v>
      </c>
      <c r="M49" s="329"/>
      <c r="N49" s="655">
        <v>0</v>
      </c>
      <c r="O49" s="329"/>
      <c r="P49" s="655">
        <v>0</v>
      </c>
      <c r="Q49" s="329"/>
      <c r="R49" s="655">
        <v>101124838.23959005</v>
      </c>
      <c r="S49" s="329"/>
      <c r="T49" s="655">
        <v>97426848.963156998</v>
      </c>
      <c r="V49" s="252">
        <v>38</v>
      </c>
      <c r="W49" s="712"/>
      <c r="X49" s="704"/>
      <c r="Y49" s="282"/>
      <c r="Z49" s="282"/>
      <c r="AA49" s="602"/>
      <c r="AB49" s="602"/>
      <c r="AC49" s="602"/>
      <c r="AD49" s="602"/>
      <c r="AE49" s="602"/>
      <c r="AF49" s="602"/>
      <c r="AG49" s="692"/>
      <c r="AH49" s="602"/>
      <c r="AI49" s="692"/>
      <c r="AJ49" s="692"/>
      <c r="AK49" s="692"/>
      <c r="AL49" s="692"/>
      <c r="AM49" s="602"/>
      <c r="AN49" s="602"/>
      <c r="AO49" s="602"/>
    </row>
    <row r="50" spans="1:41" ht="14.1" customHeight="1" x14ac:dyDescent="0.2">
      <c r="A50" s="252">
        <v>39</v>
      </c>
      <c r="B50" s="273"/>
      <c r="C50" s="269">
        <v>31444</v>
      </c>
      <c r="D50" s="252" t="s">
        <v>163</v>
      </c>
      <c r="F50" s="655">
        <v>45080268.519999996</v>
      </c>
      <c r="G50" s="329"/>
      <c r="H50" s="655">
        <v>3092198.3349506664</v>
      </c>
      <c r="I50" s="329"/>
      <c r="J50" s="655">
        <v>-831130.21500000008</v>
      </c>
      <c r="K50" s="329"/>
      <c r="L50" s="655">
        <v>0</v>
      </c>
      <c r="M50" s="329"/>
      <c r="N50" s="655">
        <v>0</v>
      </c>
      <c r="O50" s="329"/>
      <c r="P50" s="655">
        <v>0</v>
      </c>
      <c r="Q50" s="329"/>
      <c r="R50" s="655">
        <v>47341336.639950655</v>
      </c>
      <c r="S50" s="329"/>
      <c r="T50" s="655">
        <v>46398663.961746454</v>
      </c>
      <c r="V50" s="252">
        <v>39</v>
      </c>
      <c r="W50" s="712"/>
      <c r="X50" s="704"/>
      <c r="Y50" s="282"/>
      <c r="Z50" s="282"/>
      <c r="AA50" s="602"/>
      <c r="AB50" s="602"/>
      <c r="AC50" s="602"/>
      <c r="AD50" s="602"/>
      <c r="AE50" s="602"/>
      <c r="AF50" s="602"/>
      <c r="AG50" s="692"/>
      <c r="AH50" s="602"/>
      <c r="AI50" s="692"/>
      <c r="AJ50" s="692"/>
      <c r="AK50" s="692"/>
      <c r="AL50" s="692"/>
      <c r="AM50" s="602"/>
      <c r="AN50" s="602"/>
      <c r="AO50" s="602"/>
    </row>
    <row r="51" spans="1:41" ht="14.1" customHeight="1" x14ac:dyDescent="0.2">
      <c r="A51" s="252">
        <v>40</v>
      </c>
      <c r="B51" s="273"/>
      <c r="C51" s="269">
        <v>31544</v>
      </c>
      <c r="D51" s="252" t="s">
        <v>164</v>
      </c>
      <c r="F51" s="655">
        <v>29368762.999999966</v>
      </c>
      <c r="G51" s="329"/>
      <c r="H51" s="655">
        <v>1648279.0486400006</v>
      </c>
      <c r="I51" s="329"/>
      <c r="J51" s="655">
        <v>0</v>
      </c>
      <c r="K51" s="329"/>
      <c r="L51" s="655">
        <v>0</v>
      </c>
      <c r="M51" s="329"/>
      <c r="N51" s="655">
        <v>0</v>
      </c>
      <c r="O51" s="329"/>
      <c r="P51" s="655">
        <v>0</v>
      </c>
      <c r="Q51" s="329"/>
      <c r="R51" s="655">
        <v>31017042.048639968</v>
      </c>
      <c r="S51" s="329"/>
      <c r="T51" s="655">
        <v>30192902.524319965</v>
      </c>
      <c r="V51" s="252">
        <v>40</v>
      </c>
      <c r="W51" s="712"/>
      <c r="X51" s="704"/>
      <c r="Y51" s="282"/>
      <c r="Z51" s="282"/>
      <c r="AA51" s="602"/>
      <c r="AB51" s="602"/>
      <c r="AC51" s="602"/>
      <c r="AD51" s="602"/>
      <c r="AE51" s="602"/>
      <c r="AF51" s="602"/>
      <c r="AG51" s="692"/>
      <c r="AH51" s="602"/>
      <c r="AI51" s="692"/>
      <c r="AJ51" s="692"/>
      <c r="AK51" s="692"/>
      <c r="AL51" s="692"/>
      <c r="AM51" s="602"/>
      <c r="AN51" s="602"/>
      <c r="AO51" s="602"/>
    </row>
    <row r="52" spans="1:41" ht="14.1" customHeight="1" x14ac:dyDescent="0.2">
      <c r="A52" s="252">
        <v>41</v>
      </c>
      <c r="B52" s="273"/>
      <c r="C52" s="269">
        <v>31644</v>
      </c>
      <c r="D52" s="252" t="s">
        <v>165</v>
      </c>
      <c r="F52" s="655">
        <v>3936281.7099999958</v>
      </c>
      <c r="G52" s="329"/>
      <c r="H52" s="655">
        <v>146645.29475</v>
      </c>
      <c r="I52" s="329"/>
      <c r="J52" s="655">
        <v>0</v>
      </c>
      <c r="K52" s="329"/>
      <c r="L52" s="655">
        <v>0</v>
      </c>
      <c r="M52" s="329"/>
      <c r="N52" s="655">
        <v>0</v>
      </c>
      <c r="O52" s="329"/>
      <c r="P52" s="655">
        <v>0</v>
      </c>
      <c r="Q52" s="329"/>
      <c r="R52" s="655">
        <v>4082927.0047499957</v>
      </c>
      <c r="S52" s="329"/>
      <c r="T52" s="655">
        <v>4009604.357374995</v>
      </c>
      <c r="V52" s="252">
        <v>41</v>
      </c>
      <c r="W52" s="712"/>
      <c r="X52" s="704"/>
      <c r="Y52" s="282"/>
      <c r="Z52" s="282"/>
      <c r="AA52" s="602"/>
      <c r="AB52" s="602"/>
      <c r="AC52" s="602"/>
      <c r="AD52" s="602"/>
      <c r="AE52" s="602"/>
      <c r="AF52" s="602"/>
      <c r="AG52" s="692"/>
      <c r="AH52" s="602"/>
      <c r="AI52" s="692"/>
      <c r="AJ52" s="692"/>
      <c r="AK52" s="692"/>
      <c r="AL52" s="692"/>
      <c r="AM52" s="602"/>
      <c r="AN52" s="602"/>
      <c r="AO52" s="602"/>
    </row>
    <row r="53" spans="1:41" ht="14.1" customHeight="1" x14ac:dyDescent="0.2">
      <c r="A53" s="252">
        <v>42</v>
      </c>
      <c r="B53" s="273"/>
      <c r="D53" s="282" t="s">
        <v>189</v>
      </c>
      <c r="E53" s="282"/>
      <c r="F53" s="664">
        <v>207823795.24000007</v>
      </c>
      <c r="G53" s="602"/>
      <c r="H53" s="664">
        <v>14719876.976630667</v>
      </c>
      <c r="I53" s="602"/>
      <c r="J53" s="664">
        <v>-1662260.4300000002</v>
      </c>
      <c r="K53" s="602"/>
      <c r="L53" s="664">
        <v>-421505</v>
      </c>
      <c r="M53" s="602"/>
      <c r="N53" s="664">
        <v>0</v>
      </c>
      <c r="O53" s="602"/>
      <c r="P53" s="664">
        <v>0</v>
      </c>
      <c r="Q53" s="602"/>
      <c r="R53" s="664">
        <v>220459906.78663066</v>
      </c>
      <c r="S53" s="602"/>
      <c r="T53" s="664">
        <v>214338836.64344841</v>
      </c>
      <c r="V53" s="252">
        <v>42</v>
      </c>
      <c r="W53" s="712"/>
      <c r="X53" s="704"/>
      <c r="Y53" s="282"/>
      <c r="Z53" s="282"/>
      <c r="AA53" s="602"/>
      <c r="AB53" s="602"/>
      <c r="AC53" s="602"/>
      <c r="AD53" s="602"/>
      <c r="AE53" s="602"/>
      <c r="AF53" s="602"/>
      <c r="AG53" s="692"/>
      <c r="AH53" s="602"/>
      <c r="AI53" s="692"/>
      <c r="AJ53" s="692"/>
      <c r="AK53" s="692"/>
      <c r="AL53" s="692"/>
      <c r="AM53" s="602"/>
      <c r="AN53" s="602"/>
      <c r="AO53" s="602"/>
    </row>
    <row r="54" spans="1:41" ht="14.1" customHeight="1" x14ac:dyDescent="0.2">
      <c r="A54" s="252">
        <v>43</v>
      </c>
      <c r="B54" s="273"/>
      <c r="C54" s="284"/>
      <c r="D54" s="282"/>
      <c r="E54" s="282"/>
      <c r="F54" s="602"/>
      <c r="G54" s="602"/>
      <c r="H54" s="602"/>
      <c r="I54" s="602"/>
      <c r="J54" s="602"/>
      <c r="K54" s="602"/>
      <c r="L54" s="692"/>
      <c r="M54" s="602"/>
      <c r="N54" s="692"/>
      <c r="O54" s="602"/>
      <c r="P54" s="692"/>
      <c r="Q54" s="692"/>
      <c r="R54" s="602"/>
      <c r="S54" s="602"/>
      <c r="T54" s="602"/>
      <c r="V54" s="252">
        <v>43</v>
      </c>
      <c r="W54" s="712"/>
      <c r="X54" s="704"/>
      <c r="Y54" s="282"/>
      <c r="Z54" s="282"/>
      <c r="AA54" s="602"/>
      <c r="AB54" s="602"/>
      <c r="AC54" s="602"/>
      <c r="AD54" s="602"/>
      <c r="AE54" s="602"/>
      <c r="AF54" s="602"/>
      <c r="AG54" s="692"/>
      <c r="AH54" s="602"/>
      <c r="AI54" s="692"/>
      <c r="AJ54" s="692"/>
      <c r="AK54" s="692"/>
      <c r="AL54" s="692"/>
      <c r="AM54" s="602"/>
      <c r="AN54" s="602"/>
      <c r="AO54" s="602"/>
    </row>
    <row r="55" spans="1:41" ht="14.1" customHeight="1" thickBot="1" x14ac:dyDescent="0.25">
      <c r="A55" s="252">
        <v>44</v>
      </c>
      <c r="B55" s="667" t="s">
        <v>186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V55" s="252">
        <v>44</v>
      </c>
      <c r="W55" s="667" t="s">
        <v>186</v>
      </c>
      <c r="X55" s="702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</row>
    <row r="56" spans="1:41" ht="14.1" customHeight="1" x14ac:dyDescent="0.2">
      <c r="A56" s="252" t="s">
        <v>60</v>
      </c>
      <c r="R56" s="261" t="s">
        <v>60</v>
      </c>
      <c r="V56" s="252" t="s">
        <v>60</v>
      </c>
      <c r="AM56" s="261" t="s">
        <v>60</v>
      </c>
    </row>
    <row r="57" spans="1:41" ht="14.1" customHeight="1" thickBot="1" x14ac:dyDescent="0.25">
      <c r="A57" s="264" t="s">
        <v>301</v>
      </c>
      <c r="B57" s="264"/>
      <c r="C57" s="264"/>
      <c r="D57" s="264"/>
      <c r="E57" s="264"/>
      <c r="F57" s="264" t="s">
        <v>302</v>
      </c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 t="s">
        <v>840</v>
      </c>
    </row>
    <row r="58" spans="1:41" ht="14.1" customHeight="1" x14ac:dyDescent="0.2">
      <c r="A58" s="252" t="s">
        <v>129</v>
      </c>
      <c r="B58" s="285"/>
      <c r="E58" s="260" t="s">
        <v>130</v>
      </c>
      <c r="F58" s="252" t="s">
        <v>303</v>
      </c>
      <c r="J58" s="286"/>
      <c r="K58" s="286"/>
      <c r="P58" s="286"/>
      <c r="Q58" s="286"/>
      <c r="R58" s="286" t="s">
        <v>132</v>
      </c>
      <c r="T58" s="261"/>
    </row>
    <row r="59" spans="1:41" ht="14.1" customHeight="1" x14ac:dyDescent="0.2">
      <c r="B59" s="285"/>
      <c r="F59" s="252" t="s">
        <v>1399</v>
      </c>
      <c r="J59" s="260"/>
      <c r="K59" s="261"/>
      <c r="P59" s="260"/>
      <c r="Q59" s="260" t="s">
        <v>123</v>
      </c>
      <c r="R59" s="261" t="s">
        <v>1361</v>
      </c>
      <c r="T59" s="260"/>
    </row>
    <row r="60" spans="1:41" ht="14.1" customHeight="1" x14ac:dyDescent="0.2">
      <c r="A60" s="252" t="s">
        <v>134</v>
      </c>
      <c r="B60" s="285"/>
      <c r="F60" s="252" t="s">
        <v>123</v>
      </c>
      <c r="J60" s="260"/>
      <c r="K60" s="261"/>
      <c r="L60" s="260"/>
      <c r="N60" s="260"/>
      <c r="Q60" s="260" t="s">
        <v>123</v>
      </c>
      <c r="R60" s="261">
        <v>0</v>
      </c>
      <c r="T60" s="260"/>
    </row>
    <row r="61" spans="1:41" ht="14.1" customHeight="1" x14ac:dyDescent="0.2">
      <c r="B61" s="285"/>
      <c r="F61" s="252" t="s">
        <v>123</v>
      </c>
      <c r="J61" s="260"/>
      <c r="K61" s="261"/>
      <c r="L61" s="260"/>
      <c r="N61" s="260"/>
      <c r="Q61" s="260" t="s">
        <v>123</v>
      </c>
      <c r="R61" s="261"/>
      <c r="T61" s="260"/>
    </row>
    <row r="62" spans="1:41" ht="14.1" customHeight="1" thickBot="1" x14ac:dyDescent="0.25">
      <c r="A62" s="264" t="s">
        <v>135</v>
      </c>
      <c r="B62" s="287"/>
      <c r="C62" s="264"/>
      <c r="D62" s="264"/>
      <c r="E62" s="264"/>
      <c r="F62" s="264" t="s">
        <v>123</v>
      </c>
      <c r="G62" s="264"/>
      <c r="H62" s="266"/>
      <c r="I62" s="264"/>
      <c r="J62" s="264"/>
      <c r="K62" s="264"/>
      <c r="L62" s="264"/>
      <c r="M62" s="264"/>
      <c r="N62" s="264"/>
      <c r="O62" s="264"/>
      <c r="P62" s="264"/>
      <c r="Q62" s="264"/>
      <c r="R62" s="288"/>
      <c r="S62" s="264"/>
      <c r="T62" s="264"/>
    </row>
    <row r="63" spans="1:41" ht="14.1" customHeight="1" x14ac:dyDescent="0.2"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</row>
    <row r="64" spans="1:41" ht="14.1" customHeight="1" x14ac:dyDescent="0.2">
      <c r="C64" s="267" t="s">
        <v>136</v>
      </c>
      <c r="D64" s="267" t="s">
        <v>137</v>
      </c>
      <c r="E64" s="267"/>
      <c r="F64" s="267" t="s">
        <v>138</v>
      </c>
      <c r="G64" s="267"/>
      <c r="H64" s="267" t="s">
        <v>139</v>
      </c>
      <c r="I64" s="267"/>
      <c r="J64" s="269" t="s">
        <v>140</v>
      </c>
      <c r="L64" s="267" t="s">
        <v>141</v>
      </c>
      <c r="M64" s="267"/>
      <c r="N64" s="267" t="s">
        <v>142</v>
      </c>
      <c r="O64" s="267"/>
      <c r="P64" s="267" t="s">
        <v>143</v>
      </c>
      <c r="Q64" s="267"/>
      <c r="R64" s="267" t="s">
        <v>144</v>
      </c>
      <c r="S64" s="267"/>
      <c r="T64" s="267" t="s">
        <v>305</v>
      </c>
    </row>
    <row r="65" spans="1:20" ht="14.1" customHeight="1" x14ac:dyDescent="0.2">
      <c r="C65" s="269" t="s">
        <v>145</v>
      </c>
      <c r="D65" s="269" t="s">
        <v>145</v>
      </c>
      <c r="F65" s="267" t="s">
        <v>41</v>
      </c>
      <c r="G65" s="269"/>
      <c r="H65" s="267" t="s">
        <v>40</v>
      </c>
      <c r="I65" s="269"/>
      <c r="J65" s="267"/>
      <c r="K65" s="269"/>
      <c r="L65" s="269"/>
      <c r="M65" s="269"/>
      <c r="N65" s="269"/>
      <c r="O65" s="269"/>
      <c r="P65" s="269"/>
      <c r="Q65" s="269"/>
      <c r="R65" s="269" t="s">
        <v>41</v>
      </c>
      <c r="T65" s="269"/>
    </row>
    <row r="66" spans="1:20" ht="14.1" customHeight="1" x14ac:dyDescent="0.2">
      <c r="A66" s="252" t="s">
        <v>146</v>
      </c>
      <c r="B66" s="269"/>
      <c r="C66" s="269" t="s">
        <v>147</v>
      </c>
      <c r="D66" s="269" t="s">
        <v>147</v>
      </c>
      <c r="E66" s="267"/>
      <c r="F66" s="269" t="s">
        <v>6</v>
      </c>
      <c r="G66" s="269"/>
      <c r="H66" s="269" t="s">
        <v>6</v>
      </c>
      <c r="I66" s="269"/>
      <c r="J66" s="269"/>
      <c r="K66" s="267"/>
      <c r="L66" s="269" t="s">
        <v>306</v>
      </c>
      <c r="M66" s="269"/>
      <c r="N66" s="269" t="s">
        <v>306</v>
      </c>
      <c r="O66" s="269"/>
      <c r="P66" s="269" t="s">
        <v>150</v>
      </c>
      <c r="Q66" s="267"/>
      <c r="R66" s="267" t="s">
        <v>6</v>
      </c>
      <c r="S66" s="267"/>
      <c r="T66" s="269" t="s">
        <v>151</v>
      </c>
    </row>
    <row r="67" spans="1:20" ht="14.1" customHeight="1" thickBot="1" x14ac:dyDescent="0.25">
      <c r="A67" s="264" t="s">
        <v>152</v>
      </c>
      <c r="B67" s="266"/>
      <c r="C67" s="266" t="s">
        <v>52</v>
      </c>
      <c r="D67" s="266" t="s">
        <v>153</v>
      </c>
      <c r="E67" s="266"/>
      <c r="F67" s="270" t="s">
        <v>154</v>
      </c>
      <c r="G67" s="270"/>
      <c r="H67" s="270" t="s">
        <v>307</v>
      </c>
      <c r="I67" s="271"/>
      <c r="J67" s="270" t="s">
        <v>18</v>
      </c>
      <c r="K67" s="271"/>
      <c r="L67" s="270" t="s">
        <v>19</v>
      </c>
      <c r="M67" s="271"/>
      <c r="N67" s="270" t="s">
        <v>54</v>
      </c>
      <c r="O67" s="271"/>
      <c r="P67" s="272" t="s">
        <v>157</v>
      </c>
      <c r="Q67" s="272"/>
      <c r="R67" s="272" t="s">
        <v>158</v>
      </c>
      <c r="S67" s="272"/>
      <c r="T67" s="272" t="s">
        <v>3</v>
      </c>
    </row>
    <row r="68" spans="1:20" ht="14.1" customHeight="1" x14ac:dyDescent="0.2">
      <c r="A68" s="252">
        <v>1</v>
      </c>
    </row>
    <row r="69" spans="1:20" ht="14.1" customHeight="1" x14ac:dyDescent="0.2">
      <c r="A69" s="252">
        <v>2</v>
      </c>
      <c r="B69" s="273"/>
      <c r="D69" s="278" t="s">
        <v>190</v>
      </c>
      <c r="E69" s="282"/>
      <c r="F69" s="282"/>
      <c r="G69" s="282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</row>
    <row r="70" spans="1:20" ht="14.1" customHeight="1" x14ac:dyDescent="0.2">
      <c r="A70" s="252">
        <v>3</v>
      </c>
      <c r="B70" s="273"/>
      <c r="C70" s="269">
        <v>31145</v>
      </c>
      <c r="D70" s="252" t="s">
        <v>161</v>
      </c>
      <c r="F70" s="655">
        <v>12782535.770000005</v>
      </c>
      <c r="G70" s="329"/>
      <c r="H70" s="655">
        <v>489993.21380000026</v>
      </c>
      <c r="I70" s="329"/>
      <c r="J70" s="655">
        <v>0</v>
      </c>
      <c r="K70" s="329"/>
      <c r="L70" s="655">
        <v>0</v>
      </c>
      <c r="M70" s="329"/>
      <c r="N70" s="655">
        <v>0</v>
      </c>
      <c r="O70" s="329"/>
      <c r="P70" s="655">
        <v>0</v>
      </c>
      <c r="Q70" s="329"/>
      <c r="R70" s="655">
        <v>13272528.983800005</v>
      </c>
      <c r="S70" s="329"/>
      <c r="T70" s="655">
        <v>13027532.376900004</v>
      </c>
    </row>
    <row r="71" spans="1:20" ht="14.1" customHeight="1" x14ac:dyDescent="0.2">
      <c r="A71" s="252">
        <v>4</v>
      </c>
      <c r="B71" s="273"/>
      <c r="C71" s="269">
        <v>31245</v>
      </c>
      <c r="D71" s="252" t="s">
        <v>162</v>
      </c>
      <c r="F71" s="655">
        <v>62564680.180000022</v>
      </c>
      <c r="G71" s="329"/>
      <c r="H71" s="655">
        <v>4139936.4733416652</v>
      </c>
      <c r="I71" s="329"/>
      <c r="J71" s="655">
        <v>-2233295.0070000002</v>
      </c>
      <c r="K71" s="329"/>
      <c r="L71" s="655">
        <v>0</v>
      </c>
      <c r="M71" s="329"/>
      <c r="N71" s="655">
        <v>0</v>
      </c>
      <c r="O71" s="329"/>
      <c r="P71" s="655">
        <v>0</v>
      </c>
      <c r="Q71" s="329"/>
      <c r="R71" s="655">
        <v>64471321.646341689</v>
      </c>
      <c r="S71" s="329"/>
      <c r="T71" s="655">
        <v>63480714.621464126</v>
      </c>
    </row>
    <row r="72" spans="1:20" ht="14.1" customHeight="1" x14ac:dyDescent="0.2">
      <c r="A72" s="252">
        <v>5</v>
      </c>
      <c r="B72" s="273"/>
      <c r="C72" s="269">
        <v>31545</v>
      </c>
      <c r="D72" s="252" t="s">
        <v>164</v>
      </c>
      <c r="F72" s="655">
        <v>15180194.069999997</v>
      </c>
      <c r="G72" s="329"/>
      <c r="H72" s="655">
        <v>926168.67973366647</v>
      </c>
      <c r="I72" s="329"/>
      <c r="J72" s="655">
        <v>-2233295.0070000002</v>
      </c>
      <c r="K72" s="329"/>
      <c r="L72" s="655">
        <v>0</v>
      </c>
      <c r="M72" s="329"/>
      <c r="N72" s="655">
        <v>0</v>
      </c>
      <c r="O72" s="329"/>
      <c r="P72" s="655">
        <v>0</v>
      </c>
      <c r="Q72" s="329"/>
      <c r="R72" s="655">
        <v>13873067.742733661</v>
      </c>
      <c r="S72" s="329"/>
      <c r="T72" s="655">
        <v>14484468.377188949</v>
      </c>
    </row>
    <row r="73" spans="1:20" ht="14.1" customHeight="1" x14ac:dyDescent="0.2">
      <c r="A73" s="252">
        <v>6</v>
      </c>
      <c r="B73" s="273"/>
      <c r="C73" s="269">
        <v>31645</v>
      </c>
      <c r="D73" s="252" t="s">
        <v>165</v>
      </c>
      <c r="F73" s="655">
        <v>589914.2100000002</v>
      </c>
      <c r="G73" s="329"/>
      <c r="H73" s="655">
        <v>21533.233599999996</v>
      </c>
      <c r="I73" s="329"/>
      <c r="J73" s="655">
        <v>0</v>
      </c>
      <c r="K73" s="329"/>
      <c r="L73" s="655">
        <v>0</v>
      </c>
      <c r="M73" s="329"/>
      <c r="N73" s="655">
        <v>0</v>
      </c>
      <c r="O73" s="329"/>
      <c r="P73" s="655">
        <v>0</v>
      </c>
      <c r="Q73" s="329"/>
      <c r="R73" s="655">
        <v>611447.44360000023</v>
      </c>
      <c r="S73" s="329"/>
      <c r="T73" s="655">
        <v>600680.82680000039</v>
      </c>
    </row>
    <row r="74" spans="1:20" ht="14.1" customHeight="1" x14ac:dyDescent="0.2">
      <c r="A74" s="252">
        <v>7</v>
      </c>
      <c r="C74" s="269"/>
      <c r="D74" s="278" t="s">
        <v>191</v>
      </c>
      <c r="E74" s="282"/>
      <c r="F74" s="664">
        <v>91117324.230000019</v>
      </c>
      <c r="G74" s="602"/>
      <c r="H74" s="664">
        <v>5577631.6004753318</v>
      </c>
      <c r="I74" s="602"/>
      <c r="J74" s="664">
        <v>-4466590.0140000004</v>
      </c>
      <c r="K74" s="602"/>
      <c r="L74" s="664">
        <v>0</v>
      </c>
      <c r="M74" s="602"/>
      <c r="N74" s="664">
        <v>0</v>
      </c>
      <c r="O74" s="602"/>
      <c r="P74" s="664">
        <v>0</v>
      </c>
      <c r="Q74" s="602"/>
      <c r="R74" s="664">
        <v>92228365.816475347</v>
      </c>
      <c r="S74" s="602"/>
      <c r="T74" s="664">
        <v>91593396.20235309</v>
      </c>
    </row>
    <row r="75" spans="1:20" ht="14.1" customHeight="1" x14ac:dyDescent="0.2">
      <c r="A75" s="252">
        <v>8</v>
      </c>
    </row>
    <row r="76" spans="1:20" ht="14.1" customHeight="1" x14ac:dyDescent="0.2">
      <c r="A76" s="252">
        <v>9</v>
      </c>
      <c r="B76" s="273"/>
    </row>
    <row r="77" spans="1:20" ht="14.1" customHeight="1" x14ac:dyDescent="0.2">
      <c r="A77" s="252">
        <v>10</v>
      </c>
      <c r="B77" s="273"/>
      <c r="C77" s="269"/>
      <c r="D77" s="282" t="s">
        <v>192</v>
      </c>
      <c r="E77" s="282"/>
      <c r="F77" s="708"/>
      <c r="G77" s="708"/>
      <c r="H77" s="602"/>
      <c r="I77" s="602"/>
      <c r="J77" s="602"/>
      <c r="K77" s="602"/>
      <c r="L77" s="602"/>
      <c r="M77" s="602"/>
      <c r="N77" s="602"/>
      <c r="O77" s="602"/>
      <c r="P77" s="602"/>
      <c r="Q77" s="602"/>
      <c r="R77" s="602"/>
      <c r="S77" s="602"/>
      <c r="T77" s="602"/>
    </row>
    <row r="78" spans="1:20" ht="14.1" customHeight="1" x14ac:dyDescent="0.2">
      <c r="A78" s="252">
        <v>11</v>
      </c>
      <c r="B78" s="273"/>
      <c r="C78" s="269">
        <v>31146</v>
      </c>
      <c r="D78" s="252" t="s">
        <v>161</v>
      </c>
      <c r="F78" s="655">
        <v>7242262.0200000023</v>
      </c>
      <c r="G78" s="329"/>
      <c r="H78" s="655">
        <v>367054.52946000005</v>
      </c>
      <c r="I78" s="329"/>
      <c r="J78" s="655">
        <v>-5373971.25</v>
      </c>
      <c r="K78" s="329"/>
      <c r="L78" s="655">
        <v>0</v>
      </c>
      <c r="M78" s="329"/>
      <c r="N78" s="655">
        <v>0</v>
      </c>
      <c r="O78" s="329"/>
      <c r="P78" s="655">
        <v>2126376.8050000002</v>
      </c>
      <c r="Q78" s="329"/>
      <c r="R78" s="655">
        <v>4361722.1044600029</v>
      </c>
      <c r="S78" s="329"/>
      <c r="T78" s="655">
        <v>7175974.3274223078</v>
      </c>
    </row>
    <row r="79" spans="1:20" ht="14.1" customHeight="1" x14ac:dyDescent="0.2">
      <c r="A79" s="252">
        <v>12</v>
      </c>
      <c r="B79" s="273"/>
      <c r="C79" s="269">
        <v>31246</v>
      </c>
      <c r="D79" s="252" t="s">
        <v>162</v>
      </c>
      <c r="F79" s="655">
        <v>19322785.580000021</v>
      </c>
      <c r="G79" s="329"/>
      <c r="H79" s="655">
        <v>1816195.0573799994</v>
      </c>
      <c r="I79" s="329"/>
      <c r="J79" s="655">
        <v>-38578122.859999999</v>
      </c>
      <c r="K79" s="329"/>
      <c r="L79" s="655">
        <v>0</v>
      </c>
      <c r="M79" s="329"/>
      <c r="N79" s="655">
        <v>0</v>
      </c>
      <c r="O79" s="329"/>
      <c r="P79" s="655">
        <v>23987976.724999987</v>
      </c>
      <c r="Q79" s="329"/>
      <c r="R79" s="655">
        <v>6548834.502380006</v>
      </c>
      <c r="S79" s="329"/>
      <c r="T79" s="655">
        <v>19108564.17522848</v>
      </c>
    </row>
    <row r="80" spans="1:20" ht="14.1" customHeight="1" x14ac:dyDescent="0.2">
      <c r="A80" s="252">
        <v>13</v>
      </c>
      <c r="B80" s="273"/>
      <c r="C80" s="269">
        <v>31546</v>
      </c>
      <c r="D80" s="252" t="s">
        <v>164</v>
      </c>
      <c r="F80" s="655">
        <v>4823631.26</v>
      </c>
      <c r="G80" s="329"/>
      <c r="H80" s="655">
        <v>341808.46665000002</v>
      </c>
      <c r="I80" s="329"/>
      <c r="J80" s="655">
        <v>-9453945.7800000012</v>
      </c>
      <c r="K80" s="329"/>
      <c r="L80" s="655">
        <v>0</v>
      </c>
      <c r="M80" s="329"/>
      <c r="N80" s="655">
        <v>0</v>
      </c>
      <c r="O80" s="329"/>
      <c r="P80" s="655">
        <v>4494231.8999999994</v>
      </c>
      <c r="Q80" s="329"/>
      <c r="R80" s="655">
        <v>205725.84664999787</v>
      </c>
      <c r="S80" s="329"/>
      <c r="T80" s="655">
        <v>4613019.041017306</v>
      </c>
    </row>
    <row r="81" spans="1:20" ht="14.1" customHeight="1" x14ac:dyDescent="0.2">
      <c r="A81" s="252">
        <v>14</v>
      </c>
      <c r="B81" s="273"/>
      <c r="C81" s="269">
        <v>31646</v>
      </c>
      <c r="D81" s="252" t="s">
        <v>165</v>
      </c>
      <c r="F81" s="655">
        <v>990824.72999999847</v>
      </c>
      <c r="G81" s="329"/>
      <c r="H81" s="655">
        <v>50039.397629999992</v>
      </c>
      <c r="I81" s="329"/>
      <c r="J81" s="655">
        <v>-703562.07000000007</v>
      </c>
      <c r="K81" s="329"/>
      <c r="L81" s="655">
        <v>0</v>
      </c>
      <c r="M81" s="329"/>
      <c r="N81" s="655">
        <v>0</v>
      </c>
      <c r="O81" s="329"/>
      <c r="P81" s="655">
        <v>281742.745</v>
      </c>
      <c r="Q81" s="329"/>
      <c r="R81" s="655">
        <v>619044.80262999842</v>
      </c>
      <c r="S81" s="329"/>
      <c r="T81" s="655">
        <v>983396.78843038285</v>
      </c>
    </row>
    <row r="82" spans="1:20" ht="14.1" customHeight="1" x14ac:dyDescent="0.2">
      <c r="A82" s="252">
        <v>15</v>
      </c>
      <c r="B82" s="273"/>
      <c r="C82" s="269"/>
      <c r="D82" s="282" t="s">
        <v>193</v>
      </c>
      <c r="E82" s="282"/>
      <c r="F82" s="664">
        <v>32379503.590000018</v>
      </c>
      <c r="G82" s="602"/>
      <c r="H82" s="664">
        <v>2575097.4511199994</v>
      </c>
      <c r="I82" s="602"/>
      <c r="J82" s="664">
        <v>-54109601.960000001</v>
      </c>
      <c r="K82" s="602"/>
      <c r="L82" s="664">
        <v>0</v>
      </c>
      <c r="M82" s="602"/>
      <c r="N82" s="664">
        <v>0</v>
      </c>
      <c r="O82" s="602"/>
      <c r="P82" s="664">
        <v>30890328.174999986</v>
      </c>
      <c r="Q82" s="602"/>
      <c r="R82" s="664">
        <v>11735327.256120006</v>
      </c>
      <c r="S82" s="602"/>
      <c r="T82" s="664">
        <v>31880954.332098477</v>
      </c>
    </row>
    <row r="83" spans="1:20" ht="14.1" customHeight="1" x14ac:dyDescent="0.2">
      <c r="A83" s="252">
        <v>16</v>
      </c>
      <c r="B83" s="273"/>
    </row>
    <row r="84" spans="1:20" ht="14.1" customHeight="1" x14ac:dyDescent="0.2">
      <c r="A84" s="252">
        <v>17</v>
      </c>
      <c r="B84" s="273"/>
    </row>
    <row r="85" spans="1:20" ht="14.1" customHeight="1" x14ac:dyDescent="0.2">
      <c r="A85" s="252">
        <v>18</v>
      </c>
      <c r="B85" s="273"/>
      <c r="C85" s="289"/>
      <c r="D85" s="278" t="s">
        <v>194</v>
      </c>
      <c r="F85" s="713"/>
      <c r="G85" s="708"/>
      <c r="H85" s="713"/>
      <c r="I85" s="713"/>
      <c r="J85" s="713"/>
      <c r="K85" s="713"/>
      <c r="L85" s="713"/>
      <c r="M85" s="713"/>
      <c r="N85" s="713"/>
      <c r="O85" s="713"/>
      <c r="P85" s="713"/>
      <c r="Q85" s="713"/>
      <c r="R85" s="713"/>
      <c r="S85" s="713"/>
      <c r="T85" s="713"/>
    </row>
    <row r="86" spans="1:20" ht="14.1" customHeight="1" x14ac:dyDescent="0.2">
      <c r="A86" s="252">
        <v>19</v>
      </c>
      <c r="B86" s="273"/>
      <c r="C86" s="269">
        <v>31151</v>
      </c>
      <c r="D86" s="252" t="s">
        <v>161</v>
      </c>
      <c r="F86" s="655">
        <v>9959553.520000007</v>
      </c>
      <c r="G86" s="329"/>
      <c r="H86" s="655">
        <v>948601.54258999962</v>
      </c>
      <c r="I86" s="329"/>
      <c r="J86" s="655">
        <v>-22964540.84</v>
      </c>
      <c r="K86" s="329"/>
      <c r="L86" s="655">
        <v>0</v>
      </c>
      <c r="M86" s="329"/>
      <c r="N86" s="655">
        <v>0</v>
      </c>
      <c r="O86" s="329"/>
      <c r="P86" s="655">
        <v>12137516.689999999</v>
      </c>
      <c r="Q86" s="329"/>
      <c r="R86" s="655">
        <v>81130.912590006366</v>
      </c>
      <c r="S86" s="329"/>
      <c r="T86" s="655">
        <v>9601006.2797565423</v>
      </c>
    </row>
    <row r="87" spans="1:20" ht="14.1" customHeight="1" x14ac:dyDescent="0.2">
      <c r="A87" s="252">
        <v>20</v>
      </c>
      <c r="B87" s="273"/>
      <c r="C87" s="269">
        <v>31251</v>
      </c>
      <c r="D87" s="252" t="s">
        <v>162</v>
      </c>
      <c r="F87" s="655">
        <v>22212988.330000002</v>
      </c>
      <c r="G87" s="329"/>
      <c r="H87" s="655">
        <v>2020358.9951299999</v>
      </c>
      <c r="I87" s="329"/>
      <c r="J87" s="655">
        <v>-39270758.749999985</v>
      </c>
      <c r="K87" s="329"/>
      <c r="L87" s="655">
        <v>0</v>
      </c>
      <c r="M87" s="329"/>
      <c r="N87" s="655">
        <v>0</v>
      </c>
      <c r="O87" s="329"/>
      <c r="P87" s="655">
        <v>19051089.297500007</v>
      </c>
      <c r="Q87" s="329"/>
      <c r="R87" s="655">
        <v>4013677.8726300225</v>
      </c>
      <c r="S87" s="329"/>
      <c r="T87" s="655">
        <v>21667808.638911162</v>
      </c>
    </row>
    <row r="88" spans="1:20" ht="14.1" customHeight="1" x14ac:dyDescent="0.2">
      <c r="A88" s="252">
        <v>21</v>
      </c>
      <c r="B88" s="273"/>
      <c r="C88" s="269">
        <v>31551</v>
      </c>
      <c r="D88" s="252" t="s">
        <v>164</v>
      </c>
      <c r="F88" s="655">
        <v>7325704.8700000113</v>
      </c>
      <c r="G88" s="329"/>
      <c r="H88" s="655">
        <v>699649.46736000001</v>
      </c>
      <c r="I88" s="329"/>
      <c r="J88" s="655">
        <v>-9743999.5199999958</v>
      </c>
      <c r="K88" s="329"/>
      <c r="L88" s="655">
        <v>0</v>
      </c>
      <c r="M88" s="329"/>
      <c r="N88" s="655">
        <v>0</v>
      </c>
      <c r="O88" s="329"/>
      <c r="P88" s="655">
        <v>4379092.807500002</v>
      </c>
      <c r="Q88" s="329"/>
      <c r="R88" s="655">
        <v>2660447.6248600176</v>
      </c>
      <c r="S88" s="329"/>
      <c r="T88" s="655">
        <v>7262844.4719492402</v>
      </c>
    </row>
    <row r="89" spans="1:20" ht="14.1" customHeight="1" x14ac:dyDescent="0.2">
      <c r="A89" s="252">
        <v>22</v>
      </c>
      <c r="B89" s="273"/>
      <c r="C89" s="269">
        <v>31651</v>
      </c>
      <c r="D89" s="252" t="s">
        <v>195</v>
      </c>
      <c r="F89" s="655">
        <v>383964.12000000104</v>
      </c>
      <c r="G89" s="329"/>
      <c r="H89" s="655">
        <v>36072.404339999986</v>
      </c>
      <c r="I89" s="329"/>
      <c r="J89" s="655">
        <v>-879814.74000000011</v>
      </c>
      <c r="K89" s="329"/>
      <c r="L89" s="655">
        <v>0</v>
      </c>
      <c r="M89" s="329"/>
      <c r="N89" s="655">
        <v>0</v>
      </c>
      <c r="O89" s="329"/>
      <c r="P89" s="655">
        <v>459778.19749999989</v>
      </c>
      <c r="Q89" s="329"/>
      <c r="R89" s="655">
        <v>-1.8159999162890017E-2</v>
      </c>
      <c r="S89" s="329"/>
      <c r="T89" s="655">
        <v>369689.81890077022</v>
      </c>
    </row>
    <row r="90" spans="1:20" ht="14.1" customHeight="1" x14ac:dyDescent="0.2">
      <c r="A90" s="252">
        <v>23</v>
      </c>
      <c r="B90" s="273"/>
      <c r="C90" s="269"/>
      <c r="D90" s="279" t="s">
        <v>196</v>
      </c>
      <c r="F90" s="664">
        <v>39882210.840000018</v>
      </c>
      <c r="G90" s="602"/>
      <c r="H90" s="664">
        <v>3704682.4094199995</v>
      </c>
      <c r="I90" s="602"/>
      <c r="J90" s="664">
        <v>-72859113.849999979</v>
      </c>
      <c r="K90" s="602"/>
      <c r="L90" s="664">
        <v>0</v>
      </c>
      <c r="M90" s="602"/>
      <c r="N90" s="664">
        <v>0</v>
      </c>
      <c r="O90" s="602"/>
      <c r="P90" s="664">
        <v>36027476.992500007</v>
      </c>
      <c r="Q90" s="602"/>
      <c r="R90" s="664">
        <v>6755256.3919200469</v>
      </c>
      <c r="S90" s="602"/>
      <c r="T90" s="664">
        <v>38901349.209517717</v>
      </c>
    </row>
    <row r="91" spans="1:20" ht="14.1" customHeight="1" x14ac:dyDescent="0.2">
      <c r="A91" s="252">
        <v>24</v>
      </c>
      <c r="B91" s="273"/>
    </row>
    <row r="92" spans="1:20" ht="14.1" customHeight="1" x14ac:dyDescent="0.2">
      <c r="A92" s="252">
        <v>25</v>
      </c>
      <c r="B92" s="273"/>
    </row>
    <row r="93" spans="1:20" ht="14.1" customHeight="1" x14ac:dyDescent="0.2">
      <c r="A93" s="252">
        <v>26</v>
      </c>
      <c r="B93" s="273"/>
      <c r="C93" s="289"/>
      <c r="D93" s="278" t="s">
        <v>197</v>
      </c>
      <c r="E93" s="282"/>
      <c r="F93" s="602"/>
      <c r="G93" s="602"/>
      <c r="H93" s="602"/>
      <c r="I93" s="602"/>
      <c r="J93" s="602"/>
      <c r="K93" s="602"/>
      <c r="L93" s="692"/>
      <c r="M93" s="602"/>
      <c r="N93" s="692"/>
      <c r="O93" s="602"/>
      <c r="P93" s="692"/>
      <c r="Q93" s="692"/>
      <c r="R93" s="602"/>
      <c r="S93" s="602"/>
      <c r="T93" s="602"/>
    </row>
    <row r="94" spans="1:20" ht="14.1" customHeight="1" x14ac:dyDescent="0.2">
      <c r="A94" s="252">
        <v>27</v>
      </c>
      <c r="B94" s="273"/>
      <c r="C94" s="269">
        <v>31152</v>
      </c>
      <c r="D94" s="252" t="s">
        <v>161</v>
      </c>
      <c r="F94" s="655">
        <v>10145926.440000001</v>
      </c>
      <c r="G94" s="329"/>
      <c r="H94" s="655">
        <v>882310.42550000024</v>
      </c>
      <c r="I94" s="329"/>
      <c r="J94" s="655">
        <v>-25208869.299999997</v>
      </c>
      <c r="K94" s="329"/>
      <c r="L94" s="655">
        <v>0</v>
      </c>
      <c r="M94" s="329"/>
      <c r="N94" s="655">
        <v>0</v>
      </c>
      <c r="O94" s="329"/>
      <c r="P94" s="655">
        <v>14180632.369999999</v>
      </c>
      <c r="Q94" s="329"/>
      <c r="R94" s="655">
        <v>-6.4499996602535248E-2</v>
      </c>
      <c r="S94" s="329"/>
      <c r="T94" s="655">
        <v>9738755.7350576911</v>
      </c>
    </row>
    <row r="95" spans="1:20" ht="14.1" customHeight="1" x14ac:dyDescent="0.2">
      <c r="A95" s="252">
        <v>28</v>
      </c>
      <c r="B95" s="273"/>
      <c r="C95" s="269">
        <v>31252</v>
      </c>
      <c r="D95" s="252" t="s">
        <v>162</v>
      </c>
      <c r="F95" s="655">
        <v>20381382.729999974</v>
      </c>
      <c r="G95" s="329"/>
      <c r="H95" s="655">
        <v>2050411.4740000011</v>
      </c>
      <c r="I95" s="329"/>
      <c r="J95" s="655">
        <v>-51260286.849999949</v>
      </c>
      <c r="K95" s="329"/>
      <c r="L95" s="655">
        <v>0</v>
      </c>
      <c r="M95" s="329"/>
      <c r="N95" s="655">
        <v>0</v>
      </c>
      <c r="O95" s="329"/>
      <c r="P95" s="655">
        <v>28828492.500000015</v>
      </c>
      <c r="Q95" s="329"/>
      <c r="R95" s="655">
        <v>-0.1459999606013298</v>
      </c>
      <c r="S95" s="329"/>
      <c r="T95" s="655">
        <v>19681065.82469229</v>
      </c>
    </row>
    <row r="96" spans="1:20" ht="14.1" customHeight="1" x14ac:dyDescent="0.2">
      <c r="A96" s="252">
        <v>29</v>
      </c>
      <c r="B96" s="273"/>
      <c r="C96" s="269">
        <v>31552</v>
      </c>
      <c r="D96" s="252" t="s">
        <v>164</v>
      </c>
      <c r="F96" s="655">
        <v>7430727.629999998</v>
      </c>
      <c r="G96" s="329"/>
      <c r="H96" s="655">
        <v>653993.97372999974</v>
      </c>
      <c r="I96" s="329"/>
      <c r="J96" s="655">
        <v>-15951072.530000025</v>
      </c>
      <c r="K96" s="329"/>
      <c r="L96" s="655">
        <v>0</v>
      </c>
      <c r="M96" s="329"/>
      <c r="N96" s="655">
        <v>0</v>
      </c>
      <c r="O96" s="329"/>
      <c r="P96" s="655">
        <v>7866350.8075000076</v>
      </c>
      <c r="Q96" s="329"/>
      <c r="R96" s="655">
        <v>-0.11877002008259296</v>
      </c>
      <c r="S96" s="329"/>
      <c r="T96" s="655">
        <v>7135822.9459034568</v>
      </c>
    </row>
    <row r="97" spans="1:20" ht="14.1" customHeight="1" x14ac:dyDescent="0.2">
      <c r="A97" s="252">
        <v>30</v>
      </c>
      <c r="B97" s="273"/>
      <c r="C97" s="269">
        <v>31652</v>
      </c>
      <c r="D97" s="252" t="s">
        <v>165</v>
      </c>
      <c r="F97" s="655">
        <v>406931.91999999952</v>
      </c>
      <c r="G97" s="329"/>
      <c r="H97" s="655">
        <v>35468.787930000013</v>
      </c>
      <c r="I97" s="329"/>
      <c r="J97" s="655">
        <v>-958615.89000000013</v>
      </c>
      <c r="K97" s="329"/>
      <c r="L97" s="655">
        <v>0</v>
      </c>
      <c r="M97" s="329"/>
      <c r="N97" s="655">
        <v>0</v>
      </c>
      <c r="O97" s="329"/>
      <c r="P97" s="655">
        <v>516215.17250000004</v>
      </c>
      <c r="Q97" s="329"/>
      <c r="R97" s="655">
        <v>-9.5700005767866969E-3</v>
      </c>
      <c r="S97" s="329"/>
      <c r="T97" s="655">
        <v>390635.48954192264</v>
      </c>
    </row>
    <row r="98" spans="1:20" ht="14.1" customHeight="1" x14ac:dyDescent="0.2">
      <c r="A98" s="252">
        <v>31</v>
      </c>
      <c r="B98" s="273"/>
      <c r="D98" s="278" t="s">
        <v>198</v>
      </c>
      <c r="E98" s="282"/>
      <c r="F98" s="664">
        <v>38364968.719999976</v>
      </c>
      <c r="G98" s="602"/>
      <c r="H98" s="664">
        <v>3622184.6611600011</v>
      </c>
      <c r="I98" s="602"/>
      <c r="J98" s="664">
        <v>-93378844.569999978</v>
      </c>
      <c r="K98" s="602"/>
      <c r="L98" s="664">
        <v>0</v>
      </c>
      <c r="M98" s="602"/>
      <c r="N98" s="664">
        <v>0</v>
      </c>
      <c r="O98" s="602"/>
      <c r="P98" s="664">
        <v>51391690.850000016</v>
      </c>
      <c r="Q98" s="602"/>
      <c r="R98" s="664">
        <v>-0.33883997786324471</v>
      </c>
      <c r="S98" s="602"/>
      <c r="T98" s="664">
        <v>36946279.995195366</v>
      </c>
    </row>
    <row r="99" spans="1:20" ht="14.1" customHeight="1" x14ac:dyDescent="0.2">
      <c r="A99" s="252">
        <v>32</v>
      </c>
      <c r="B99" s="273"/>
    </row>
    <row r="100" spans="1:20" ht="14.1" customHeight="1" x14ac:dyDescent="0.2">
      <c r="A100" s="252">
        <v>33</v>
      </c>
      <c r="B100" s="273"/>
      <c r="D100" s="282"/>
      <c r="E100" s="28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02"/>
      <c r="R100" s="602"/>
      <c r="S100" s="602"/>
      <c r="T100" s="602"/>
    </row>
    <row r="101" spans="1:20" ht="14.1" customHeight="1" x14ac:dyDescent="0.2">
      <c r="A101" s="252">
        <v>34</v>
      </c>
      <c r="B101" s="273"/>
      <c r="C101" s="289"/>
      <c r="D101" s="278" t="s">
        <v>199</v>
      </c>
      <c r="E101" s="282"/>
      <c r="F101" s="282"/>
      <c r="G101" s="282"/>
      <c r="H101" s="706"/>
      <c r="I101" s="706"/>
      <c r="J101" s="706"/>
      <c r="K101" s="706"/>
      <c r="L101" s="706"/>
      <c r="M101" s="706"/>
      <c r="N101" s="706"/>
      <c r="O101" s="706"/>
      <c r="P101" s="706"/>
      <c r="Q101" s="706"/>
      <c r="R101" s="706"/>
      <c r="S101" s="706"/>
      <c r="T101" s="706"/>
    </row>
    <row r="102" spans="1:20" ht="14.1" customHeight="1" x14ac:dyDescent="0.2">
      <c r="A102" s="252">
        <v>35</v>
      </c>
      <c r="B102" s="273"/>
      <c r="C102" s="269">
        <v>31153</v>
      </c>
      <c r="D102" s="252" t="s">
        <v>161</v>
      </c>
      <c r="F102" s="655">
        <v>8400197.0399999768</v>
      </c>
      <c r="G102" s="329"/>
      <c r="H102" s="655">
        <v>672372.06866999995</v>
      </c>
      <c r="I102" s="329"/>
      <c r="J102" s="655">
        <v>-21689421.570000004</v>
      </c>
      <c r="K102" s="329"/>
      <c r="L102" s="655">
        <v>0</v>
      </c>
      <c r="M102" s="329"/>
      <c r="N102" s="655">
        <v>0</v>
      </c>
      <c r="O102" s="329"/>
      <c r="P102" s="655">
        <v>12616852.6325</v>
      </c>
      <c r="Q102" s="329"/>
      <c r="R102" s="655">
        <v>0.17116997390985489</v>
      </c>
      <c r="S102" s="329"/>
      <c r="T102" s="655">
        <v>8038493.1560657471</v>
      </c>
    </row>
    <row r="103" spans="1:20" ht="14.1" customHeight="1" x14ac:dyDescent="0.2">
      <c r="A103" s="252">
        <v>36</v>
      </c>
      <c r="B103" s="273"/>
      <c r="C103" s="269">
        <v>31253</v>
      </c>
      <c r="D103" s="252" t="s">
        <v>162</v>
      </c>
      <c r="F103" s="655">
        <v>19640474.069999974</v>
      </c>
      <c r="G103" s="329"/>
      <c r="H103" s="655">
        <v>1717566.2193300005</v>
      </c>
      <c r="I103" s="329"/>
      <c r="J103" s="655">
        <v>-44040159.469999999</v>
      </c>
      <c r="K103" s="329"/>
      <c r="L103" s="655">
        <v>0</v>
      </c>
      <c r="M103" s="329"/>
      <c r="N103" s="655">
        <v>0</v>
      </c>
      <c r="O103" s="329"/>
      <c r="P103" s="655">
        <v>22682119.40499999</v>
      </c>
      <c r="Q103" s="329"/>
      <c r="R103" s="655">
        <v>0.22432996705174446</v>
      </c>
      <c r="S103" s="329"/>
      <c r="T103" s="655">
        <v>18856331.020818822</v>
      </c>
    </row>
    <row r="104" spans="1:20" ht="14.1" customHeight="1" x14ac:dyDescent="0.2">
      <c r="A104" s="252">
        <v>37</v>
      </c>
      <c r="B104" s="273"/>
      <c r="C104" s="269">
        <v>31553</v>
      </c>
      <c r="D104" s="252" t="s">
        <v>164</v>
      </c>
      <c r="F104" s="655">
        <v>6796061.2100000056</v>
      </c>
      <c r="G104" s="329"/>
      <c r="H104" s="655">
        <v>550456.88159999996</v>
      </c>
      <c r="I104" s="329"/>
      <c r="J104" s="655">
        <v>-13761422.039999997</v>
      </c>
      <c r="K104" s="329"/>
      <c r="L104" s="655">
        <v>0</v>
      </c>
      <c r="M104" s="329"/>
      <c r="N104" s="655">
        <v>0</v>
      </c>
      <c r="O104" s="329"/>
      <c r="P104" s="655">
        <v>6414903.9725000039</v>
      </c>
      <c r="Q104" s="329"/>
      <c r="R104" s="655">
        <v>2.4100012145936489E-2</v>
      </c>
      <c r="S104" s="329"/>
      <c r="T104" s="655">
        <v>6506172.8763769288</v>
      </c>
    </row>
    <row r="105" spans="1:20" ht="14.1" customHeight="1" x14ac:dyDescent="0.2">
      <c r="A105" s="252">
        <v>38</v>
      </c>
      <c r="B105" s="273"/>
      <c r="C105" s="269">
        <v>31653</v>
      </c>
      <c r="D105" s="252" t="s">
        <v>165</v>
      </c>
      <c r="F105" s="655">
        <v>351384.43999999872</v>
      </c>
      <c r="G105" s="329"/>
      <c r="H105" s="655">
        <v>28039.239339999996</v>
      </c>
      <c r="I105" s="329"/>
      <c r="J105" s="655">
        <v>-824683.51</v>
      </c>
      <c r="K105" s="329"/>
      <c r="L105" s="655">
        <v>0</v>
      </c>
      <c r="M105" s="329"/>
      <c r="N105" s="655">
        <v>0</v>
      </c>
      <c r="O105" s="329"/>
      <c r="P105" s="655">
        <v>445259.81499999989</v>
      </c>
      <c r="Q105" s="329"/>
      <c r="R105" s="655">
        <v>-1.5660001430660486E-2</v>
      </c>
      <c r="S105" s="329"/>
      <c r="T105" s="655">
        <v>336217.62159307546</v>
      </c>
    </row>
    <row r="106" spans="1:20" ht="14.1" customHeight="1" x14ac:dyDescent="0.2">
      <c r="A106" s="252">
        <v>39</v>
      </c>
      <c r="B106" s="273"/>
      <c r="C106" s="269"/>
      <c r="D106" s="278" t="s">
        <v>200</v>
      </c>
      <c r="E106" s="282"/>
      <c r="F106" s="664">
        <v>35188116.759999953</v>
      </c>
      <c r="G106" s="602"/>
      <c r="H106" s="664">
        <v>2968434.4089400005</v>
      </c>
      <c r="I106" s="602"/>
      <c r="J106" s="664">
        <v>-80315686.590000004</v>
      </c>
      <c r="K106" s="602"/>
      <c r="L106" s="664">
        <v>0</v>
      </c>
      <c r="M106" s="602"/>
      <c r="N106" s="664">
        <v>0</v>
      </c>
      <c r="O106" s="602"/>
      <c r="P106" s="664">
        <v>42159135.824999996</v>
      </c>
      <c r="Q106" s="602"/>
      <c r="R106" s="664">
        <v>0.40393995167687535</v>
      </c>
      <c r="S106" s="602"/>
      <c r="T106" s="664">
        <v>33737214.674854569</v>
      </c>
    </row>
    <row r="107" spans="1:20" ht="14.1" customHeight="1" x14ac:dyDescent="0.2">
      <c r="A107" s="252">
        <v>40</v>
      </c>
      <c r="B107" s="273"/>
    </row>
    <row r="108" spans="1:20" ht="14.1" customHeight="1" x14ac:dyDescent="0.2">
      <c r="A108" s="252">
        <v>41</v>
      </c>
      <c r="B108" s="273"/>
    </row>
    <row r="109" spans="1:20" ht="14.1" customHeight="1" x14ac:dyDescent="0.2">
      <c r="A109" s="252">
        <v>42</v>
      </c>
      <c r="B109" s="273"/>
    </row>
    <row r="110" spans="1:20" ht="14.1" customHeight="1" x14ac:dyDescent="0.2">
      <c r="A110" s="252">
        <v>43</v>
      </c>
      <c r="B110" s="273"/>
    </row>
    <row r="111" spans="1:20" ht="14.1" customHeight="1" thickBot="1" x14ac:dyDescent="0.25">
      <c r="A111" s="252">
        <v>44</v>
      </c>
      <c r="B111" s="667" t="s">
        <v>186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</row>
    <row r="112" spans="1:20" ht="14.1" customHeight="1" x14ac:dyDescent="0.2">
      <c r="A112" s="252" t="s">
        <v>60</v>
      </c>
    </row>
    <row r="113" spans="1:20" ht="14.1" customHeight="1" thickBot="1" x14ac:dyDescent="0.25">
      <c r="A113" s="264" t="s">
        <v>301</v>
      </c>
      <c r="B113" s="264"/>
      <c r="C113" s="264"/>
      <c r="D113" s="264"/>
      <c r="E113" s="264"/>
      <c r="F113" s="264" t="s">
        <v>302</v>
      </c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 t="s">
        <v>325</v>
      </c>
    </row>
    <row r="114" spans="1:20" ht="14.1" customHeight="1" x14ac:dyDescent="0.2">
      <c r="A114" s="252" t="s">
        <v>129</v>
      </c>
      <c r="B114" s="285"/>
      <c r="E114" s="260" t="s">
        <v>130</v>
      </c>
      <c r="F114" s="252" t="s">
        <v>303</v>
      </c>
      <c r="J114" s="286"/>
      <c r="K114" s="286"/>
      <c r="P114" s="286"/>
      <c r="Q114" s="286"/>
      <c r="R114" s="286" t="s">
        <v>132</v>
      </c>
      <c r="T114" s="261"/>
    </row>
    <row r="115" spans="1:20" ht="14.1" customHeight="1" x14ac:dyDescent="0.2">
      <c r="B115" s="285"/>
      <c r="F115" s="252" t="s">
        <v>1399</v>
      </c>
      <c r="J115" s="260"/>
      <c r="K115" s="261"/>
      <c r="P115" s="260"/>
      <c r="Q115" s="260" t="s">
        <v>123</v>
      </c>
      <c r="R115" s="261" t="s">
        <v>1361</v>
      </c>
      <c r="T115" s="260"/>
    </row>
    <row r="116" spans="1:20" ht="14.1" customHeight="1" x14ac:dyDescent="0.2">
      <c r="A116" s="252" t="s">
        <v>134</v>
      </c>
      <c r="B116" s="285"/>
      <c r="F116" s="252" t="s">
        <v>123</v>
      </c>
      <c r="J116" s="260"/>
      <c r="K116" s="261"/>
      <c r="L116" s="260"/>
      <c r="N116" s="260"/>
      <c r="Q116" s="260" t="s">
        <v>123</v>
      </c>
      <c r="R116" s="261">
        <v>0</v>
      </c>
      <c r="T116" s="260"/>
    </row>
    <row r="117" spans="1:20" ht="14.1" customHeight="1" x14ac:dyDescent="0.2">
      <c r="B117" s="285"/>
      <c r="F117" s="252" t="s">
        <v>123</v>
      </c>
      <c r="J117" s="260"/>
      <c r="K117" s="261"/>
      <c r="L117" s="260"/>
      <c r="N117" s="260"/>
      <c r="Q117" s="260" t="s">
        <v>123</v>
      </c>
      <c r="R117" s="261"/>
      <c r="T117" s="260"/>
    </row>
    <row r="118" spans="1:20" ht="14.1" customHeight="1" thickBot="1" x14ac:dyDescent="0.25">
      <c r="A118" s="264" t="s">
        <v>135</v>
      </c>
      <c r="B118" s="287"/>
      <c r="C118" s="264"/>
      <c r="D118" s="264"/>
      <c r="E118" s="264"/>
      <c r="F118" s="264" t="s">
        <v>123</v>
      </c>
      <c r="G118" s="264"/>
      <c r="H118" s="266"/>
      <c r="I118" s="264"/>
      <c r="J118" s="264"/>
      <c r="K118" s="264"/>
      <c r="L118" s="264"/>
      <c r="M118" s="264"/>
      <c r="N118" s="264"/>
      <c r="O118" s="264"/>
      <c r="P118" s="264"/>
      <c r="Q118" s="264"/>
      <c r="R118" s="288"/>
      <c r="S118" s="264"/>
      <c r="T118" s="264"/>
    </row>
    <row r="119" spans="1:20" ht="14.1" customHeight="1" x14ac:dyDescent="0.2"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</row>
    <row r="120" spans="1:20" ht="14.1" customHeight="1" x14ac:dyDescent="0.2">
      <c r="C120" s="267" t="s">
        <v>136</v>
      </c>
      <c r="D120" s="267" t="s">
        <v>137</v>
      </c>
      <c r="E120" s="267"/>
      <c r="F120" s="267" t="s">
        <v>138</v>
      </c>
      <c r="G120" s="267"/>
      <c r="H120" s="267" t="s">
        <v>139</v>
      </c>
      <c r="I120" s="267"/>
      <c r="J120" s="269" t="s">
        <v>140</v>
      </c>
      <c r="L120" s="267" t="s">
        <v>141</v>
      </c>
      <c r="M120" s="267"/>
      <c r="N120" s="267" t="s">
        <v>142</v>
      </c>
      <c r="O120" s="267"/>
      <c r="P120" s="267" t="s">
        <v>143</v>
      </c>
      <c r="Q120" s="267"/>
      <c r="R120" s="267" t="s">
        <v>144</v>
      </c>
      <c r="S120" s="267"/>
      <c r="T120" s="267" t="s">
        <v>305</v>
      </c>
    </row>
    <row r="121" spans="1:20" ht="14.1" customHeight="1" x14ac:dyDescent="0.2">
      <c r="C121" s="269" t="s">
        <v>145</v>
      </c>
      <c r="D121" s="269" t="s">
        <v>145</v>
      </c>
      <c r="F121" s="267" t="s">
        <v>41</v>
      </c>
      <c r="G121" s="269"/>
      <c r="H121" s="267" t="s">
        <v>40</v>
      </c>
      <c r="I121" s="269"/>
      <c r="J121" s="267"/>
      <c r="K121" s="269"/>
      <c r="L121" s="269"/>
      <c r="M121" s="269"/>
      <c r="N121" s="269"/>
      <c r="O121" s="269"/>
      <c r="P121" s="269"/>
      <c r="Q121" s="269"/>
      <c r="R121" s="269" t="s">
        <v>41</v>
      </c>
      <c r="T121" s="269"/>
    </row>
    <row r="122" spans="1:20" ht="14.1" customHeight="1" x14ac:dyDescent="0.2">
      <c r="A122" s="252" t="s">
        <v>146</v>
      </c>
      <c r="B122" s="269"/>
      <c r="C122" s="269" t="s">
        <v>147</v>
      </c>
      <c r="D122" s="269" t="s">
        <v>147</v>
      </c>
      <c r="E122" s="267"/>
      <c r="F122" s="269" t="s">
        <v>6</v>
      </c>
      <c r="G122" s="269"/>
      <c r="H122" s="269" t="s">
        <v>6</v>
      </c>
      <c r="I122" s="269"/>
      <c r="J122" s="269"/>
      <c r="K122" s="267"/>
      <c r="L122" s="269" t="s">
        <v>306</v>
      </c>
      <c r="M122" s="269"/>
      <c r="N122" s="269" t="s">
        <v>306</v>
      </c>
      <c r="O122" s="269"/>
      <c r="P122" s="269" t="s">
        <v>150</v>
      </c>
      <c r="Q122" s="267"/>
      <c r="R122" s="267" t="s">
        <v>6</v>
      </c>
      <c r="S122" s="267"/>
      <c r="T122" s="269" t="s">
        <v>151</v>
      </c>
    </row>
    <row r="123" spans="1:20" ht="14.1" customHeight="1" thickBot="1" x14ac:dyDescent="0.25">
      <c r="A123" s="264" t="s">
        <v>152</v>
      </c>
      <c r="B123" s="266"/>
      <c r="C123" s="266" t="s">
        <v>52</v>
      </c>
      <c r="D123" s="266" t="s">
        <v>153</v>
      </c>
      <c r="E123" s="266"/>
      <c r="F123" s="270" t="s">
        <v>154</v>
      </c>
      <c r="G123" s="270"/>
      <c r="H123" s="270" t="s">
        <v>307</v>
      </c>
      <c r="I123" s="271"/>
      <c r="J123" s="270" t="s">
        <v>18</v>
      </c>
      <c r="K123" s="271"/>
      <c r="L123" s="270" t="s">
        <v>19</v>
      </c>
      <c r="M123" s="271"/>
      <c r="N123" s="270" t="s">
        <v>54</v>
      </c>
      <c r="O123" s="271"/>
      <c r="P123" s="272" t="s">
        <v>157</v>
      </c>
      <c r="Q123" s="272"/>
      <c r="R123" s="272" t="s">
        <v>158</v>
      </c>
      <c r="S123" s="272"/>
      <c r="T123" s="272" t="s">
        <v>3</v>
      </c>
    </row>
    <row r="124" spans="1:20" ht="14.1" customHeight="1" x14ac:dyDescent="0.2">
      <c r="A124" s="252">
        <v>1</v>
      </c>
    </row>
    <row r="125" spans="1:20" ht="14.1" customHeight="1" x14ac:dyDescent="0.2">
      <c r="A125" s="252">
        <v>2</v>
      </c>
      <c r="B125" s="273"/>
      <c r="C125" s="289"/>
      <c r="D125" s="278" t="s">
        <v>201</v>
      </c>
      <c r="E125" s="282"/>
      <c r="F125" s="708"/>
      <c r="G125" s="708"/>
      <c r="H125" s="602"/>
      <c r="I125" s="602"/>
      <c r="J125" s="602"/>
      <c r="K125" s="602"/>
      <c r="L125" s="602"/>
      <c r="M125" s="602"/>
      <c r="N125" s="602"/>
      <c r="O125" s="602"/>
      <c r="P125" s="602"/>
      <c r="Q125" s="602"/>
      <c r="R125" s="602"/>
      <c r="S125" s="602"/>
      <c r="T125" s="602"/>
    </row>
    <row r="126" spans="1:20" ht="14.1" customHeight="1" x14ac:dyDescent="0.2">
      <c r="A126" s="252">
        <v>3</v>
      </c>
      <c r="B126" s="273"/>
      <c r="C126" s="269">
        <v>31154</v>
      </c>
      <c r="D126" s="252" t="s">
        <v>161</v>
      </c>
      <c r="F126" s="655">
        <v>5469603</v>
      </c>
      <c r="G126" s="329"/>
      <c r="H126" s="655">
        <v>404573.9973600001</v>
      </c>
      <c r="I126" s="329"/>
      <c r="J126" s="655">
        <v>0</v>
      </c>
      <c r="K126" s="329"/>
      <c r="L126" s="655">
        <v>0</v>
      </c>
      <c r="M126" s="329"/>
      <c r="N126" s="655">
        <v>0</v>
      </c>
      <c r="O126" s="329"/>
      <c r="P126" s="655">
        <v>0</v>
      </c>
      <c r="Q126" s="329"/>
      <c r="R126" s="655">
        <v>5874176.9973600004</v>
      </c>
      <c r="S126" s="329"/>
      <c r="T126" s="655">
        <v>5671889.9986800011</v>
      </c>
    </row>
    <row r="127" spans="1:20" ht="14.1" customHeight="1" x14ac:dyDescent="0.2">
      <c r="A127" s="252">
        <v>4</v>
      </c>
      <c r="B127" s="273"/>
      <c r="C127" s="269">
        <v>31254</v>
      </c>
      <c r="D127" s="252" t="s">
        <v>162</v>
      </c>
      <c r="F127" s="655">
        <v>9243991.619999988</v>
      </c>
      <c r="G127" s="329"/>
      <c r="H127" s="655">
        <v>1154181.26446</v>
      </c>
      <c r="I127" s="329"/>
      <c r="J127" s="655">
        <v>0</v>
      </c>
      <c r="K127" s="329"/>
      <c r="L127" s="655">
        <v>0</v>
      </c>
      <c r="M127" s="329"/>
      <c r="N127" s="655">
        <v>0</v>
      </c>
      <c r="O127" s="329"/>
      <c r="P127" s="655">
        <v>0</v>
      </c>
      <c r="Q127" s="329"/>
      <c r="R127" s="655">
        <v>10398172.884459987</v>
      </c>
      <c r="S127" s="329"/>
      <c r="T127" s="655">
        <v>9821082.2522299867</v>
      </c>
    </row>
    <row r="128" spans="1:20" ht="14.1" customHeight="1" x14ac:dyDescent="0.2">
      <c r="A128" s="252">
        <v>5</v>
      </c>
      <c r="B128" s="273"/>
      <c r="C128" s="269">
        <v>31554</v>
      </c>
      <c r="D128" s="252" t="s">
        <v>164</v>
      </c>
      <c r="F128" s="655">
        <v>5611316.3599999854</v>
      </c>
      <c r="G128" s="329"/>
      <c r="H128" s="655">
        <v>415039.04636999994</v>
      </c>
      <c r="I128" s="329"/>
      <c r="J128" s="655">
        <v>0</v>
      </c>
      <c r="K128" s="329"/>
      <c r="L128" s="655">
        <v>0</v>
      </c>
      <c r="M128" s="329"/>
      <c r="N128" s="655">
        <v>0</v>
      </c>
      <c r="O128" s="329"/>
      <c r="P128" s="655">
        <v>0</v>
      </c>
      <c r="Q128" s="329"/>
      <c r="R128" s="655">
        <v>6026355.4063699851</v>
      </c>
      <c r="S128" s="329"/>
      <c r="T128" s="655">
        <v>5818835.8831849862</v>
      </c>
    </row>
    <row r="129" spans="1:20" ht="14.1" customHeight="1" x14ac:dyDescent="0.2">
      <c r="A129" s="252">
        <v>6</v>
      </c>
      <c r="B129" s="273"/>
      <c r="C129" s="269">
        <v>31654</v>
      </c>
      <c r="D129" s="252" t="s">
        <v>165</v>
      </c>
      <c r="F129" s="655">
        <v>305295.28000000073</v>
      </c>
      <c r="G129" s="329"/>
      <c r="H129" s="655">
        <v>22701.833880000006</v>
      </c>
      <c r="I129" s="329"/>
      <c r="J129" s="655">
        <v>0</v>
      </c>
      <c r="K129" s="329"/>
      <c r="L129" s="655">
        <v>0</v>
      </c>
      <c r="M129" s="329"/>
      <c r="N129" s="655">
        <v>0</v>
      </c>
      <c r="O129" s="329"/>
      <c r="P129" s="655">
        <v>0</v>
      </c>
      <c r="Q129" s="329"/>
      <c r="R129" s="655">
        <v>327997.11388000072</v>
      </c>
      <c r="S129" s="329"/>
      <c r="T129" s="655">
        <v>316646.19694000087</v>
      </c>
    </row>
    <row r="130" spans="1:20" ht="14.1" customHeight="1" x14ac:dyDescent="0.2">
      <c r="A130" s="252">
        <v>7</v>
      </c>
      <c r="C130" s="269"/>
      <c r="D130" s="278" t="s">
        <v>202</v>
      </c>
      <c r="E130" s="282"/>
      <c r="F130" s="664">
        <v>20630206.259999976</v>
      </c>
      <c r="G130" s="602"/>
      <c r="H130" s="664">
        <v>1996496.1420700001</v>
      </c>
      <c r="I130" s="602"/>
      <c r="J130" s="664">
        <v>0</v>
      </c>
      <c r="K130" s="602"/>
      <c r="L130" s="664">
        <v>0</v>
      </c>
      <c r="M130" s="602"/>
      <c r="N130" s="664">
        <v>0</v>
      </c>
      <c r="O130" s="602"/>
      <c r="P130" s="664">
        <v>0</v>
      </c>
      <c r="Q130" s="602"/>
      <c r="R130" s="664">
        <v>22626702.402069975</v>
      </c>
      <c r="S130" s="602"/>
      <c r="T130" s="664">
        <v>21628454.331034977</v>
      </c>
    </row>
    <row r="131" spans="1:20" ht="14.1" customHeight="1" x14ac:dyDescent="0.2">
      <c r="A131" s="252">
        <v>8</v>
      </c>
    </row>
    <row r="132" spans="1:20" ht="14.1" customHeight="1" x14ac:dyDescent="0.2">
      <c r="A132" s="252">
        <v>9</v>
      </c>
      <c r="B132" s="273"/>
      <c r="C132" s="714">
        <v>31247</v>
      </c>
      <c r="D132" s="715" t="s">
        <v>203</v>
      </c>
      <c r="F132" s="281">
        <v>21433231.900000002</v>
      </c>
      <c r="G132" s="281"/>
      <c r="H132" s="281">
        <v>0</v>
      </c>
      <c r="I132" s="281"/>
      <c r="J132" s="281">
        <v>-11287185.539999999</v>
      </c>
      <c r="K132" s="281"/>
      <c r="L132" s="281">
        <v>0</v>
      </c>
      <c r="M132" s="281"/>
      <c r="N132" s="281">
        <v>0</v>
      </c>
      <c r="O132" s="281"/>
      <c r="P132" s="281">
        <v>0</v>
      </c>
      <c r="Q132" s="281"/>
      <c r="R132" s="281">
        <v>10146046.360000003</v>
      </c>
      <c r="S132" s="281"/>
      <c r="T132" s="281">
        <v>20564986.858461544</v>
      </c>
    </row>
    <row r="133" spans="1:20" ht="14.1" customHeight="1" x14ac:dyDescent="0.2">
      <c r="A133" s="252">
        <v>10</v>
      </c>
      <c r="B133" s="273"/>
    </row>
    <row r="134" spans="1:20" ht="14.1" customHeight="1" x14ac:dyDescent="0.2">
      <c r="A134" s="252">
        <v>11</v>
      </c>
      <c r="B134" s="273"/>
      <c r="C134" s="267">
        <v>31647</v>
      </c>
      <c r="D134" s="252" t="s">
        <v>204</v>
      </c>
      <c r="F134" s="655">
        <v>689077.07000000181</v>
      </c>
      <c r="G134" s="329"/>
      <c r="H134" s="655">
        <v>158134.57588499997</v>
      </c>
      <c r="I134" s="329"/>
      <c r="J134" s="655">
        <v>-6803.84</v>
      </c>
      <c r="K134" s="329"/>
      <c r="L134" s="655">
        <v>0</v>
      </c>
      <c r="M134" s="329"/>
      <c r="N134" s="655">
        <v>0</v>
      </c>
      <c r="O134" s="329"/>
      <c r="P134" s="655">
        <v>0</v>
      </c>
      <c r="Q134" s="329"/>
      <c r="R134" s="655">
        <v>840407.80588500178</v>
      </c>
      <c r="S134" s="329"/>
      <c r="T134" s="281">
        <v>766842.1874400021</v>
      </c>
    </row>
    <row r="135" spans="1:20" ht="14.1" customHeight="1" x14ac:dyDescent="0.2">
      <c r="A135" s="252">
        <v>12</v>
      </c>
      <c r="B135" s="273"/>
      <c r="C135" s="269"/>
      <c r="F135" s="716"/>
      <c r="G135" s="708"/>
      <c r="H135" s="716"/>
      <c r="I135" s="602"/>
      <c r="J135" s="716"/>
      <c r="K135" s="602"/>
      <c r="L135" s="716"/>
      <c r="M135" s="602"/>
      <c r="N135" s="716"/>
      <c r="O135" s="602"/>
      <c r="P135" s="716"/>
      <c r="Q135" s="602"/>
      <c r="R135" s="716"/>
      <c r="S135" s="602"/>
      <c r="T135" s="716"/>
    </row>
    <row r="136" spans="1:20" ht="14.1" customHeight="1" thickBot="1" x14ac:dyDescent="0.25">
      <c r="A136" s="252">
        <v>13</v>
      </c>
      <c r="B136" s="273"/>
      <c r="C136" s="269"/>
      <c r="D136" s="279" t="s">
        <v>205</v>
      </c>
      <c r="F136" s="670">
        <v>823067032.5400002</v>
      </c>
      <c r="G136" s="260"/>
      <c r="H136" s="670">
        <v>72734684.385556325</v>
      </c>
      <c r="I136" s="661"/>
      <c r="J136" s="670">
        <v>-970117110.76599991</v>
      </c>
      <c r="K136" s="661"/>
      <c r="L136" s="670">
        <v>-8331442.3499999996</v>
      </c>
      <c r="M136" s="661"/>
      <c r="N136" s="670">
        <v>0</v>
      </c>
      <c r="O136" s="661"/>
      <c r="P136" s="670">
        <v>476194577.48750001</v>
      </c>
      <c r="Q136" s="661"/>
      <c r="R136" s="670">
        <v>393547741.2970565</v>
      </c>
      <c r="S136" s="708"/>
      <c r="T136" s="670">
        <v>812520877.02280343</v>
      </c>
    </row>
    <row r="137" spans="1:20" ht="14.1" customHeight="1" thickTop="1" x14ac:dyDescent="0.2">
      <c r="A137" s="252">
        <v>14</v>
      </c>
      <c r="B137" s="273"/>
      <c r="C137" s="269"/>
      <c r="D137" s="279"/>
      <c r="F137" s="664"/>
      <c r="G137" s="708"/>
      <c r="H137" s="664"/>
      <c r="I137" s="708"/>
      <c r="J137" s="664"/>
      <c r="K137" s="708"/>
      <c r="L137" s="664"/>
      <c r="M137" s="708"/>
      <c r="N137" s="664"/>
      <c r="O137" s="708"/>
      <c r="P137" s="664"/>
      <c r="Q137" s="708"/>
      <c r="R137" s="664"/>
      <c r="S137" s="708"/>
      <c r="T137" s="664"/>
    </row>
    <row r="138" spans="1:20" ht="14.1" customHeight="1" thickBot="1" x14ac:dyDescent="0.25">
      <c r="A138" s="252">
        <v>15</v>
      </c>
      <c r="B138" s="273"/>
      <c r="C138" s="269"/>
      <c r="D138" s="83" t="s">
        <v>68</v>
      </c>
      <c r="F138" s="665">
        <v>823067032.5400002</v>
      </c>
      <c r="G138" s="257"/>
      <c r="H138" s="665">
        <v>72734684.385556325</v>
      </c>
      <c r="I138" s="674"/>
      <c r="J138" s="665">
        <v>-970117110.76599991</v>
      </c>
      <c r="K138" s="674"/>
      <c r="L138" s="665">
        <v>-8331442.3499999996</v>
      </c>
      <c r="M138" s="674"/>
      <c r="N138" s="665">
        <v>0</v>
      </c>
      <c r="O138" s="674"/>
      <c r="P138" s="665">
        <v>476194577.48750001</v>
      </c>
      <c r="Q138" s="674"/>
      <c r="R138" s="665">
        <v>393547741.2970565</v>
      </c>
      <c r="S138" s="666"/>
      <c r="T138" s="665">
        <v>812520877.02280343</v>
      </c>
    </row>
    <row r="139" spans="1:20" ht="14.1" customHeight="1" thickTop="1" x14ac:dyDescent="0.2">
      <c r="A139" s="252">
        <v>16</v>
      </c>
      <c r="B139" s="273"/>
      <c r="C139" s="269"/>
    </row>
    <row r="140" spans="1:20" ht="14.1" customHeight="1" x14ac:dyDescent="0.2">
      <c r="A140" s="252">
        <v>17</v>
      </c>
      <c r="B140" s="273"/>
      <c r="D140" s="83" t="s">
        <v>63</v>
      </c>
    </row>
    <row r="141" spans="1:20" ht="14.1" customHeight="1" x14ac:dyDescent="0.2">
      <c r="A141" s="252">
        <v>18</v>
      </c>
      <c r="B141" s="273"/>
      <c r="C141" s="269"/>
      <c r="D141" s="252" t="s">
        <v>159</v>
      </c>
      <c r="F141" s="276"/>
      <c r="G141" s="602"/>
      <c r="H141" s="706"/>
      <c r="I141" s="602"/>
      <c r="J141" s="706"/>
      <c r="K141" s="602"/>
      <c r="L141" s="706"/>
      <c r="M141" s="602"/>
      <c r="N141" s="706"/>
      <c r="O141" s="602"/>
      <c r="P141" s="706"/>
      <c r="Q141" s="602"/>
      <c r="R141" s="706"/>
      <c r="S141" s="602"/>
      <c r="T141" s="706"/>
    </row>
    <row r="142" spans="1:20" ht="14.1" customHeight="1" x14ac:dyDescent="0.2">
      <c r="A142" s="252">
        <v>19</v>
      </c>
      <c r="B142" s="273"/>
      <c r="C142" s="269"/>
      <c r="D142" s="252" t="s">
        <v>208</v>
      </c>
      <c r="G142" s="602"/>
      <c r="I142" s="602"/>
      <c r="K142" s="602"/>
      <c r="M142" s="602"/>
      <c r="O142" s="602"/>
      <c r="Q142" s="602"/>
      <c r="S142" s="602"/>
    </row>
    <row r="143" spans="1:20" ht="14.1" customHeight="1" x14ac:dyDescent="0.2">
      <c r="A143" s="252">
        <v>20</v>
      </c>
      <c r="B143" s="273"/>
      <c r="C143" s="269">
        <v>34144</v>
      </c>
      <c r="D143" s="252" t="s">
        <v>161</v>
      </c>
      <c r="F143" s="655">
        <v>605119.22000000067</v>
      </c>
      <c r="G143" s="329"/>
      <c r="H143" s="655">
        <v>86088.160340000002</v>
      </c>
      <c r="I143" s="329"/>
      <c r="J143" s="655">
        <v>0</v>
      </c>
      <c r="K143" s="329"/>
      <c r="L143" s="655">
        <v>0</v>
      </c>
      <c r="M143" s="329"/>
      <c r="N143" s="655">
        <v>0</v>
      </c>
      <c r="O143" s="329"/>
      <c r="P143" s="655">
        <v>0</v>
      </c>
      <c r="Q143" s="329"/>
      <c r="R143" s="655">
        <v>691207.38034000061</v>
      </c>
      <c r="S143" s="329"/>
      <c r="T143" s="655">
        <v>648163.30017000088</v>
      </c>
    </row>
    <row r="144" spans="1:20" ht="14.1" customHeight="1" x14ac:dyDescent="0.2">
      <c r="A144" s="252">
        <v>21</v>
      </c>
      <c r="B144" s="273"/>
      <c r="C144" s="269">
        <v>34244</v>
      </c>
      <c r="D144" s="252" t="s">
        <v>162</v>
      </c>
      <c r="F144" s="655">
        <v>748754.47000000195</v>
      </c>
      <c r="G144" s="329"/>
      <c r="H144" s="655">
        <v>84714.532920000012</v>
      </c>
      <c r="I144" s="329"/>
      <c r="J144" s="655">
        <v>0</v>
      </c>
      <c r="K144" s="329"/>
      <c r="L144" s="655">
        <v>0</v>
      </c>
      <c r="M144" s="329"/>
      <c r="N144" s="655">
        <v>0</v>
      </c>
      <c r="O144" s="329"/>
      <c r="P144" s="655">
        <v>0</v>
      </c>
      <c r="Q144" s="329"/>
      <c r="R144" s="655">
        <v>833469.00292000198</v>
      </c>
      <c r="S144" s="329"/>
      <c r="T144" s="655">
        <v>791111.73646000191</v>
      </c>
    </row>
    <row r="145" spans="1:20" ht="14.1" customHeight="1" x14ac:dyDescent="0.2">
      <c r="A145" s="252">
        <v>22</v>
      </c>
      <c r="B145" s="273"/>
      <c r="C145" s="269">
        <v>34344</v>
      </c>
      <c r="D145" s="252" t="s">
        <v>163</v>
      </c>
      <c r="F145" s="655">
        <v>8901059.020000007</v>
      </c>
      <c r="G145" s="329"/>
      <c r="H145" s="655">
        <v>792674.02359999984</v>
      </c>
      <c r="I145" s="329"/>
      <c r="J145" s="655">
        <v>0</v>
      </c>
      <c r="K145" s="329"/>
      <c r="L145" s="655">
        <v>0</v>
      </c>
      <c r="M145" s="329"/>
      <c r="N145" s="655">
        <v>0</v>
      </c>
      <c r="O145" s="329"/>
      <c r="P145" s="655">
        <v>0</v>
      </c>
      <c r="Q145" s="329"/>
      <c r="R145" s="655">
        <v>9693733.043600006</v>
      </c>
      <c r="S145" s="329"/>
      <c r="T145" s="655">
        <v>9297396.0318000037</v>
      </c>
    </row>
    <row r="146" spans="1:20" ht="14.1" customHeight="1" x14ac:dyDescent="0.2">
      <c r="A146" s="252">
        <v>23</v>
      </c>
      <c r="B146" s="273"/>
      <c r="C146" s="269">
        <v>34544</v>
      </c>
      <c r="D146" s="252" t="s">
        <v>164</v>
      </c>
      <c r="F146" s="655">
        <v>5824534.9499999955</v>
      </c>
      <c r="G146" s="329"/>
      <c r="H146" s="655">
        <v>612988.17560000008</v>
      </c>
      <c r="I146" s="329"/>
      <c r="J146" s="655">
        <v>0</v>
      </c>
      <c r="K146" s="329"/>
      <c r="L146" s="655">
        <v>0</v>
      </c>
      <c r="M146" s="329"/>
      <c r="N146" s="655">
        <v>0</v>
      </c>
      <c r="O146" s="329"/>
      <c r="P146" s="655">
        <v>0</v>
      </c>
      <c r="Q146" s="329"/>
      <c r="R146" s="655">
        <v>6437523.1255999953</v>
      </c>
      <c r="S146" s="329"/>
      <c r="T146" s="655">
        <v>6131029.0377999935</v>
      </c>
    </row>
    <row r="147" spans="1:20" ht="14.1" customHeight="1" x14ac:dyDescent="0.2">
      <c r="A147" s="252">
        <v>24</v>
      </c>
      <c r="B147" s="273"/>
      <c r="C147" s="269">
        <v>34644</v>
      </c>
      <c r="D147" s="252" t="s">
        <v>165</v>
      </c>
      <c r="F147" s="655">
        <v>188132.3</v>
      </c>
      <c r="G147" s="329"/>
      <c r="H147" s="655">
        <v>20426.588400000004</v>
      </c>
      <c r="I147" s="329"/>
      <c r="J147" s="655">
        <v>0</v>
      </c>
      <c r="K147" s="329"/>
      <c r="L147" s="655">
        <v>0</v>
      </c>
      <c r="M147" s="329"/>
      <c r="N147" s="655">
        <v>0</v>
      </c>
      <c r="O147" s="329"/>
      <c r="P147" s="655">
        <v>0</v>
      </c>
      <c r="Q147" s="329"/>
      <c r="R147" s="655">
        <v>208558.8884</v>
      </c>
      <c r="S147" s="329"/>
      <c r="T147" s="655">
        <v>198345.59419999999</v>
      </c>
    </row>
    <row r="148" spans="1:20" ht="14.1" customHeight="1" x14ac:dyDescent="0.2">
      <c r="A148" s="252">
        <v>25</v>
      </c>
      <c r="B148" s="273"/>
      <c r="D148" s="252" t="s">
        <v>209</v>
      </c>
      <c r="F148" s="664">
        <v>16267599.960000006</v>
      </c>
      <c r="G148" s="602"/>
      <c r="H148" s="664">
        <v>1596891.4808599998</v>
      </c>
      <c r="I148" s="602"/>
      <c r="J148" s="664">
        <v>0</v>
      </c>
      <c r="K148" s="602"/>
      <c r="L148" s="664">
        <v>0</v>
      </c>
      <c r="M148" s="602"/>
      <c r="N148" s="664">
        <v>0</v>
      </c>
      <c r="O148" s="602"/>
      <c r="P148" s="664">
        <v>0</v>
      </c>
      <c r="Q148" s="602"/>
      <c r="R148" s="664">
        <v>17864491.440860003</v>
      </c>
      <c r="S148" s="602"/>
      <c r="T148" s="664">
        <v>17066045.700429998</v>
      </c>
    </row>
    <row r="149" spans="1:20" ht="14.1" customHeight="1" x14ac:dyDescent="0.2">
      <c r="A149" s="252">
        <v>26</v>
      </c>
      <c r="B149" s="273"/>
    </row>
    <row r="150" spans="1:20" ht="14.1" customHeight="1" x14ac:dyDescent="0.2">
      <c r="A150" s="252">
        <v>27</v>
      </c>
      <c r="B150" s="273"/>
      <c r="D150" s="252" t="s">
        <v>1365</v>
      </c>
      <c r="G150" s="602"/>
      <c r="I150" s="602"/>
      <c r="K150" s="602"/>
      <c r="M150" s="602"/>
      <c r="O150" s="602"/>
      <c r="Q150" s="602"/>
      <c r="S150" s="602"/>
    </row>
    <row r="151" spans="1:20" ht="14.1" customHeight="1" x14ac:dyDescent="0.2">
      <c r="A151" s="252">
        <v>28</v>
      </c>
      <c r="B151" s="273"/>
      <c r="C151" s="269">
        <v>34345</v>
      </c>
      <c r="D151" s="283" t="s">
        <v>1366</v>
      </c>
      <c r="F151" s="655">
        <v>0</v>
      </c>
      <c r="G151" s="329"/>
      <c r="H151" s="655">
        <v>0</v>
      </c>
      <c r="I151" s="329"/>
      <c r="J151" s="655">
        <v>0</v>
      </c>
      <c r="K151" s="329"/>
      <c r="L151" s="655">
        <v>0</v>
      </c>
      <c r="M151" s="329"/>
      <c r="N151" s="655">
        <v>0</v>
      </c>
      <c r="O151" s="329"/>
      <c r="P151" s="655">
        <v>0</v>
      </c>
      <c r="Q151" s="329"/>
      <c r="R151" s="655">
        <v>0</v>
      </c>
      <c r="S151" s="329"/>
      <c r="T151" s="655">
        <v>0</v>
      </c>
    </row>
    <row r="152" spans="1:20" ht="14.1" customHeight="1" x14ac:dyDescent="0.2">
      <c r="A152" s="252">
        <v>29</v>
      </c>
      <c r="B152" s="273"/>
      <c r="C152" s="269"/>
      <c r="D152" s="279" t="s">
        <v>1367</v>
      </c>
      <c r="F152" s="658">
        <v>0</v>
      </c>
      <c r="G152" s="329"/>
      <c r="H152" s="658">
        <v>0</v>
      </c>
      <c r="I152" s="329"/>
      <c r="J152" s="658">
        <v>0</v>
      </c>
      <c r="K152" s="329"/>
      <c r="L152" s="658">
        <v>0</v>
      </c>
      <c r="M152" s="329"/>
      <c r="N152" s="658">
        <v>0</v>
      </c>
      <c r="O152" s="329"/>
      <c r="P152" s="658">
        <v>0</v>
      </c>
      <c r="Q152" s="329"/>
      <c r="R152" s="658">
        <v>0</v>
      </c>
      <c r="S152" s="329"/>
      <c r="T152" s="658">
        <v>0</v>
      </c>
    </row>
    <row r="153" spans="1:20" ht="14.1" customHeight="1" x14ac:dyDescent="0.2">
      <c r="A153" s="252">
        <v>30</v>
      </c>
      <c r="B153" s="273"/>
      <c r="C153" s="269"/>
      <c r="F153" s="655"/>
      <c r="G153" s="329"/>
      <c r="H153" s="655"/>
      <c r="I153" s="329"/>
      <c r="J153" s="655"/>
      <c r="K153" s="329"/>
      <c r="L153" s="655"/>
      <c r="M153" s="329"/>
      <c r="N153" s="655"/>
      <c r="O153" s="329"/>
      <c r="P153" s="655"/>
      <c r="Q153" s="329"/>
      <c r="R153" s="655"/>
      <c r="S153" s="329"/>
      <c r="T153" s="655"/>
    </row>
    <row r="154" spans="1:20" ht="14.1" customHeight="1" x14ac:dyDescent="0.2">
      <c r="A154" s="252">
        <v>31</v>
      </c>
      <c r="B154" s="273"/>
      <c r="C154" s="269"/>
      <c r="D154" s="252" t="s">
        <v>1368</v>
      </c>
    </row>
    <row r="155" spans="1:20" ht="14.1" customHeight="1" x14ac:dyDescent="0.2">
      <c r="A155" s="252">
        <v>32</v>
      </c>
      <c r="B155" s="273"/>
      <c r="C155" s="269">
        <v>34346</v>
      </c>
      <c r="D155" s="283" t="s">
        <v>1369</v>
      </c>
      <c r="F155" s="655">
        <v>0</v>
      </c>
      <c r="G155" s="329"/>
      <c r="H155" s="655">
        <v>0</v>
      </c>
      <c r="I155" s="329"/>
      <c r="J155" s="655">
        <v>0</v>
      </c>
      <c r="K155" s="329"/>
      <c r="L155" s="655">
        <v>0</v>
      </c>
      <c r="M155" s="329"/>
      <c r="N155" s="655">
        <v>0</v>
      </c>
      <c r="O155" s="329"/>
      <c r="P155" s="655">
        <v>0</v>
      </c>
      <c r="Q155" s="329"/>
      <c r="R155" s="655">
        <v>0</v>
      </c>
      <c r="S155" s="329"/>
      <c r="T155" s="655">
        <v>0</v>
      </c>
    </row>
    <row r="156" spans="1:20" ht="14.1" customHeight="1" x14ac:dyDescent="0.2">
      <c r="A156" s="252">
        <v>33</v>
      </c>
      <c r="B156" s="273"/>
      <c r="C156" s="269"/>
      <c r="D156" s="279" t="s">
        <v>1370</v>
      </c>
      <c r="F156" s="658">
        <v>0</v>
      </c>
      <c r="H156" s="658">
        <v>0</v>
      </c>
      <c r="J156" s="658">
        <v>0</v>
      </c>
      <c r="L156" s="658">
        <v>0</v>
      </c>
      <c r="N156" s="658">
        <v>0</v>
      </c>
      <c r="P156" s="658">
        <v>0</v>
      </c>
      <c r="R156" s="658">
        <v>0</v>
      </c>
      <c r="T156" s="658">
        <v>0</v>
      </c>
    </row>
    <row r="157" spans="1:20" ht="14.1" customHeight="1" x14ac:dyDescent="0.2">
      <c r="A157" s="252">
        <v>34</v>
      </c>
      <c r="B157" s="273"/>
      <c r="C157" s="269"/>
    </row>
    <row r="158" spans="1:20" ht="14.1" customHeight="1" x14ac:dyDescent="0.2">
      <c r="A158" s="252">
        <v>35</v>
      </c>
      <c r="B158" s="273"/>
      <c r="C158" s="269"/>
      <c r="D158" s="252" t="s">
        <v>1371</v>
      </c>
    </row>
    <row r="159" spans="1:20" ht="14.1" customHeight="1" x14ac:dyDescent="0.2">
      <c r="A159" s="252">
        <v>36</v>
      </c>
      <c r="B159" s="273"/>
      <c r="C159" s="269">
        <v>34343</v>
      </c>
      <c r="D159" s="283" t="s">
        <v>1372</v>
      </c>
      <c r="F159" s="655">
        <v>0</v>
      </c>
      <c r="G159" s="329"/>
      <c r="H159" s="655">
        <v>0</v>
      </c>
      <c r="I159" s="329"/>
      <c r="J159" s="655">
        <v>-2603151.6560000004</v>
      </c>
      <c r="K159" s="329"/>
      <c r="L159" s="655">
        <v>0</v>
      </c>
      <c r="M159" s="329"/>
      <c r="N159" s="655">
        <v>0</v>
      </c>
      <c r="O159" s="329"/>
      <c r="P159" s="655">
        <v>0</v>
      </c>
      <c r="Q159" s="329"/>
      <c r="R159" s="655">
        <v>-2603151.6560000004</v>
      </c>
      <c r="S159" s="329"/>
      <c r="T159" s="655">
        <v>-1367020.7993846154</v>
      </c>
    </row>
    <row r="160" spans="1:20" ht="14.1" customHeight="1" x14ac:dyDescent="0.2">
      <c r="A160" s="252">
        <v>37</v>
      </c>
      <c r="B160" s="273"/>
      <c r="C160" s="269"/>
      <c r="D160" s="279" t="s">
        <v>1373</v>
      </c>
      <c r="F160" s="658">
        <v>0</v>
      </c>
      <c r="H160" s="658">
        <v>0</v>
      </c>
      <c r="J160" s="658">
        <v>-2603151.6560000004</v>
      </c>
      <c r="L160" s="658">
        <v>0</v>
      </c>
      <c r="N160" s="658">
        <v>0</v>
      </c>
      <c r="P160" s="658">
        <v>0</v>
      </c>
      <c r="R160" s="658">
        <v>-2603151.6560000004</v>
      </c>
      <c r="T160" s="658">
        <v>-1367020.7993846154</v>
      </c>
    </row>
    <row r="161" spans="1:20" ht="14.1" customHeight="1" x14ac:dyDescent="0.2">
      <c r="A161" s="252">
        <v>38</v>
      </c>
      <c r="B161" s="273"/>
    </row>
    <row r="162" spans="1:20" ht="14.1" customHeight="1" x14ac:dyDescent="0.2">
      <c r="A162" s="252">
        <v>39</v>
      </c>
      <c r="B162" s="273"/>
    </row>
    <row r="163" spans="1:20" ht="14.1" customHeight="1" x14ac:dyDescent="0.2">
      <c r="A163" s="252">
        <v>40</v>
      </c>
      <c r="B163" s="273"/>
    </row>
    <row r="164" spans="1:20" ht="14.1" customHeight="1" x14ac:dyDescent="0.2">
      <c r="A164" s="252">
        <v>41</v>
      </c>
      <c r="B164" s="273"/>
    </row>
    <row r="165" spans="1:20" ht="14.1" customHeight="1" thickBot="1" x14ac:dyDescent="0.25">
      <c r="A165" s="252">
        <v>42</v>
      </c>
      <c r="B165" s="273"/>
      <c r="D165" s="83" t="s">
        <v>205</v>
      </c>
      <c r="E165" s="83"/>
      <c r="F165" s="665">
        <v>16267599.960000006</v>
      </c>
      <c r="G165" s="666"/>
      <c r="H165" s="665">
        <v>1596891.4808599998</v>
      </c>
      <c r="I165" s="666"/>
      <c r="J165" s="665">
        <v>-2603151.6560000004</v>
      </c>
      <c r="K165" s="666"/>
      <c r="L165" s="665">
        <v>0</v>
      </c>
      <c r="M165" s="666"/>
      <c r="N165" s="665">
        <v>0</v>
      </c>
      <c r="O165" s="666"/>
      <c r="P165" s="665">
        <v>0</v>
      </c>
      <c r="Q165" s="666"/>
      <c r="R165" s="665">
        <v>15261339.784860004</v>
      </c>
      <c r="S165" s="666"/>
      <c r="T165" s="665">
        <v>15699024.901045382</v>
      </c>
    </row>
    <row r="166" spans="1:20" ht="14.1" customHeight="1" thickTop="1" x14ac:dyDescent="0.2">
      <c r="A166" s="252">
        <v>43</v>
      </c>
      <c r="B166" s="273"/>
    </row>
    <row r="167" spans="1:20" ht="14.1" customHeight="1" thickBot="1" x14ac:dyDescent="0.25">
      <c r="A167" s="252">
        <v>44</v>
      </c>
      <c r="B167" s="667" t="s">
        <v>186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</row>
    <row r="169" spans="1:20" ht="14.1" customHeight="1" thickBot="1" x14ac:dyDescent="0.25">
      <c r="A169" s="264" t="s">
        <v>301</v>
      </c>
      <c r="B169" s="264"/>
      <c r="C169" s="264"/>
      <c r="D169" s="264"/>
      <c r="E169" s="264"/>
      <c r="F169" s="264" t="s">
        <v>302</v>
      </c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 t="s">
        <v>326</v>
      </c>
    </row>
    <row r="170" spans="1:20" ht="14.1" customHeight="1" x14ac:dyDescent="0.2">
      <c r="A170" s="252" t="s">
        <v>129</v>
      </c>
      <c r="B170" s="285"/>
      <c r="E170" s="260" t="s">
        <v>130</v>
      </c>
      <c r="F170" s="252" t="s">
        <v>303</v>
      </c>
      <c r="J170" s="286"/>
      <c r="K170" s="286"/>
      <c r="P170" s="286"/>
      <c r="Q170" s="286"/>
      <c r="R170" s="286" t="s">
        <v>132</v>
      </c>
      <c r="T170" s="261"/>
    </row>
    <row r="171" spans="1:20" ht="14.1" customHeight="1" x14ac:dyDescent="0.2">
      <c r="B171" s="285"/>
      <c r="F171" s="252" t="s">
        <v>1399</v>
      </c>
      <c r="J171" s="260"/>
      <c r="K171" s="261"/>
      <c r="P171" s="260"/>
      <c r="Q171" s="260" t="s">
        <v>123</v>
      </c>
      <c r="R171" s="261" t="s">
        <v>1361</v>
      </c>
      <c r="T171" s="260"/>
    </row>
    <row r="172" spans="1:20" ht="14.1" customHeight="1" x14ac:dyDescent="0.2">
      <c r="A172" s="252" t="s">
        <v>134</v>
      </c>
      <c r="B172" s="285"/>
      <c r="F172" s="252" t="s">
        <v>123</v>
      </c>
      <c r="J172" s="260"/>
      <c r="K172" s="261"/>
      <c r="L172" s="260"/>
      <c r="N172" s="260"/>
      <c r="Q172" s="260" t="s">
        <v>123</v>
      </c>
      <c r="R172" s="261">
        <v>0</v>
      </c>
      <c r="T172" s="260"/>
    </row>
    <row r="173" spans="1:20" ht="14.1" customHeight="1" x14ac:dyDescent="0.2">
      <c r="B173" s="285"/>
      <c r="F173" s="252" t="s">
        <v>123</v>
      </c>
      <c r="J173" s="260"/>
      <c r="K173" s="261"/>
      <c r="L173" s="260"/>
      <c r="N173" s="260"/>
      <c r="Q173" s="260" t="s">
        <v>123</v>
      </c>
      <c r="R173" s="261"/>
      <c r="T173" s="260"/>
    </row>
    <row r="174" spans="1:20" ht="14.1" customHeight="1" thickBot="1" x14ac:dyDescent="0.25">
      <c r="A174" s="264" t="s">
        <v>135</v>
      </c>
      <c r="B174" s="287"/>
      <c r="C174" s="264"/>
      <c r="D174" s="264"/>
      <c r="E174" s="264"/>
      <c r="F174" s="264" t="s">
        <v>123</v>
      </c>
      <c r="G174" s="264"/>
      <c r="H174" s="266"/>
      <c r="I174" s="264"/>
      <c r="J174" s="264"/>
      <c r="K174" s="264"/>
      <c r="L174" s="264"/>
      <c r="M174" s="264"/>
      <c r="N174" s="264"/>
      <c r="O174" s="264"/>
      <c r="P174" s="264"/>
      <c r="Q174" s="264"/>
      <c r="R174" s="288"/>
      <c r="S174" s="264"/>
      <c r="T174" s="264"/>
    </row>
    <row r="175" spans="1:20" ht="14.1" customHeight="1" x14ac:dyDescent="0.2"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</row>
    <row r="176" spans="1:20" ht="14.1" customHeight="1" x14ac:dyDescent="0.2">
      <c r="C176" s="267" t="s">
        <v>136</v>
      </c>
      <c r="D176" s="267" t="s">
        <v>137</v>
      </c>
      <c r="E176" s="267"/>
      <c r="F176" s="267" t="s">
        <v>138</v>
      </c>
      <c r="G176" s="267"/>
      <c r="H176" s="267" t="s">
        <v>139</v>
      </c>
      <c r="I176" s="267"/>
      <c r="J176" s="269" t="s">
        <v>140</v>
      </c>
      <c r="L176" s="267" t="s">
        <v>141</v>
      </c>
      <c r="M176" s="267"/>
      <c r="N176" s="267" t="s">
        <v>142</v>
      </c>
      <c r="O176" s="267"/>
      <c r="P176" s="267" t="s">
        <v>143</v>
      </c>
      <c r="Q176" s="267"/>
      <c r="R176" s="267" t="s">
        <v>144</v>
      </c>
      <c r="S176" s="267"/>
      <c r="T176" s="267" t="s">
        <v>305</v>
      </c>
    </row>
    <row r="177" spans="1:20" ht="14.1" customHeight="1" x14ac:dyDescent="0.2">
      <c r="C177" s="269" t="s">
        <v>145</v>
      </c>
      <c r="D177" s="269" t="s">
        <v>145</v>
      </c>
      <c r="F177" s="267" t="s">
        <v>41</v>
      </c>
      <c r="G177" s="269"/>
      <c r="H177" s="267" t="s">
        <v>40</v>
      </c>
      <c r="I177" s="269"/>
      <c r="J177" s="267"/>
      <c r="K177" s="269"/>
      <c r="L177" s="269"/>
      <c r="M177" s="269"/>
      <c r="N177" s="269"/>
      <c r="O177" s="269"/>
      <c r="P177" s="269"/>
      <c r="Q177" s="269"/>
      <c r="R177" s="269" t="s">
        <v>41</v>
      </c>
      <c r="T177" s="269"/>
    </row>
    <row r="178" spans="1:20" ht="14.1" customHeight="1" x14ac:dyDescent="0.2">
      <c r="A178" s="252" t="s">
        <v>146</v>
      </c>
      <c r="B178" s="269"/>
      <c r="C178" s="269" t="s">
        <v>147</v>
      </c>
      <c r="D178" s="269" t="s">
        <v>147</v>
      </c>
      <c r="E178" s="267"/>
      <c r="F178" s="269" t="s">
        <v>6</v>
      </c>
      <c r="G178" s="269"/>
      <c r="H178" s="269" t="s">
        <v>6</v>
      </c>
      <c r="I178" s="269"/>
      <c r="J178" s="269"/>
      <c r="K178" s="267"/>
      <c r="L178" s="269" t="s">
        <v>306</v>
      </c>
      <c r="M178" s="269"/>
      <c r="N178" s="269" t="s">
        <v>306</v>
      </c>
      <c r="O178" s="269"/>
      <c r="P178" s="269" t="s">
        <v>150</v>
      </c>
      <c r="Q178" s="267"/>
      <c r="R178" s="267" t="s">
        <v>6</v>
      </c>
      <c r="S178" s="267"/>
      <c r="T178" s="269" t="s">
        <v>151</v>
      </c>
    </row>
    <row r="179" spans="1:20" ht="14.1" customHeight="1" thickBot="1" x14ac:dyDescent="0.25">
      <c r="A179" s="264" t="s">
        <v>152</v>
      </c>
      <c r="B179" s="266"/>
      <c r="C179" s="266" t="s">
        <v>52</v>
      </c>
      <c r="D179" s="266" t="s">
        <v>153</v>
      </c>
      <c r="E179" s="266"/>
      <c r="F179" s="270" t="s">
        <v>154</v>
      </c>
      <c r="G179" s="270"/>
      <c r="H179" s="270" t="s">
        <v>307</v>
      </c>
      <c r="I179" s="271"/>
      <c r="J179" s="270" t="s">
        <v>18</v>
      </c>
      <c r="K179" s="271"/>
      <c r="L179" s="270" t="s">
        <v>19</v>
      </c>
      <c r="M179" s="271"/>
      <c r="N179" s="270" t="s">
        <v>54</v>
      </c>
      <c r="O179" s="271"/>
      <c r="P179" s="272" t="s">
        <v>157</v>
      </c>
      <c r="Q179" s="272"/>
      <c r="R179" s="272" t="s">
        <v>158</v>
      </c>
      <c r="S179" s="272"/>
      <c r="T179" s="272" t="s">
        <v>3</v>
      </c>
    </row>
    <row r="180" spans="1:20" ht="14.1" customHeight="1" x14ac:dyDescent="0.2">
      <c r="A180" s="252">
        <v>1</v>
      </c>
      <c r="B180" s="273"/>
    </row>
    <row r="181" spans="1:20" ht="14.1" customHeight="1" x14ac:dyDescent="0.2">
      <c r="A181" s="252">
        <v>2</v>
      </c>
      <c r="B181" s="273"/>
      <c r="D181" s="83" t="s">
        <v>64</v>
      </c>
    </row>
    <row r="182" spans="1:20" ht="14.1" customHeight="1" x14ac:dyDescent="0.2">
      <c r="A182" s="252">
        <v>3</v>
      </c>
      <c r="B182" s="273"/>
      <c r="C182" s="269"/>
      <c r="D182" s="252" t="s">
        <v>210</v>
      </c>
      <c r="F182" s="717"/>
      <c r="G182" s="602"/>
      <c r="H182" s="290"/>
      <c r="I182" s="602"/>
      <c r="J182" s="290"/>
      <c r="K182" s="602"/>
      <c r="L182" s="290"/>
      <c r="M182" s="602"/>
      <c r="N182" s="290"/>
      <c r="O182" s="602"/>
      <c r="P182" s="290"/>
      <c r="Q182" s="602"/>
      <c r="R182" s="717"/>
      <c r="S182" s="602"/>
      <c r="T182" s="717"/>
    </row>
    <row r="183" spans="1:20" ht="14.1" customHeight="1" x14ac:dyDescent="0.2">
      <c r="A183" s="252">
        <v>4</v>
      </c>
      <c r="C183" s="267">
        <v>34180</v>
      </c>
      <c r="D183" s="252" t="s">
        <v>161</v>
      </c>
      <c r="F183" s="655">
        <v>45625297.130000025</v>
      </c>
      <c r="G183" s="329"/>
      <c r="H183" s="655">
        <v>4186074.3108800012</v>
      </c>
      <c r="I183" s="329"/>
      <c r="J183" s="655">
        <v>0</v>
      </c>
      <c r="K183" s="329"/>
      <c r="L183" s="655">
        <v>0</v>
      </c>
      <c r="M183" s="329"/>
      <c r="N183" s="655">
        <v>0</v>
      </c>
      <c r="O183" s="329"/>
      <c r="P183" s="655">
        <v>0</v>
      </c>
      <c r="Q183" s="329"/>
      <c r="R183" s="655">
        <v>49811371.440880023</v>
      </c>
      <c r="S183" s="329"/>
      <c r="T183" s="655">
        <v>47718334.285440035</v>
      </c>
    </row>
    <row r="184" spans="1:20" ht="14.1" customHeight="1" x14ac:dyDescent="0.2">
      <c r="A184" s="252">
        <v>5</v>
      </c>
      <c r="C184" s="267">
        <v>34280</v>
      </c>
      <c r="D184" s="252" t="s">
        <v>206</v>
      </c>
      <c r="F184" s="655">
        <v>3352946.4199999985</v>
      </c>
      <c r="G184" s="329"/>
      <c r="H184" s="655">
        <v>351286.48495099979</v>
      </c>
      <c r="I184" s="329"/>
      <c r="J184" s="655">
        <v>-134148.117</v>
      </c>
      <c r="K184" s="329"/>
      <c r="L184" s="655">
        <v>0</v>
      </c>
      <c r="M184" s="329"/>
      <c r="N184" s="655">
        <v>0</v>
      </c>
      <c r="O184" s="329"/>
      <c r="P184" s="655">
        <v>0</v>
      </c>
      <c r="Q184" s="329"/>
      <c r="R184" s="655">
        <v>3570084.7879509982</v>
      </c>
      <c r="S184" s="329"/>
      <c r="T184" s="655">
        <v>3465984.2907365113</v>
      </c>
    </row>
    <row r="185" spans="1:20" ht="14.1" customHeight="1" x14ac:dyDescent="0.2">
      <c r="A185" s="252">
        <v>6</v>
      </c>
      <c r="C185" s="267">
        <v>34380</v>
      </c>
      <c r="D185" s="252" t="s">
        <v>207</v>
      </c>
      <c r="F185" s="655">
        <v>1808180.9399999983</v>
      </c>
      <c r="G185" s="329"/>
      <c r="H185" s="655">
        <v>233058.4078459999</v>
      </c>
      <c r="I185" s="329"/>
      <c r="J185" s="655">
        <v>-134148.117</v>
      </c>
      <c r="K185" s="329"/>
      <c r="L185" s="655">
        <v>-10000</v>
      </c>
      <c r="M185" s="329"/>
      <c r="N185" s="655">
        <v>0</v>
      </c>
      <c r="O185" s="329"/>
      <c r="P185" s="655">
        <v>0</v>
      </c>
      <c r="Q185" s="329"/>
      <c r="R185" s="655">
        <v>1897091.230845998</v>
      </c>
      <c r="S185" s="329"/>
      <c r="T185" s="655">
        <v>1858273.0150095881</v>
      </c>
    </row>
    <row r="186" spans="1:20" ht="14.1" customHeight="1" x14ac:dyDescent="0.2">
      <c r="A186" s="252">
        <v>7</v>
      </c>
      <c r="C186" s="267">
        <v>34580</v>
      </c>
      <c r="D186" s="252" t="s">
        <v>164</v>
      </c>
      <c r="F186" s="655">
        <v>2415508.1900000013</v>
      </c>
      <c r="G186" s="329"/>
      <c r="H186" s="655">
        <v>403460.90818999993</v>
      </c>
      <c r="I186" s="329"/>
      <c r="J186" s="655">
        <v>0</v>
      </c>
      <c r="K186" s="329"/>
      <c r="L186" s="655">
        <v>0</v>
      </c>
      <c r="M186" s="329"/>
      <c r="N186" s="655">
        <v>0</v>
      </c>
      <c r="O186" s="329"/>
      <c r="P186" s="655">
        <v>0</v>
      </c>
      <c r="Q186" s="329"/>
      <c r="R186" s="655">
        <v>2818969.0981900012</v>
      </c>
      <c r="S186" s="329"/>
      <c r="T186" s="655">
        <v>2617238.6440950027</v>
      </c>
    </row>
    <row r="187" spans="1:20" ht="14.1" customHeight="1" x14ac:dyDescent="0.2">
      <c r="A187" s="252">
        <v>8</v>
      </c>
      <c r="C187" s="267">
        <v>34680</v>
      </c>
      <c r="D187" s="252" t="s">
        <v>165</v>
      </c>
      <c r="F187" s="655">
        <v>-110962.33000000039</v>
      </c>
      <c r="G187" s="329"/>
      <c r="H187" s="655">
        <v>20415.140639999998</v>
      </c>
      <c r="I187" s="329"/>
      <c r="J187" s="655">
        <v>0</v>
      </c>
      <c r="K187" s="329"/>
      <c r="L187" s="655">
        <v>0</v>
      </c>
      <c r="M187" s="329"/>
      <c r="N187" s="655">
        <v>0</v>
      </c>
      <c r="O187" s="329"/>
      <c r="P187" s="655">
        <v>0</v>
      </c>
      <c r="Q187" s="329"/>
      <c r="R187" s="655">
        <v>-90547.189360000397</v>
      </c>
      <c r="S187" s="329"/>
      <c r="T187" s="655">
        <v>-100754.75968000042</v>
      </c>
    </row>
    <row r="188" spans="1:20" ht="14.1" customHeight="1" x14ac:dyDescent="0.2">
      <c r="A188" s="252">
        <v>9</v>
      </c>
      <c r="B188" s="273"/>
      <c r="C188" s="269"/>
      <c r="D188" s="252" t="s">
        <v>211</v>
      </c>
      <c r="F188" s="664">
        <v>53090970.350000024</v>
      </c>
      <c r="G188" s="602"/>
      <c r="H188" s="664">
        <v>5194295.2525070012</v>
      </c>
      <c r="I188" s="602"/>
      <c r="J188" s="664">
        <v>-268296.234</v>
      </c>
      <c r="K188" s="602"/>
      <c r="L188" s="664">
        <v>-10000</v>
      </c>
      <c r="M188" s="602"/>
      <c r="N188" s="664">
        <v>0</v>
      </c>
      <c r="O188" s="602"/>
      <c r="P188" s="664">
        <v>0</v>
      </c>
      <c r="Q188" s="602"/>
      <c r="R188" s="664">
        <v>58006969.36850702</v>
      </c>
      <c r="S188" s="602"/>
      <c r="T188" s="664">
        <v>55559075.475601137</v>
      </c>
    </row>
    <row r="189" spans="1:20" ht="14.1" customHeight="1" x14ac:dyDescent="0.2">
      <c r="A189" s="252">
        <v>10</v>
      </c>
      <c r="B189" s="273"/>
    </row>
    <row r="190" spans="1:20" ht="14.1" customHeight="1" x14ac:dyDescent="0.2">
      <c r="A190" s="252">
        <v>11</v>
      </c>
      <c r="B190" s="273"/>
      <c r="D190" s="279" t="s">
        <v>212</v>
      </c>
      <c r="F190" s="329"/>
      <c r="G190" s="602"/>
      <c r="H190" s="602"/>
      <c r="I190" s="602"/>
      <c r="J190" s="602"/>
      <c r="K190" s="602"/>
      <c r="L190" s="602"/>
      <c r="M190" s="602"/>
      <c r="N190" s="602"/>
      <c r="O190" s="602"/>
      <c r="P190" s="602"/>
      <c r="Q190" s="602"/>
      <c r="R190" s="602"/>
      <c r="S190" s="602"/>
      <c r="T190" s="602"/>
    </row>
    <row r="191" spans="1:20" ht="14.1" customHeight="1" x14ac:dyDescent="0.2">
      <c r="A191" s="252">
        <v>12</v>
      </c>
      <c r="B191" s="273"/>
      <c r="C191" s="267">
        <v>34181</v>
      </c>
      <c r="D191" s="252" t="s">
        <v>161</v>
      </c>
      <c r="F191" s="655">
        <v>22810152.329999983</v>
      </c>
      <c r="G191" s="329"/>
      <c r="H191" s="655">
        <v>1262961.983</v>
      </c>
      <c r="I191" s="329"/>
      <c r="J191" s="655">
        <v>0</v>
      </c>
      <c r="K191" s="329"/>
      <c r="L191" s="655">
        <v>0</v>
      </c>
      <c r="M191" s="329"/>
      <c r="N191" s="655">
        <v>0</v>
      </c>
      <c r="O191" s="329"/>
      <c r="P191" s="655">
        <v>0</v>
      </c>
      <c r="Q191" s="329"/>
      <c r="R191" s="655">
        <v>24073114.312999982</v>
      </c>
      <c r="S191" s="329"/>
      <c r="T191" s="655">
        <v>23441633.321499988</v>
      </c>
    </row>
    <row r="192" spans="1:20" ht="14.1" customHeight="1" x14ac:dyDescent="0.2">
      <c r="A192" s="252">
        <v>13</v>
      </c>
      <c r="B192" s="273"/>
      <c r="C192" s="267">
        <v>34281</v>
      </c>
      <c r="D192" s="252" t="s">
        <v>206</v>
      </c>
      <c r="F192" s="655">
        <v>116824855.93999991</v>
      </c>
      <c r="G192" s="329"/>
      <c r="H192" s="655">
        <v>8348560.6883660052</v>
      </c>
      <c r="I192" s="329"/>
      <c r="J192" s="655">
        <v>-1207068.67</v>
      </c>
      <c r="K192" s="329"/>
      <c r="L192" s="655">
        <v>0</v>
      </c>
      <c r="M192" s="329"/>
      <c r="N192" s="655">
        <v>0</v>
      </c>
      <c r="O192" s="329"/>
      <c r="P192" s="655">
        <v>0</v>
      </c>
      <c r="Q192" s="329"/>
      <c r="R192" s="655">
        <v>123966347.95836592</v>
      </c>
      <c r="S192" s="329"/>
      <c r="T192" s="655">
        <v>120692604.35345928</v>
      </c>
    </row>
    <row r="193" spans="1:20" ht="14.1" customHeight="1" x14ac:dyDescent="0.2">
      <c r="A193" s="252">
        <v>14</v>
      </c>
      <c r="B193" s="273"/>
      <c r="C193" s="267">
        <v>34381</v>
      </c>
      <c r="D193" s="252" t="s">
        <v>207</v>
      </c>
      <c r="F193" s="655">
        <v>75099075.339999989</v>
      </c>
      <c r="G193" s="329"/>
      <c r="H193" s="655">
        <v>6643400.5628550015</v>
      </c>
      <c r="I193" s="329"/>
      <c r="J193" s="655">
        <v>-1207068.67</v>
      </c>
      <c r="K193" s="329"/>
      <c r="L193" s="655">
        <v>-750000.00000000012</v>
      </c>
      <c r="M193" s="329"/>
      <c r="N193" s="655">
        <v>0</v>
      </c>
      <c r="O193" s="329"/>
      <c r="P193" s="655">
        <v>0</v>
      </c>
      <c r="Q193" s="329"/>
      <c r="R193" s="655">
        <v>79785407.232854992</v>
      </c>
      <c r="S193" s="329"/>
      <c r="T193" s="655">
        <v>77763469.291073844</v>
      </c>
    </row>
    <row r="194" spans="1:20" ht="14.1" customHeight="1" x14ac:dyDescent="0.2">
      <c r="A194" s="252">
        <v>15</v>
      </c>
      <c r="B194" s="273"/>
      <c r="C194" s="267">
        <v>34581</v>
      </c>
      <c r="D194" s="252" t="s">
        <v>164</v>
      </c>
      <c r="F194" s="655">
        <v>37866823.43999996</v>
      </c>
      <c r="G194" s="329"/>
      <c r="H194" s="655">
        <v>1915276.6568099994</v>
      </c>
      <c r="I194" s="329"/>
      <c r="J194" s="655">
        <v>0</v>
      </c>
      <c r="K194" s="329"/>
      <c r="L194" s="655">
        <v>0</v>
      </c>
      <c r="M194" s="329"/>
      <c r="N194" s="655">
        <v>0</v>
      </c>
      <c r="O194" s="329"/>
      <c r="P194" s="655">
        <v>0</v>
      </c>
      <c r="Q194" s="329"/>
      <c r="R194" s="655">
        <v>39782100.096809961</v>
      </c>
      <c r="S194" s="329"/>
      <c r="T194" s="655">
        <v>38824461.768404953</v>
      </c>
    </row>
    <row r="195" spans="1:20" ht="14.1" customHeight="1" x14ac:dyDescent="0.2">
      <c r="A195" s="252">
        <v>16</v>
      </c>
      <c r="B195" s="273"/>
      <c r="C195" s="267">
        <v>34681</v>
      </c>
      <c r="D195" s="252" t="s">
        <v>165</v>
      </c>
      <c r="F195" s="655">
        <v>2380305.9099999964</v>
      </c>
      <c r="G195" s="329"/>
      <c r="H195" s="655">
        <v>187884.08234999992</v>
      </c>
      <c r="I195" s="329"/>
      <c r="J195" s="655">
        <v>0</v>
      </c>
      <c r="K195" s="329"/>
      <c r="L195" s="655">
        <v>0</v>
      </c>
      <c r="M195" s="329"/>
      <c r="N195" s="655">
        <v>0</v>
      </c>
      <c r="O195" s="329"/>
      <c r="P195" s="655">
        <v>0</v>
      </c>
      <c r="Q195" s="329"/>
      <c r="R195" s="655">
        <v>2568189.9923499962</v>
      </c>
      <c r="S195" s="329"/>
      <c r="T195" s="655">
        <v>2474247.9511749977</v>
      </c>
    </row>
    <row r="196" spans="1:20" ht="14.1" customHeight="1" x14ac:dyDescent="0.2">
      <c r="A196" s="252">
        <v>17</v>
      </c>
      <c r="B196" s="273"/>
      <c r="C196" s="269"/>
      <c r="D196" s="279" t="s">
        <v>213</v>
      </c>
      <c r="F196" s="664">
        <v>254981212.95999986</v>
      </c>
      <c r="G196" s="602"/>
      <c r="H196" s="664">
        <v>18358083.973381009</v>
      </c>
      <c r="I196" s="602"/>
      <c r="J196" s="664">
        <v>-2414137.34</v>
      </c>
      <c r="K196" s="602"/>
      <c r="L196" s="664">
        <v>-750000.00000000012</v>
      </c>
      <c r="M196" s="602"/>
      <c r="N196" s="664">
        <v>0</v>
      </c>
      <c r="O196" s="602"/>
      <c r="P196" s="664">
        <v>0</v>
      </c>
      <c r="Q196" s="602"/>
      <c r="R196" s="664">
        <v>270175159.59338087</v>
      </c>
      <c r="S196" s="602"/>
      <c r="T196" s="664">
        <v>263196416.68561307</v>
      </c>
    </row>
    <row r="197" spans="1:20" ht="14.1" customHeight="1" x14ac:dyDescent="0.2">
      <c r="A197" s="252">
        <v>18</v>
      </c>
      <c r="B197" s="273"/>
      <c r="G197" s="602"/>
      <c r="I197" s="602"/>
      <c r="K197" s="602"/>
      <c r="M197" s="602"/>
      <c r="O197" s="602"/>
      <c r="Q197" s="602"/>
      <c r="S197" s="602"/>
    </row>
    <row r="198" spans="1:20" ht="14.1" customHeight="1" x14ac:dyDescent="0.2">
      <c r="A198" s="252">
        <v>19</v>
      </c>
      <c r="B198" s="273"/>
      <c r="C198" s="269"/>
      <c r="D198" s="279" t="s">
        <v>214</v>
      </c>
      <c r="F198" s="276"/>
      <c r="G198" s="602"/>
      <c r="H198" s="706"/>
      <c r="I198" s="602"/>
      <c r="J198" s="706"/>
      <c r="K198" s="602"/>
      <c r="L198" s="706"/>
      <c r="M198" s="602"/>
      <c r="N198" s="706"/>
      <c r="O198" s="602"/>
      <c r="P198" s="706"/>
      <c r="Q198" s="602"/>
      <c r="R198" s="706"/>
      <c r="S198" s="602"/>
      <c r="T198" s="706"/>
    </row>
    <row r="199" spans="1:20" ht="14.1" customHeight="1" x14ac:dyDescent="0.2">
      <c r="A199" s="252">
        <v>20</v>
      </c>
      <c r="B199" s="273"/>
      <c r="C199" s="267">
        <v>34182</v>
      </c>
      <c r="D199" s="252" t="s">
        <v>161</v>
      </c>
      <c r="F199" s="655">
        <v>1137819.4900000023</v>
      </c>
      <c r="G199" s="329"/>
      <c r="H199" s="655">
        <v>58329.127619999992</v>
      </c>
      <c r="I199" s="329"/>
      <c r="J199" s="655">
        <v>0</v>
      </c>
      <c r="K199" s="329"/>
      <c r="L199" s="655">
        <v>0</v>
      </c>
      <c r="M199" s="329"/>
      <c r="N199" s="655">
        <v>0</v>
      </c>
      <c r="O199" s="329"/>
      <c r="P199" s="655">
        <v>0</v>
      </c>
      <c r="Q199" s="329"/>
      <c r="R199" s="655">
        <v>1196148.6176200022</v>
      </c>
      <c r="S199" s="329"/>
      <c r="T199" s="655">
        <v>1166984.053810002</v>
      </c>
    </row>
    <row r="200" spans="1:20" ht="14.1" customHeight="1" x14ac:dyDescent="0.2">
      <c r="A200" s="252">
        <v>21</v>
      </c>
      <c r="B200" s="273"/>
      <c r="C200" s="267">
        <v>34282</v>
      </c>
      <c r="D200" s="252" t="s">
        <v>206</v>
      </c>
      <c r="F200" s="655">
        <v>469836.79000000114</v>
      </c>
      <c r="G200" s="329"/>
      <c r="H200" s="655">
        <v>106906.89442399997</v>
      </c>
      <c r="I200" s="329"/>
      <c r="J200" s="655">
        <v>-1092983.578</v>
      </c>
      <c r="K200" s="329"/>
      <c r="L200" s="655">
        <v>0</v>
      </c>
      <c r="M200" s="329"/>
      <c r="N200" s="655">
        <v>0</v>
      </c>
      <c r="O200" s="329"/>
      <c r="P200" s="655">
        <v>0</v>
      </c>
      <c r="Q200" s="329"/>
      <c r="R200" s="655">
        <v>-516239.89357599884</v>
      </c>
      <c r="S200" s="329"/>
      <c r="T200" s="655">
        <v>154886.19455869342</v>
      </c>
    </row>
    <row r="201" spans="1:20" ht="14.1" customHeight="1" x14ac:dyDescent="0.2">
      <c r="A201" s="252">
        <v>22</v>
      </c>
      <c r="B201" s="273"/>
      <c r="C201" s="267">
        <v>34382</v>
      </c>
      <c r="D201" s="252" t="s">
        <v>207</v>
      </c>
      <c r="F201" s="655">
        <v>4276497.8800000362</v>
      </c>
      <c r="G201" s="329"/>
      <c r="H201" s="655">
        <v>1201040.8573386671</v>
      </c>
      <c r="I201" s="329"/>
      <c r="J201" s="655">
        <v>-1092983.578</v>
      </c>
      <c r="K201" s="329"/>
      <c r="L201" s="655">
        <v>0</v>
      </c>
      <c r="M201" s="329"/>
      <c r="N201" s="655">
        <v>0</v>
      </c>
      <c r="O201" s="329"/>
      <c r="P201" s="655">
        <v>0</v>
      </c>
      <c r="Q201" s="329"/>
      <c r="R201" s="655">
        <v>4384555.1593387034</v>
      </c>
      <c r="S201" s="329"/>
      <c r="T201" s="655">
        <v>4504614.0669777803</v>
      </c>
    </row>
    <row r="202" spans="1:20" ht="14.1" customHeight="1" x14ac:dyDescent="0.2">
      <c r="A202" s="252">
        <v>23</v>
      </c>
      <c r="B202" s="273"/>
      <c r="C202" s="267">
        <v>34582</v>
      </c>
      <c r="D202" s="252" t="s">
        <v>164</v>
      </c>
      <c r="F202" s="655">
        <v>8774473.8300000038</v>
      </c>
      <c r="G202" s="329"/>
      <c r="H202" s="655">
        <v>494448.13124000008</v>
      </c>
      <c r="I202" s="329"/>
      <c r="J202" s="655">
        <v>0</v>
      </c>
      <c r="K202" s="329"/>
      <c r="L202" s="655">
        <v>0</v>
      </c>
      <c r="M202" s="329"/>
      <c r="N202" s="655">
        <v>0</v>
      </c>
      <c r="O202" s="329"/>
      <c r="P202" s="655">
        <v>0</v>
      </c>
      <c r="Q202" s="329"/>
      <c r="R202" s="655">
        <v>9268921.9612400047</v>
      </c>
      <c r="S202" s="329"/>
      <c r="T202" s="655">
        <v>9021697.8956200015</v>
      </c>
    </row>
    <row r="203" spans="1:20" ht="14.1" customHeight="1" x14ac:dyDescent="0.2">
      <c r="A203" s="252">
        <v>24</v>
      </c>
      <c r="B203" s="273"/>
      <c r="C203" s="267">
        <v>34682</v>
      </c>
      <c r="D203" s="252" t="s">
        <v>165</v>
      </c>
      <c r="F203" s="655">
        <v>123807.43000000028</v>
      </c>
      <c r="G203" s="329"/>
      <c r="H203" s="655">
        <v>6062.3468500000008</v>
      </c>
      <c r="I203" s="329"/>
      <c r="J203" s="655">
        <v>0</v>
      </c>
      <c r="K203" s="329"/>
      <c r="L203" s="655">
        <v>0</v>
      </c>
      <c r="M203" s="329"/>
      <c r="N203" s="655">
        <v>0</v>
      </c>
      <c r="O203" s="329"/>
      <c r="P203" s="655">
        <v>0</v>
      </c>
      <c r="Q203" s="329"/>
      <c r="R203" s="655">
        <v>129869.77685000029</v>
      </c>
      <c r="S203" s="329"/>
      <c r="T203" s="655">
        <v>126838.60342500024</v>
      </c>
    </row>
    <row r="204" spans="1:20" ht="14.1" customHeight="1" x14ac:dyDescent="0.2">
      <c r="A204" s="252">
        <v>25</v>
      </c>
      <c r="B204" s="273"/>
      <c r="C204" s="269"/>
      <c r="D204" s="279" t="s">
        <v>215</v>
      </c>
      <c r="F204" s="664">
        <v>14782435.420000043</v>
      </c>
      <c r="G204" s="602"/>
      <c r="H204" s="664">
        <v>1866787.3574726672</v>
      </c>
      <c r="I204" s="602"/>
      <c r="J204" s="664">
        <v>-2185967.156</v>
      </c>
      <c r="K204" s="602"/>
      <c r="L204" s="664">
        <v>0</v>
      </c>
      <c r="M204" s="602"/>
      <c r="N204" s="664">
        <v>0</v>
      </c>
      <c r="O204" s="602"/>
      <c r="P204" s="664">
        <v>0</v>
      </c>
      <c r="Q204" s="602"/>
      <c r="R204" s="664">
        <v>14463255.621472713</v>
      </c>
      <c r="S204" s="602"/>
      <c r="T204" s="664">
        <v>14975020.814391477</v>
      </c>
    </row>
    <row r="205" spans="1:20" ht="14.1" customHeight="1" x14ac:dyDescent="0.2">
      <c r="A205" s="252">
        <v>26</v>
      </c>
      <c r="B205" s="273"/>
    </row>
    <row r="206" spans="1:20" ht="14.1" customHeight="1" x14ac:dyDescent="0.2">
      <c r="A206" s="252">
        <v>27</v>
      </c>
      <c r="B206" s="273"/>
      <c r="C206" s="269"/>
      <c r="D206" s="279" t="s">
        <v>216</v>
      </c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2"/>
      <c r="R206" s="602"/>
      <c r="S206" s="602"/>
      <c r="T206" s="602"/>
    </row>
    <row r="207" spans="1:20" ht="14.1" customHeight="1" x14ac:dyDescent="0.2">
      <c r="A207" s="252">
        <v>28</v>
      </c>
      <c r="B207" s="273"/>
      <c r="C207" s="267">
        <v>34183</v>
      </c>
      <c r="D207" s="252" t="s">
        <v>161</v>
      </c>
      <c r="F207" s="655">
        <v>4909035.6300000036</v>
      </c>
      <c r="G207" s="329"/>
      <c r="H207" s="655">
        <v>273866.20664000005</v>
      </c>
      <c r="I207" s="329"/>
      <c r="J207" s="655">
        <v>0</v>
      </c>
      <c r="K207" s="329"/>
      <c r="L207" s="655">
        <v>0</v>
      </c>
      <c r="M207" s="329"/>
      <c r="N207" s="655">
        <v>0</v>
      </c>
      <c r="O207" s="329"/>
      <c r="P207" s="655">
        <v>0</v>
      </c>
      <c r="Q207" s="329"/>
      <c r="R207" s="655">
        <v>5182901.8366400041</v>
      </c>
      <c r="S207" s="329"/>
      <c r="T207" s="655">
        <v>5045968.7333200043</v>
      </c>
    </row>
    <row r="208" spans="1:20" ht="14.1" customHeight="1" x14ac:dyDescent="0.2">
      <c r="A208" s="252">
        <v>29</v>
      </c>
      <c r="B208" s="273"/>
      <c r="C208" s="267">
        <v>34283</v>
      </c>
      <c r="D208" s="252" t="s">
        <v>206</v>
      </c>
      <c r="F208" s="655">
        <v>506546.90999999736</v>
      </c>
      <c r="G208" s="329"/>
      <c r="H208" s="655">
        <v>75398.41668699999</v>
      </c>
      <c r="I208" s="329"/>
      <c r="J208" s="655">
        <v>-706805.83100000001</v>
      </c>
      <c r="K208" s="329"/>
      <c r="L208" s="655">
        <v>0</v>
      </c>
      <c r="M208" s="329"/>
      <c r="N208" s="655">
        <v>0</v>
      </c>
      <c r="O208" s="329"/>
      <c r="P208" s="655">
        <v>0</v>
      </c>
      <c r="Q208" s="329"/>
      <c r="R208" s="655">
        <v>-124860.50431300269</v>
      </c>
      <c r="S208" s="329"/>
      <c r="T208" s="655">
        <v>182068.84913986904</v>
      </c>
    </row>
    <row r="209" spans="1:20" ht="14.1" customHeight="1" x14ac:dyDescent="0.2">
      <c r="A209" s="252">
        <v>30</v>
      </c>
      <c r="B209" s="273"/>
      <c r="C209" s="267">
        <v>34383</v>
      </c>
      <c r="D209" s="252" t="s">
        <v>207</v>
      </c>
      <c r="F209" s="655">
        <v>18107665.089999959</v>
      </c>
      <c r="G209" s="329"/>
      <c r="H209" s="655">
        <v>1560748.3098180001</v>
      </c>
      <c r="I209" s="329"/>
      <c r="J209" s="655">
        <v>-706805.83100000001</v>
      </c>
      <c r="K209" s="329"/>
      <c r="L209" s="655">
        <v>-10000</v>
      </c>
      <c r="M209" s="329"/>
      <c r="N209" s="655">
        <v>0</v>
      </c>
      <c r="O209" s="329"/>
      <c r="P209" s="655">
        <v>0</v>
      </c>
      <c r="Q209" s="329"/>
      <c r="R209" s="655">
        <v>18951607.568817958</v>
      </c>
      <c r="S209" s="329"/>
      <c r="T209" s="655">
        <v>18517581.823413547</v>
      </c>
    </row>
    <row r="210" spans="1:20" ht="14.1" customHeight="1" x14ac:dyDescent="0.2">
      <c r="A210" s="252">
        <v>31</v>
      </c>
      <c r="B210" s="273"/>
      <c r="C210" s="267">
        <v>34583</v>
      </c>
      <c r="D210" s="252" t="s">
        <v>164</v>
      </c>
      <c r="F210" s="655">
        <v>4734504.6500000022</v>
      </c>
      <c r="G210" s="329"/>
      <c r="H210" s="655">
        <v>272949.21090000012</v>
      </c>
      <c r="I210" s="329"/>
      <c r="J210" s="655">
        <v>0</v>
      </c>
      <c r="K210" s="329"/>
      <c r="L210" s="655">
        <v>0</v>
      </c>
      <c r="M210" s="329"/>
      <c r="N210" s="655">
        <v>0</v>
      </c>
      <c r="O210" s="329"/>
      <c r="P210" s="655">
        <v>0</v>
      </c>
      <c r="Q210" s="329"/>
      <c r="R210" s="655">
        <v>5007453.8609000025</v>
      </c>
      <c r="S210" s="329"/>
      <c r="T210" s="655">
        <v>4870979.2554500047</v>
      </c>
    </row>
    <row r="211" spans="1:20" ht="14.1" customHeight="1" x14ac:dyDescent="0.2">
      <c r="A211" s="252">
        <v>32</v>
      </c>
      <c r="B211" s="273"/>
      <c r="C211" s="267">
        <v>34683</v>
      </c>
      <c r="D211" s="252" t="s">
        <v>165</v>
      </c>
      <c r="F211" s="655">
        <v>241704.32000000053</v>
      </c>
      <c r="G211" s="329"/>
      <c r="H211" s="655">
        <v>13420.223020000003</v>
      </c>
      <c r="I211" s="329"/>
      <c r="J211" s="655">
        <v>0</v>
      </c>
      <c r="K211" s="329"/>
      <c r="L211" s="655">
        <v>0</v>
      </c>
      <c r="M211" s="329"/>
      <c r="N211" s="655">
        <v>0</v>
      </c>
      <c r="O211" s="329"/>
      <c r="P211" s="655">
        <v>0</v>
      </c>
      <c r="Q211" s="329"/>
      <c r="R211" s="655">
        <v>255124.54302000054</v>
      </c>
      <c r="S211" s="329"/>
      <c r="T211" s="655">
        <v>248414.43151000049</v>
      </c>
    </row>
    <row r="212" spans="1:20" ht="14.1" customHeight="1" x14ac:dyDescent="0.2">
      <c r="A212" s="252">
        <v>33</v>
      </c>
      <c r="B212" s="273"/>
      <c r="C212" s="269"/>
      <c r="D212" s="279" t="s">
        <v>217</v>
      </c>
      <c r="F212" s="664">
        <v>28499456.599999961</v>
      </c>
      <c r="G212" s="602"/>
      <c r="H212" s="664">
        <v>2196382.3670650003</v>
      </c>
      <c r="I212" s="602"/>
      <c r="J212" s="664">
        <v>-1413611.662</v>
      </c>
      <c r="K212" s="602"/>
      <c r="L212" s="664">
        <v>-10000</v>
      </c>
      <c r="M212" s="602"/>
      <c r="N212" s="664">
        <v>0</v>
      </c>
      <c r="O212" s="602"/>
      <c r="P212" s="664">
        <v>0</v>
      </c>
      <c r="Q212" s="602"/>
      <c r="R212" s="664">
        <v>29272227.305064961</v>
      </c>
      <c r="S212" s="602"/>
      <c r="T212" s="664">
        <v>28865013.09283343</v>
      </c>
    </row>
    <row r="213" spans="1:20" ht="14.1" customHeight="1" x14ac:dyDescent="0.2">
      <c r="A213" s="252">
        <v>34</v>
      </c>
      <c r="B213" s="273"/>
      <c r="G213" s="602"/>
      <c r="I213" s="602"/>
      <c r="K213" s="602"/>
      <c r="M213" s="602"/>
      <c r="O213" s="602"/>
      <c r="Q213" s="602"/>
      <c r="S213" s="602"/>
    </row>
    <row r="214" spans="1:20" ht="14.1" customHeight="1" x14ac:dyDescent="0.2">
      <c r="A214" s="252">
        <v>35</v>
      </c>
      <c r="B214" s="273"/>
      <c r="C214" s="269"/>
      <c r="D214" s="279" t="s">
        <v>218</v>
      </c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2"/>
      <c r="R214" s="602"/>
      <c r="S214" s="602"/>
      <c r="T214" s="602"/>
    </row>
    <row r="215" spans="1:20" ht="14.1" customHeight="1" x14ac:dyDescent="0.2">
      <c r="A215" s="252">
        <v>36</v>
      </c>
      <c r="B215" s="273"/>
      <c r="C215" s="267">
        <v>34184</v>
      </c>
      <c r="D215" s="252" t="s">
        <v>161</v>
      </c>
      <c r="F215" s="655">
        <v>1819368.5799999975</v>
      </c>
      <c r="G215" s="329"/>
      <c r="H215" s="655">
        <v>139476.47183999998</v>
      </c>
      <c r="I215" s="329"/>
      <c r="J215" s="655">
        <v>0</v>
      </c>
      <c r="K215" s="329"/>
      <c r="L215" s="655">
        <v>0</v>
      </c>
      <c r="M215" s="329"/>
      <c r="N215" s="655">
        <v>0</v>
      </c>
      <c r="O215" s="329"/>
      <c r="P215" s="655">
        <v>0</v>
      </c>
      <c r="Q215" s="329"/>
      <c r="R215" s="655">
        <v>1958845.0518399975</v>
      </c>
      <c r="S215" s="329"/>
      <c r="T215" s="655">
        <v>1889106.8159199974</v>
      </c>
    </row>
    <row r="216" spans="1:20" ht="14.1" customHeight="1" x14ac:dyDescent="0.2">
      <c r="A216" s="252">
        <v>37</v>
      </c>
      <c r="B216" s="273"/>
      <c r="C216" s="267">
        <v>34284</v>
      </c>
      <c r="D216" s="252" t="s">
        <v>206</v>
      </c>
      <c r="F216" s="655">
        <v>373192.86999999918</v>
      </c>
      <c r="G216" s="329"/>
      <c r="H216" s="655">
        <v>113062.55713066667</v>
      </c>
      <c r="I216" s="329"/>
      <c r="J216" s="655">
        <v>-727022.12899999996</v>
      </c>
      <c r="K216" s="329"/>
      <c r="L216" s="655">
        <v>0</v>
      </c>
      <c r="M216" s="329"/>
      <c r="N216" s="655">
        <v>0</v>
      </c>
      <c r="O216" s="329"/>
      <c r="P216" s="655">
        <v>0</v>
      </c>
      <c r="Q216" s="329"/>
      <c r="R216" s="655">
        <v>-240766.70186933409</v>
      </c>
      <c r="S216" s="329"/>
      <c r="T216" s="655">
        <v>48355.441161434981</v>
      </c>
    </row>
    <row r="217" spans="1:20" ht="14.1" customHeight="1" x14ac:dyDescent="0.2">
      <c r="A217" s="252">
        <v>38</v>
      </c>
      <c r="B217" s="273"/>
      <c r="C217" s="267">
        <v>34384</v>
      </c>
      <c r="D217" s="252" t="s">
        <v>207</v>
      </c>
      <c r="F217" s="655">
        <v>3758369.3800000008</v>
      </c>
      <c r="G217" s="329"/>
      <c r="H217" s="655">
        <v>966500.72031366639</v>
      </c>
      <c r="I217" s="329"/>
      <c r="J217" s="655">
        <v>-727022.12899999996</v>
      </c>
      <c r="K217" s="329"/>
      <c r="L217" s="655">
        <v>0</v>
      </c>
      <c r="M217" s="329"/>
      <c r="N217" s="655">
        <v>0</v>
      </c>
      <c r="O217" s="329"/>
      <c r="P217" s="655">
        <v>0</v>
      </c>
      <c r="Q217" s="329"/>
      <c r="R217" s="655">
        <v>3997847.9713136675</v>
      </c>
      <c r="S217" s="329"/>
      <c r="T217" s="655">
        <v>3857364.1140840529</v>
      </c>
    </row>
    <row r="218" spans="1:20" ht="14.1" customHeight="1" x14ac:dyDescent="0.2">
      <c r="A218" s="252">
        <v>39</v>
      </c>
      <c r="B218" s="273"/>
      <c r="C218" s="267">
        <v>34584</v>
      </c>
      <c r="D218" s="252" t="s">
        <v>164</v>
      </c>
      <c r="F218" s="655">
        <v>2801863.7299999963</v>
      </c>
      <c r="G218" s="329"/>
      <c r="H218" s="655">
        <v>217372.47206999999</v>
      </c>
      <c r="I218" s="329"/>
      <c r="J218" s="655">
        <v>0</v>
      </c>
      <c r="K218" s="329"/>
      <c r="L218" s="655">
        <v>0</v>
      </c>
      <c r="M218" s="329"/>
      <c r="N218" s="655">
        <v>0</v>
      </c>
      <c r="O218" s="329"/>
      <c r="P218" s="655">
        <v>0</v>
      </c>
      <c r="Q218" s="329"/>
      <c r="R218" s="655">
        <v>3019236.2020699964</v>
      </c>
      <c r="S218" s="329"/>
      <c r="T218" s="655">
        <v>2910549.9660349968</v>
      </c>
    </row>
    <row r="219" spans="1:20" ht="14.1" customHeight="1" x14ac:dyDescent="0.2">
      <c r="A219" s="252">
        <v>40</v>
      </c>
      <c r="B219" s="273"/>
      <c r="C219" s="267">
        <v>34684</v>
      </c>
      <c r="D219" s="252" t="s">
        <v>165</v>
      </c>
      <c r="F219" s="655">
        <v>7.503331289626658E-12</v>
      </c>
      <c r="G219" s="329"/>
      <c r="H219" s="655">
        <v>0</v>
      </c>
      <c r="I219" s="329"/>
      <c r="J219" s="655">
        <v>0</v>
      </c>
      <c r="K219" s="329"/>
      <c r="L219" s="655">
        <v>0</v>
      </c>
      <c r="M219" s="329"/>
      <c r="N219" s="655">
        <v>0</v>
      </c>
      <c r="O219" s="329"/>
      <c r="P219" s="655">
        <v>0</v>
      </c>
      <c r="Q219" s="329"/>
      <c r="R219" s="655">
        <v>7.503331289626658E-12</v>
      </c>
      <c r="S219" s="329"/>
      <c r="T219" s="655">
        <v>7.503331289626658E-12</v>
      </c>
    </row>
    <row r="220" spans="1:20" ht="14.1" customHeight="1" x14ac:dyDescent="0.2">
      <c r="A220" s="252">
        <v>41</v>
      </c>
      <c r="B220" s="273"/>
      <c r="C220" s="269"/>
      <c r="D220" s="279" t="s">
        <v>219</v>
      </c>
      <c r="F220" s="664">
        <v>8752794.5599999931</v>
      </c>
      <c r="G220" s="602"/>
      <c r="H220" s="664">
        <v>1436412.221354333</v>
      </c>
      <c r="I220" s="602"/>
      <c r="J220" s="664">
        <v>-1454044.2579999999</v>
      </c>
      <c r="K220" s="602"/>
      <c r="L220" s="664">
        <v>0</v>
      </c>
      <c r="M220" s="602"/>
      <c r="N220" s="664">
        <v>0</v>
      </c>
      <c r="O220" s="602"/>
      <c r="P220" s="664">
        <v>0</v>
      </c>
      <c r="Q220" s="602"/>
      <c r="R220" s="664">
        <v>8735162.5233543273</v>
      </c>
      <c r="S220" s="602"/>
      <c r="T220" s="664">
        <v>8705376.3372004814</v>
      </c>
    </row>
    <row r="221" spans="1:20" ht="14.1" customHeight="1" x14ac:dyDescent="0.2">
      <c r="A221" s="252">
        <v>42</v>
      </c>
      <c r="B221" s="273"/>
      <c r="C221" s="284"/>
      <c r="F221" s="291"/>
      <c r="G221" s="602"/>
      <c r="H221" s="291"/>
      <c r="I221" s="602"/>
      <c r="J221" s="291"/>
      <c r="K221" s="602"/>
      <c r="L221" s="291"/>
      <c r="M221" s="602"/>
      <c r="N221" s="291"/>
      <c r="O221" s="602"/>
      <c r="P221" s="291"/>
      <c r="Q221" s="602"/>
      <c r="R221" s="291"/>
      <c r="S221" s="602"/>
      <c r="T221" s="291"/>
    </row>
    <row r="222" spans="1:20" ht="14.1" customHeight="1" x14ac:dyDescent="0.2">
      <c r="A222" s="252">
        <v>43</v>
      </c>
      <c r="B222" s="273"/>
      <c r="C222" s="284"/>
      <c r="F222" s="291"/>
      <c r="G222" s="602"/>
      <c r="H222" s="291"/>
      <c r="I222" s="602"/>
      <c r="J222" s="291"/>
      <c r="K222" s="602"/>
      <c r="L222" s="291"/>
      <c r="M222" s="602"/>
      <c r="N222" s="291"/>
      <c r="O222" s="602"/>
      <c r="P222" s="291"/>
      <c r="Q222" s="602"/>
      <c r="R222" s="291"/>
      <c r="S222" s="602"/>
      <c r="T222" s="291"/>
    </row>
    <row r="223" spans="1:20" ht="14.1" customHeight="1" thickBot="1" x14ac:dyDescent="0.25">
      <c r="A223" s="252">
        <v>44</v>
      </c>
      <c r="B223" s="667" t="s">
        <v>186</v>
      </c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</row>
    <row r="224" spans="1:20" ht="14.1" customHeight="1" x14ac:dyDescent="0.2">
      <c r="A224" s="252" t="s">
        <v>60</v>
      </c>
      <c r="R224" s="252" t="s">
        <v>60</v>
      </c>
    </row>
    <row r="225" spans="1:20" ht="14.1" customHeight="1" thickBot="1" x14ac:dyDescent="0.25">
      <c r="A225" s="264" t="s">
        <v>301</v>
      </c>
      <c r="B225" s="264"/>
      <c r="C225" s="264"/>
      <c r="D225" s="264"/>
      <c r="E225" s="264"/>
      <c r="F225" s="264" t="s">
        <v>302</v>
      </c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 t="s">
        <v>327</v>
      </c>
    </row>
    <row r="226" spans="1:20" ht="14.1" customHeight="1" x14ac:dyDescent="0.2">
      <c r="A226" s="252" t="s">
        <v>129</v>
      </c>
      <c r="B226" s="285"/>
      <c r="E226" s="260" t="s">
        <v>130</v>
      </c>
      <c r="F226" s="252" t="s">
        <v>303</v>
      </c>
      <c r="J226" s="286"/>
      <c r="K226" s="286"/>
      <c r="P226" s="286"/>
      <c r="Q226" s="286"/>
      <c r="R226" s="286" t="s">
        <v>132</v>
      </c>
      <c r="T226" s="261"/>
    </row>
    <row r="227" spans="1:20" ht="14.1" customHeight="1" x14ac:dyDescent="0.2">
      <c r="B227" s="285"/>
      <c r="F227" s="252" t="s">
        <v>1399</v>
      </c>
      <c r="J227" s="260"/>
      <c r="K227" s="261"/>
      <c r="P227" s="260"/>
      <c r="Q227" s="260" t="s">
        <v>123</v>
      </c>
      <c r="R227" s="261" t="s">
        <v>1361</v>
      </c>
      <c r="T227" s="260"/>
    </row>
    <row r="228" spans="1:20" ht="14.1" customHeight="1" x14ac:dyDescent="0.2">
      <c r="A228" s="252" t="s">
        <v>134</v>
      </c>
      <c r="B228" s="285"/>
      <c r="F228" s="252" t="s">
        <v>123</v>
      </c>
      <c r="J228" s="260"/>
      <c r="K228" s="261"/>
      <c r="L228" s="260"/>
      <c r="N228" s="260"/>
      <c r="Q228" s="260" t="s">
        <v>123</v>
      </c>
      <c r="R228" s="261">
        <v>0</v>
      </c>
      <c r="T228" s="260"/>
    </row>
    <row r="229" spans="1:20" ht="14.1" customHeight="1" x14ac:dyDescent="0.2">
      <c r="B229" s="285"/>
      <c r="F229" s="252" t="s">
        <v>123</v>
      </c>
      <c r="J229" s="260"/>
      <c r="K229" s="261"/>
      <c r="L229" s="260"/>
      <c r="N229" s="260"/>
      <c r="Q229" s="260" t="s">
        <v>123</v>
      </c>
      <c r="R229" s="261"/>
      <c r="T229" s="260"/>
    </row>
    <row r="230" spans="1:20" ht="14.1" customHeight="1" thickBot="1" x14ac:dyDescent="0.25">
      <c r="A230" s="264" t="s">
        <v>135</v>
      </c>
      <c r="B230" s="287"/>
      <c r="C230" s="264"/>
      <c r="D230" s="264"/>
      <c r="E230" s="264"/>
      <c r="F230" s="264" t="s">
        <v>123</v>
      </c>
      <c r="G230" s="264"/>
      <c r="H230" s="266"/>
      <c r="I230" s="264"/>
      <c r="J230" s="264"/>
      <c r="K230" s="264"/>
      <c r="L230" s="264"/>
      <c r="M230" s="264"/>
      <c r="N230" s="264"/>
      <c r="O230" s="264"/>
      <c r="P230" s="264"/>
      <c r="Q230" s="264"/>
      <c r="R230" s="288"/>
      <c r="S230" s="264"/>
      <c r="T230" s="264"/>
    </row>
    <row r="231" spans="1:20" ht="14.1" customHeight="1" x14ac:dyDescent="0.2"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</row>
    <row r="232" spans="1:20" ht="14.1" customHeight="1" x14ac:dyDescent="0.2">
      <c r="C232" s="267" t="s">
        <v>136</v>
      </c>
      <c r="D232" s="267" t="s">
        <v>137</v>
      </c>
      <c r="E232" s="267"/>
      <c r="F232" s="267" t="s">
        <v>138</v>
      </c>
      <c r="G232" s="267"/>
      <c r="H232" s="267" t="s">
        <v>139</v>
      </c>
      <c r="I232" s="267"/>
      <c r="J232" s="269" t="s">
        <v>140</v>
      </c>
      <c r="L232" s="267" t="s">
        <v>141</v>
      </c>
      <c r="M232" s="267"/>
      <c r="N232" s="267" t="s">
        <v>142</v>
      </c>
      <c r="O232" s="267"/>
      <c r="P232" s="267" t="s">
        <v>143</v>
      </c>
      <c r="Q232" s="267"/>
      <c r="R232" s="267" t="s">
        <v>144</v>
      </c>
      <c r="S232" s="267"/>
      <c r="T232" s="267" t="s">
        <v>305</v>
      </c>
    </row>
    <row r="233" spans="1:20" ht="14.1" customHeight="1" x14ac:dyDescent="0.2">
      <c r="C233" s="269" t="s">
        <v>145</v>
      </c>
      <c r="D233" s="269" t="s">
        <v>145</v>
      </c>
      <c r="F233" s="267" t="s">
        <v>41</v>
      </c>
      <c r="G233" s="269"/>
      <c r="H233" s="267" t="s">
        <v>40</v>
      </c>
      <c r="I233" s="269"/>
      <c r="J233" s="267"/>
      <c r="K233" s="269"/>
      <c r="L233" s="269"/>
      <c r="M233" s="269"/>
      <c r="N233" s="269"/>
      <c r="O233" s="269"/>
      <c r="P233" s="269"/>
      <c r="Q233" s="269"/>
      <c r="R233" s="269" t="s">
        <v>41</v>
      </c>
      <c r="T233" s="269"/>
    </row>
    <row r="234" spans="1:20" ht="14.1" customHeight="1" x14ac:dyDescent="0.2">
      <c r="A234" s="252" t="s">
        <v>146</v>
      </c>
      <c r="B234" s="269"/>
      <c r="C234" s="269" t="s">
        <v>147</v>
      </c>
      <c r="D234" s="269" t="s">
        <v>147</v>
      </c>
      <c r="E234" s="267"/>
      <c r="F234" s="269" t="s">
        <v>6</v>
      </c>
      <c r="G234" s="269"/>
      <c r="H234" s="269" t="s">
        <v>6</v>
      </c>
      <c r="I234" s="269"/>
      <c r="J234" s="269"/>
      <c r="K234" s="267"/>
      <c r="L234" s="269" t="s">
        <v>306</v>
      </c>
      <c r="M234" s="269"/>
      <c r="N234" s="269" t="s">
        <v>306</v>
      </c>
      <c r="O234" s="269"/>
      <c r="P234" s="269" t="s">
        <v>150</v>
      </c>
      <c r="Q234" s="267"/>
      <c r="R234" s="267" t="s">
        <v>6</v>
      </c>
      <c r="S234" s="267"/>
      <c r="T234" s="269" t="s">
        <v>151</v>
      </c>
    </row>
    <row r="235" spans="1:20" ht="14.1" customHeight="1" thickBot="1" x14ac:dyDescent="0.25">
      <c r="A235" s="264" t="s">
        <v>152</v>
      </c>
      <c r="B235" s="266"/>
      <c r="C235" s="266" t="s">
        <v>52</v>
      </c>
      <c r="D235" s="266" t="s">
        <v>153</v>
      </c>
      <c r="E235" s="266"/>
      <c r="F235" s="270" t="s">
        <v>154</v>
      </c>
      <c r="G235" s="270"/>
      <c r="H235" s="270" t="s">
        <v>307</v>
      </c>
      <c r="I235" s="271"/>
      <c r="J235" s="270" t="s">
        <v>18</v>
      </c>
      <c r="K235" s="271"/>
      <c r="L235" s="270" t="s">
        <v>19</v>
      </c>
      <c r="M235" s="271"/>
      <c r="N235" s="270" t="s">
        <v>54</v>
      </c>
      <c r="O235" s="271"/>
      <c r="P235" s="272" t="s">
        <v>157</v>
      </c>
      <c r="Q235" s="272"/>
      <c r="R235" s="272" t="s">
        <v>158</v>
      </c>
      <c r="S235" s="272"/>
      <c r="T235" s="272" t="s">
        <v>3</v>
      </c>
    </row>
    <row r="236" spans="1:20" ht="14.1" customHeight="1" x14ac:dyDescent="0.2">
      <c r="A236" s="252">
        <v>1</v>
      </c>
      <c r="B236" s="273"/>
    </row>
    <row r="237" spans="1:20" ht="14.1" customHeight="1" x14ac:dyDescent="0.2">
      <c r="A237" s="252">
        <v>2</v>
      </c>
      <c r="B237" s="273"/>
      <c r="C237" s="269"/>
      <c r="D237" s="279" t="s">
        <v>220</v>
      </c>
      <c r="F237" s="602"/>
      <c r="G237" s="602"/>
      <c r="H237" s="602"/>
      <c r="I237" s="602"/>
      <c r="J237" s="602"/>
      <c r="K237" s="602"/>
      <c r="L237" s="602"/>
      <c r="M237" s="602"/>
      <c r="N237" s="602"/>
      <c r="O237" s="602"/>
      <c r="P237" s="602"/>
      <c r="Q237" s="602"/>
      <c r="R237" s="602"/>
      <c r="S237" s="602"/>
      <c r="T237" s="602"/>
    </row>
    <row r="238" spans="1:20" ht="14.1" customHeight="1" x14ac:dyDescent="0.2">
      <c r="A238" s="252">
        <v>3</v>
      </c>
      <c r="B238" s="273"/>
      <c r="C238" s="267">
        <v>34185</v>
      </c>
      <c r="D238" s="252" t="s">
        <v>161</v>
      </c>
      <c r="F238" s="655">
        <v>1820875.8599999971</v>
      </c>
      <c r="G238" s="329"/>
      <c r="H238" s="655">
        <v>137917.92264000003</v>
      </c>
      <c r="I238" s="329"/>
      <c r="J238" s="655">
        <v>0</v>
      </c>
      <c r="K238" s="329"/>
      <c r="L238" s="655">
        <v>0</v>
      </c>
      <c r="M238" s="329"/>
      <c r="N238" s="655">
        <v>0</v>
      </c>
      <c r="O238" s="329"/>
      <c r="P238" s="655">
        <v>0</v>
      </c>
      <c r="Q238" s="329"/>
      <c r="R238" s="655">
        <v>1958793.7826399971</v>
      </c>
      <c r="S238" s="329"/>
      <c r="T238" s="655">
        <v>1889834.8213199968</v>
      </c>
    </row>
    <row r="239" spans="1:20" ht="14.1" customHeight="1" x14ac:dyDescent="0.2">
      <c r="A239" s="252">
        <v>4</v>
      </c>
      <c r="B239" s="273"/>
      <c r="C239" s="267">
        <v>34285</v>
      </c>
      <c r="D239" s="252" t="s">
        <v>206</v>
      </c>
      <c r="F239" s="655">
        <v>660328.42999999935</v>
      </c>
      <c r="G239" s="329"/>
      <c r="H239" s="655">
        <v>84314.345799999981</v>
      </c>
      <c r="I239" s="329"/>
      <c r="J239" s="655">
        <v>-158603.014</v>
      </c>
      <c r="K239" s="329"/>
      <c r="L239" s="655">
        <v>0</v>
      </c>
      <c r="M239" s="329"/>
      <c r="N239" s="655">
        <v>0</v>
      </c>
      <c r="O239" s="329"/>
      <c r="P239" s="655">
        <v>0</v>
      </c>
      <c r="Q239" s="329"/>
      <c r="R239" s="655">
        <v>586039.7617999994</v>
      </c>
      <c r="S239" s="329"/>
      <c r="T239" s="655">
        <v>624052.8515742044</v>
      </c>
    </row>
    <row r="240" spans="1:20" ht="14.1" customHeight="1" x14ac:dyDescent="0.2">
      <c r="A240" s="252">
        <v>5</v>
      </c>
      <c r="B240" s="273"/>
      <c r="C240" s="267">
        <v>34385</v>
      </c>
      <c r="D240" s="252" t="s">
        <v>207</v>
      </c>
      <c r="F240" s="655">
        <v>2351361.2000000044</v>
      </c>
      <c r="G240" s="329"/>
      <c r="H240" s="655">
        <v>988514.84589000011</v>
      </c>
      <c r="I240" s="329"/>
      <c r="J240" s="655">
        <v>-158603.014</v>
      </c>
      <c r="K240" s="329"/>
      <c r="L240" s="655">
        <v>0</v>
      </c>
      <c r="M240" s="329"/>
      <c r="N240" s="655">
        <v>0</v>
      </c>
      <c r="O240" s="329"/>
      <c r="P240" s="655">
        <v>0</v>
      </c>
      <c r="Q240" s="329"/>
      <c r="R240" s="655">
        <v>3181273.0318900044</v>
      </c>
      <c r="S240" s="329"/>
      <c r="T240" s="655">
        <v>2766940.730066773</v>
      </c>
    </row>
    <row r="241" spans="1:20" ht="14.1" customHeight="1" x14ac:dyDescent="0.2">
      <c r="A241" s="252">
        <v>6</v>
      </c>
      <c r="B241" s="273"/>
      <c r="C241" s="267">
        <v>34585</v>
      </c>
      <c r="D241" s="252" t="s">
        <v>164</v>
      </c>
      <c r="F241" s="655">
        <v>2787901.9700000049</v>
      </c>
      <c r="G241" s="329"/>
      <c r="H241" s="655">
        <v>213137.14109999992</v>
      </c>
      <c r="I241" s="329"/>
      <c r="J241" s="655">
        <v>0</v>
      </c>
      <c r="K241" s="329"/>
      <c r="L241" s="655">
        <v>0</v>
      </c>
      <c r="M241" s="329"/>
      <c r="N241" s="655">
        <v>0</v>
      </c>
      <c r="O241" s="329"/>
      <c r="P241" s="655">
        <v>0</v>
      </c>
      <c r="Q241" s="329"/>
      <c r="R241" s="655">
        <v>3001039.111100005</v>
      </c>
      <c r="S241" s="329"/>
      <c r="T241" s="655">
        <v>2894470.5405500052</v>
      </c>
    </row>
    <row r="242" spans="1:20" ht="14.1" customHeight="1" x14ac:dyDescent="0.2">
      <c r="A242" s="252">
        <v>7</v>
      </c>
      <c r="C242" s="267">
        <v>34685</v>
      </c>
      <c r="D242" s="252" t="s">
        <v>165</v>
      </c>
      <c r="F242" s="655">
        <v>-7.0485839387401938E-12</v>
      </c>
      <c r="G242" s="329"/>
      <c r="H242" s="655">
        <v>0</v>
      </c>
      <c r="I242" s="329"/>
      <c r="J242" s="655">
        <v>0</v>
      </c>
      <c r="K242" s="329"/>
      <c r="L242" s="655">
        <v>0</v>
      </c>
      <c r="M242" s="329"/>
      <c r="N242" s="655">
        <v>0</v>
      </c>
      <c r="O242" s="329"/>
      <c r="P242" s="655">
        <v>0</v>
      </c>
      <c r="Q242" s="329"/>
      <c r="R242" s="655">
        <v>-7.0485839387401938E-12</v>
      </c>
      <c r="S242" s="329"/>
      <c r="T242" s="655">
        <v>-7.0485839387401938E-12</v>
      </c>
    </row>
    <row r="243" spans="1:20" ht="14.1" customHeight="1" x14ac:dyDescent="0.2">
      <c r="A243" s="252">
        <v>8</v>
      </c>
      <c r="C243" s="269"/>
      <c r="D243" s="279" t="s">
        <v>221</v>
      </c>
      <c r="F243" s="664">
        <v>7620467.4600000046</v>
      </c>
      <c r="G243" s="602"/>
      <c r="H243" s="664">
        <v>1423884.2554300001</v>
      </c>
      <c r="I243" s="602"/>
      <c r="J243" s="664">
        <v>-317206.02799999999</v>
      </c>
      <c r="K243" s="602"/>
      <c r="L243" s="664">
        <v>0</v>
      </c>
      <c r="M243" s="602"/>
      <c r="N243" s="664">
        <v>0</v>
      </c>
      <c r="O243" s="602"/>
      <c r="P243" s="664">
        <v>0</v>
      </c>
      <c r="Q243" s="602"/>
      <c r="R243" s="664">
        <v>8727145.6874300055</v>
      </c>
      <c r="S243" s="602"/>
      <c r="T243" s="664">
        <v>8175298.9435109794</v>
      </c>
    </row>
    <row r="244" spans="1:20" ht="14.1" customHeight="1" x14ac:dyDescent="0.2">
      <c r="A244" s="252">
        <v>9</v>
      </c>
    </row>
    <row r="245" spans="1:20" ht="14.1" customHeight="1" x14ac:dyDescent="0.2">
      <c r="A245" s="252">
        <v>10</v>
      </c>
      <c r="C245" s="269"/>
      <c r="D245" s="279" t="s">
        <v>1374</v>
      </c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2"/>
      <c r="R245" s="602"/>
      <c r="S245" s="602"/>
      <c r="T245" s="602"/>
    </row>
    <row r="246" spans="1:20" ht="14.1" customHeight="1" x14ac:dyDescent="0.2">
      <c r="A246" s="252">
        <v>11</v>
      </c>
      <c r="C246" s="267">
        <v>34186</v>
      </c>
      <c r="D246" s="252" t="s">
        <v>161</v>
      </c>
      <c r="F246" s="655">
        <v>2835504.5899999985</v>
      </c>
      <c r="G246" s="329"/>
      <c r="H246" s="655">
        <v>387862.06745000003</v>
      </c>
      <c r="I246" s="329"/>
      <c r="J246" s="655">
        <v>0</v>
      </c>
      <c r="K246" s="329"/>
      <c r="L246" s="655">
        <v>0</v>
      </c>
      <c r="M246" s="329"/>
      <c r="N246" s="655">
        <v>0</v>
      </c>
      <c r="O246" s="329"/>
      <c r="P246" s="655">
        <v>0</v>
      </c>
      <c r="Q246" s="329"/>
      <c r="R246" s="655">
        <v>3223366.6574499984</v>
      </c>
      <c r="S246" s="329"/>
      <c r="T246" s="655">
        <v>3029435.6237249975</v>
      </c>
    </row>
    <row r="247" spans="1:20" ht="14.1" customHeight="1" x14ac:dyDescent="0.2">
      <c r="A247" s="252">
        <v>12</v>
      </c>
      <c r="B247" s="273"/>
      <c r="C247" s="267">
        <v>34286</v>
      </c>
      <c r="D247" s="252" t="s">
        <v>206</v>
      </c>
      <c r="F247" s="655">
        <v>23010165.580000006</v>
      </c>
      <c r="G247" s="329"/>
      <c r="H247" s="655">
        <v>6198359.5467066634</v>
      </c>
      <c r="I247" s="329"/>
      <c r="J247" s="655">
        <v>-260847.80000000002</v>
      </c>
      <c r="K247" s="329"/>
      <c r="L247" s="655">
        <v>0</v>
      </c>
      <c r="M247" s="329"/>
      <c r="N247" s="655">
        <v>0</v>
      </c>
      <c r="O247" s="329"/>
      <c r="P247" s="655">
        <v>0</v>
      </c>
      <c r="Q247" s="329"/>
      <c r="R247" s="655">
        <v>28947677.326706666</v>
      </c>
      <c r="S247" s="329"/>
      <c r="T247" s="655">
        <v>26057717.766555905</v>
      </c>
    </row>
    <row r="248" spans="1:20" ht="14.1" customHeight="1" x14ac:dyDescent="0.2">
      <c r="A248" s="252">
        <v>13</v>
      </c>
      <c r="B248" s="273"/>
      <c r="C248" s="267">
        <v>34386</v>
      </c>
      <c r="D248" s="252" t="s">
        <v>207</v>
      </c>
      <c r="F248" s="655">
        <v>23803962.979999986</v>
      </c>
      <c r="G248" s="329"/>
      <c r="H248" s="655">
        <v>6488440.2977866642</v>
      </c>
      <c r="I248" s="329"/>
      <c r="J248" s="655">
        <v>-260847.80000000002</v>
      </c>
      <c r="K248" s="329"/>
      <c r="L248" s="655">
        <v>-38252</v>
      </c>
      <c r="M248" s="329"/>
      <c r="N248" s="655">
        <v>0</v>
      </c>
      <c r="O248" s="329"/>
      <c r="P248" s="655">
        <v>0</v>
      </c>
      <c r="Q248" s="329"/>
      <c r="R248" s="655">
        <v>29993303.477786649</v>
      </c>
      <c r="S248" s="329"/>
      <c r="T248" s="655">
        <v>26980813.080557413</v>
      </c>
    </row>
    <row r="249" spans="1:20" ht="14.1" customHeight="1" x14ac:dyDescent="0.2">
      <c r="A249" s="252">
        <v>14</v>
      </c>
      <c r="B249" s="273"/>
      <c r="C249" s="267">
        <v>34586</v>
      </c>
      <c r="D249" s="252" t="s">
        <v>164</v>
      </c>
      <c r="F249" s="655">
        <v>2394256.2100000014</v>
      </c>
      <c r="G249" s="329"/>
      <c r="H249" s="655">
        <v>531743.81411000015</v>
      </c>
      <c r="I249" s="329"/>
      <c r="J249" s="655">
        <v>0</v>
      </c>
      <c r="K249" s="329"/>
      <c r="L249" s="655">
        <v>0</v>
      </c>
      <c r="M249" s="329"/>
      <c r="N249" s="655">
        <v>0</v>
      </c>
      <c r="O249" s="329"/>
      <c r="P249" s="655">
        <v>0</v>
      </c>
      <c r="Q249" s="329"/>
      <c r="R249" s="655">
        <v>2926000.0241100015</v>
      </c>
      <c r="S249" s="329"/>
      <c r="T249" s="655">
        <v>2660128.1170550021</v>
      </c>
    </row>
    <row r="250" spans="1:20" ht="14.1" customHeight="1" x14ac:dyDescent="0.2">
      <c r="A250" s="252">
        <v>15</v>
      </c>
      <c r="B250" s="273"/>
      <c r="C250" s="267">
        <v>34686</v>
      </c>
      <c r="D250" s="252" t="s">
        <v>164</v>
      </c>
      <c r="F250" s="655">
        <v>14032.660000000007</v>
      </c>
      <c r="G250" s="329"/>
      <c r="H250" s="655">
        <v>4107.1658900000011</v>
      </c>
      <c r="I250" s="329"/>
      <c r="J250" s="655">
        <v>0</v>
      </c>
      <c r="K250" s="329"/>
      <c r="L250" s="655">
        <v>0</v>
      </c>
      <c r="M250" s="329"/>
      <c r="N250" s="655">
        <v>0</v>
      </c>
      <c r="O250" s="329"/>
      <c r="P250" s="655">
        <v>0</v>
      </c>
      <c r="Q250" s="329"/>
      <c r="R250" s="655">
        <v>18139.825890000007</v>
      </c>
      <c r="S250" s="329"/>
      <c r="T250" s="655">
        <v>16086.242945000005</v>
      </c>
    </row>
    <row r="251" spans="1:20" ht="14.1" customHeight="1" x14ac:dyDescent="0.2">
      <c r="A251" s="252">
        <v>16</v>
      </c>
      <c r="B251" s="273"/>
      <c r="C251" s="267"/>
      <c r="D251" s="279" t="s">
        <v>1375</v>
      </c>
      <c r="F251" s="664">
        <v>52057922.019999988</v>
      </c>
      <c r="G251" s="602"/>
      <c r="H251" s="664">
        <v>13610512.891943328</v>
      </c>
      <c r="I251" s="602"/>
      <c r="J251" s="664">
        <v>-521695.60000000003</v>
      </c>
      <c r="K251" s="602"/>
      <c r="L251" s="664">
        <v>-38252</v>
      </c>
      <c r="M251" s="602"/>
      <c r="N251" s="664">
        <v>0</v>
      </c>
      <c r="O251" s="602"/>
      <c r="P251" s="664">
        <v>0</v>
      </c>
      <c r="Q251" s="602"/>
      <c r="R251" s="664">
        <v>65108487.311943315</v>
      </c>
      <c r="S251" s="602"/>
      <c r="T251" s="664">
        <v>58744180.830838315</v>
      </c>
    </row>
    <row r="252" spans="1:20" ht="14.1" customHeight="1" x14ac:dyDescent="0.2">
      <c r="A252" s="252">
        <v>17</v>
      </c>
      <c r="B252" s="273"/>
      <c r="C252" s="269"/>
    </row>
    <row r="253" spans="1:20" ht="14.1" customHeight="1" x14ac:dyDescent="0.2">
      <c r="A253" s="252">
        <v>18</v>
      </c>
      <c r="B253" s="273"/>
      <c r="C253" s="267">
        <v>34287</v>
      </c>
      <c r="D253" s="252" t="s">
        <v>222</v>
      </c>
      <c r="F253" s="655">
        <v>925.32000001331494</v>
      </c>
      <c r="H253" s="655">
        <v>8.8766682893037765E-11</v>
      </c>
      <c r="J253" s="655">
        <v>0</v>
      </c>
      <c r="L253" s="655">
        <v>0</v>
      </c>
      <c r="N253" s="655">
        <v>0</v>
      </c>
      <c r="P253" s="655">
        <v>0</v>
      </c>
      <c r="R253" s="655">
        <v>925.32000001340373</v>
      </c>
      <c r="T253" s="655">
        <v>925.32000001335939</v>
      </c>
    </row>
    <row r="254" spans="1:20" ht="14.1" customHeight="1" x14ac:dyDescent="0.2">
      <c r="A254" s="252">
        <v>19</v>
      </c>
      <c r="B254" s="292"/>
    </row>
    <row r="255" spans="1:20" ht="14.1" customHeight="1" x14ac:dyDescent="0.2">
      <c r="A255" s="252">
        <v>20</v>
      </c>
      <c r="B255" s="273"/>
      <c r="C255" s="267">
        <v>34687</v>
      </c>
      <c r="D255" s="252" t="s">
        <v>223</v>
      </c>
      <c r="F255" s="655">
        <v>478040.80000000022</v>
      </c>
      <c r="G255" s="329"/>
      <c r="H255" s="655">
        <v>171657.24004000003</v>
      </c>
      <c r="I255" s="329"/>
      <c r="J255" s="655">
        <v>-429295.52999999997</v>
      </c>
      <c r="K255" s="329"/>
      <c r="L255" s="655">
        <v>0</v>
      </c>
      <c r="M255" s="329"/>
      <c r="N255" s="655">
        <v>0</v>
      </c>
      <c r="O255" s="329"/>
      <c r="P255" s="655">
        <v>0</v>
      </c>
      <c r="Q255" s="329"/>
      <c r="R255" s="655">
        <v>220402.51004000026</v>
      </c>
      <c r="S255" s="329"/>
      <c r="T255" s="655">
        <v>530846.68694307713</v>
      </c>
    </row>
    <row r="256" spans="1:20" ht="14.1" customHeight="1" x14ac:dyDescent="0.2">
      <c r="A256" s="252">
        <v>21</v>
      </c>
      <c r="B256" s="273"/>
    </row>
    <row r="257" spans="1:20" ht="14.1" customHeight="1" thickBot="1" x14ac:dyDescent="0.25">
      <c r="A257" s="252">
        <v>22</v>
      </c>
      <c r="B257" s="273"/>
      <c r="C257" s="269"/>
      <c r="D257" s="83" t="s">
        <v>74</v>
      </c>
      <c r="E257" s="83"/>
      <c r="F257" s="665">
        <v>420264225.48999983</v>
      </c>
      <c r="G257" s="666"/>
      <c r="H257" s="665">
        <v>44258015.559193343</v>
      </c>
      <c r="I257" s="666"/>
      <c r="J257" s="665">
        <v>-9004253.8080000002</v>
      </c>
      <c r="K257" s="666"/>
      <c r="L257" s="665">
        <v>-808252.00000000012</v>
      </c>
      <c r="M257" s="666"/>
      <c r="N257" s="665">
        <v>0</v>
      </c>
      <c r="O257" s="666"/>
      <c r="P257" s="665">
        <v>0</v>
      </c>
      <c r="Q257" s="666"/>
      <c r="R257" s="665">
        <v>454709735.24119323</v>
      </c>
      <c r="S257" s="666"/>
      <c r="T257" s="665">
        <v>438752154.18693191</v>
      </c>
    </row>
    <row r="258" spans="1:20" ht="14.1" customHeight="1" thickTop="1" x14ac:dyDescent="0.2">
      <c r="A258" s="252">
        <v>23</v>
      </c>
      <c r="B258" s="273"/>
    </row>
    <row r="259" spans="1:20" ht="14.1" customHeight="1" x14ac:dyDescent="0.2">
      <c r="A259" s="252">
        <v>24</v>
      </c>
      <c r="B259" s="273"/>
    </row>
    <row r="260" spans="1:20" ht="14.1" customHeight="1" x14ac:dyDescent="0.2">
      <c r="A260" s="252">
        <v>25</v>
      </c>
      <c r="B260" s="273"/>
      <c r="D260" s="83" t="s">
        <v>62</v>
      </c>
      <c r="G260" s="602"/>
      <c r="I260" s="602"/>
      <c r="K260" s="602"/>
      <c r="M260" s="602"/>
      <c r="O260" s="602"/>
      <c r="Q260" s="602"/>
      <c r="S260" s="602"/>
    </row>
    <row r="261" spans="1:20" ht="14.1" customHeight="1" x14ac:dyDescent="0.2">
      <c r="A261" s="252">
        <v>26</v>
      </c>
      <c r="B261" s="273"/>
      <c r="D261" s="252" t="s">
        <v>224</v>
      </c>
      <c r="F261" s="707"/>
      <c r="G261" s="602"/>
      <c r="H261" s="707"/>
      <c r="I261" s="602"/>
      <c r="J261" s="707"/>
      <c r="K261" s="602"/>
      <c r="L261" s="707"/>
      <c r="M261" s="602"/>
      <c r="N261" s="707"/>
      <c r="O261" s="602"/>
      <c r="P261" s="707"/>
      <c r="Q261" s="602"/>
      <c r="R261" s="707"/>
      <c r="S261" s="602"/>
      <c r="T261" s="707"/>
    </row>
    <row r="262" spans="1:20" ht="14.1" customHeight="1" x14ac:dyDescent="0.2">
      <c r="A262" s="252">
        <v>27</v>
      </c>
      <c r="B262" s="273"/>
      <c r="C262" s="269">
        <v>34130</v>
      </c>
      <c r="D262" s="252" t="s">
        <v>161</v>
      </c>
      <c r="F262" s="655">
        <v>21271527.919999991</v>
      </c>
      <c r="G262" s="329"/>
      <c r="H262" s="655">
        <v>1936130.3250499994</v>
      </c>
      <c r="I262" s="329"/>
      <c r="J262" s="655">
        <v>0</v>
      </c>
      <c r="K262" s="329"/>
      <c r="L262" s="655">
        <v>0</v>
      </c>
      <c r="M262" s="329"/>
      <c r="N262" s="655">
        <v>0</v>
      </c>
      <c r="O262" s="329"/>
      <c r="P262" s="655">
        <v>0</v>
      </c>
      <c r="Q262" s="329"/>
      <c r="R262" s="655">
        <v>23207658.245049991</v>
      </c>
      <c r="S262" s="329"/>
      <c r="T262" s="655">
        <v>22239593.082524989</v>
      </c>
    </row>
    <row r="263" spans="1:20" ht="14.1" customHeight="1" x14ac:dyDescent="0.2">
      <c r="A263" s="252">
        <v>28</v>
      </c>
      <c r="B263" s="273"/>
      <c r="C263" s="269">
        <v>34230</v>
      </c>
      <c r="D263" s="252" t="s">
        <v>206</v>
      </c>
      <c r="F263" s="655">
        <v>7508431.3899999987</v>
      </c>
      <c r="G263" s="329"/>
      <c r="H263" s="655">
        <v>599882.88207500032</v>
      </c>
      <c r="I263" s="329"/>
      <c r="J263" s="655">
        <v>-1539046.534</v>
      </c>
      <c r="K263" s="329"/>
      <c r="L263" s="655">
        <v>0</v>
      </c>
      <c r="M263" s="329"/>
      <c r="N263" s="655">
        <v>0</v>
      </c>
      <c r="O263" s="329"/>
      <c r="P263" s="655">
        <v>0</v>
      </c>
      <c r="Q263" s="329"/>
      <c r="R263" s="655">
        <v>6569267.7380749993</v>
      </c>
      <c r="S263" s="329"/>
      <c r="T263" s="655">
        <v>7374718.9868749995</v>
      </c>
    </row>
    <row r="264" spans="1:20" ht="14.1" customHeight="1" x14ac:dyDescent="0.2">
      <c r="A264" s="252">
        <v>29</v>
      </c>
      <c r="B264" s="273"/>
      <c r="C264" s="269">
        <v>34330</v>
      </c>
      <c r="D264" s="252" t="s">
        <v>207</v>
      </c>
      <c r="F264" s="655">
        <v>13914848.340000011</v>
      </c>
      <c r="G264" s="329"/>
      <c r="H264" s="655">
        <v>1288647.321056</v>
      </c>
      <c r="I264" s="329"/>
      <c r="J264" s="655">
        <v>-1539046.534</v>
      </c>
      <c r="K264" s="329"/>
      <c r="L264" s="655">
        <v>-270810.49000000005</v>
      </c>
      <c r="M264" s="329"/>
      <c r="N264" s="655">
        <v>0</v>
      </c>
      <c r="O264" s="329"/>
      <c r="P264" s="655">
        <v>0</v>
      </c>
      <c r="Q264" s="329"/>
      <c r="R264" s="655">
        <v>13393638.637056012</v>
      </c>
      <c r="S264" s="329"/>
      <c r="T264" s="655">
        <v>13989242.449510776</v>
      </c>
    </row>
    <row r="265" spans="1:20" ht="14.1" customHeight="1" x14ac:dyDescent="0.2">
      <c r="A265" s="252">
        <v>30</v>
      </c>
      <c r="B265" s="273"/>
      <c r="C265" s="269">
        <v>34530</v>
      </c>
      <c r="D265" s="252" t="s">
        <v>164</v>
      </c>
      <c r="F265" s="655">
        <v>12491010.739999993</v>
      </c>
      <c r="G265" s="329"/>
      <c r="H265" s="655">
        <v>1230374.70276</v>
      </c>
      <c r="I265" s="329"/>
      <c r="J265" s="655">
        <v>0</v>
      </c>
      <c r="K265" s="329"/>
      <c r="L265" s="655">
        <v>0</v>
      </c>
      <c r="M265" s="329"/>
      <c r="N265" s="655">
        <v>0</v>
      </c>
      <c r="O265" s="329"/>
      <c r="P265" s="655">
        <v>0</v>
      </c>
      <c r="Q265" s="329"/>
      <c r="R265" s="655">
        <v>13721385.442759993</v>
      </c>
      <c r="S265" s="329"/>
      <c r="T265" s="655">
        <v>13106198.091379998</v>
      </c>
    </row>
    <row r="266" spans="1:20" ht="14.1" customHeight="1" x14ac:dyDescent="0.2">
      <c r="A266" s="252">
        <v>31</v>
      </c>
      <c r="B266" s="273"/>
      <c r="C266" s="269">
        <v>34630</v>
      </c>
      <c r="D266" s="252" t="s">
        <v>165</v>
      </c>
      <c r="F266" s="655">
        <v>3911389.1399999969</v>
      </c>
      <c r="G266" s="329"/>
      <c r="H266" s="655">
        <v>353728.74368000001</v>
      </c>
      <c r="I266" s="329"/>
      <c r="J266" s="655">
        <v>0</v>
      </c>
      <c r="K266" s="329"/>
      <c r="L266" s="655">
        <v>0</v>
      </c>
      <c r="M266" s="329"/>
      <c r="N266" s="655">
        <v>0</v>
      </c>
      <c r="O266" s="329"/>
      <c r="P266" s="655">
        <v>0</v>
      </c>
      <c r="Q266" s="329"/>
      <c r="R266" s="655">
        <v>4265117.8836799972</v>
      </c>
      <c r="S266" s="329"/>
      <c r="T266" s="655">
        <v>4088253.511839998</v>
      </c>
    </row>
    <row r="267" spans="1:20" ht="14.1" customHeight="1" x14ac:dyDescent="0.2">
      <c r="A267" s="252">
        <v>32</v>
      </c>
      <c r="B267" s="273"/>
      <c r="C267" s="269"/>
      <c r="D267" s="252" t="s">
        <v>225</v>
      </c>
      <c r="F267" s="664">
        <v>59097207.529999986</v>
      </c>
      <c r="G267" s="602"/>
      <c r="H267" s="664">
        <v>5408763.9746209998</v>
      </c>
      <c r="I267" s="602"/>
      <c r="J267" s="664">
        <v>-3078093.068</v>
      </c>
      <c r="K267" s="602"/>
      <c r="L267" s="664">
        <v>-270810.49000000005</v>
      </c>
      <c r="M267" s="602"/>
      <c r="N267" s="664">
        <v>0</v>
      </c>
      <c r="O267" s="602"/>
      <c r="P267" s="664">
        <v>0</v>
      </c>
      <c r="Q267" s="602"/>
      <c r="R267" s="664">
        <v>61157067.946620986</v>
      </c>
      <c r="S267" s="602"/>
      <c r="T267" s="664">
        <v>60798006.122130767</v>
      </c>
    </row>
    <row r="268" spans="1:20" ht="14.1" customHeight="1" x14ac:dyDescent="0.2">
      <c r="A268" s="252">
        <v>33</v>
      </c>
      <c r="B268" s="273"/>
    </row>
    <row r="269" spans="1:20" ht="14.1" customHeight="1" x14ac:dyDescent="0.2">
      <c r="A269" s="252">
        <v>34</v>
      </c>
      <c r="B269" s="273"/>
      <c r="D269" s="252" t="s">
        <v>226</v>
      </c>
      <c r="F269" s="718"/>
      <c r="G269" s="718"/>
      <c r="H269" s="718"/>
      <c r="I269" s="718"/>
      <c r="J269" s="293"/>
      <c r="K269" s="293"/>
      <c r="L269" s="293"/>
      <c r="M269" s="718"/>
      <c r="N269" s="293"/>
      <c r="O269" s="718"/>
      <c r="P269" s="718"/>
      <c r="Q269" s="718"/>
      <c r="R269" s="718"/>
      <c r="S269" s="718"/>
      <c r="T269" s="294"/>
    </row>
    <row r="270" spans="1:20" ht="14.1" customHeight="1" x14ac:dyDescent="0.2">
      <c r="A270" s="252">
        <v>35</v>
      </c>
      <c r="B270" s="273"/>
      <c r="C270" s="267">
        <v>34131</v>
      </c>
      <c r="D270" s="252" t="s">
        <v>161</v>
      </c>
      <c r="F270" s="655">
        <v>7173149.7099999934</v>
      </c>
      <c r="G270" s="329"/>
      <c r="H270" s="655">
        <v>537708.97725000011</v>
      </c>
      <c r="I270" s="329"/>
      <c r="J270" s="655">
        <v>0</v>
      </c>
      <c r="K270" s="329"/>
      <c r="L270" s="655">
        <v>0</v>
      </c>
      <c r="M270" s="329"/>
      <c r="N270" s="655">
        <v>0</v>
      </c>
      <c r="O270" s="329"/>
      <c r="P270" s="655">
        <v>0</v>
      </c>
      <c r="Q270" s="329"/>
      <c r="R270" s="655">
        <v>7710858.6872499939</v>
      </c>
      <c r="S270" s="329"/>
      <c r="T270" s="655">
        <v>7442004.1986249937</v>
      </c>
    </row>
    <row r="271" spans="1:20" ht="14.1" customHeight="1" x14ac:dyDescent="0.2">
      <c r="A271" s="252">
        <v>36</v>
      </c>
      <c r="B271" s="273"/>
      <c r="C271" s="267">
        <v>34231</v>
      </c>
      <c r="D271" s="252" t="s">
        <v>206</v>
      </c>
      <c r="F271" s="655">
        <v>32691965.729999989</v>
      </c>
      <c r="G271" s="329"/>
      <c r="H271" s="655">
        <v>2310074.0794136673</v>
      </c>
      <c r="I271" s="329"/>
      <c r="J271" s="655">
        <v>-749465.34299999999</v>
      </c>
      <c r="K271" s="329"/>
      <c r="L271" s="655">
        <v>0</v>
      </c>
      <c r="M271" s="329"/>
      <c r="N271" s="655">
        <v>0</v>
      </c>
      <c r="O271" s="329"/>
      <c r="P271" s="655">
        <v>0</v>
      </c>
      <c r="Q271" s="329"/>
      <c r="R271" s="655">
        <v>34252574.466413654</v>
      </c>
      <c r="S271" s="329"/>
      <c r="T271" s="655">
        <v>33407564.29708099</v>
      </c>
    </row>
    <row r="272" spans="1:20" ht="14.1" customHeight="1" x14ac:dyDescent="0.2">
      <c r="A272" s="252">
        <v>37</v>
      </c>
      <c r="B272" s="273"/>
      <c r="C272" s="267">
        <v>34331</v>
      </c>
      <c r="D272" s="252" t="s">
        <v>207</v>
      </c>
      <c r="F272" s="655">
        <v>64455027.80999998</v>
      </c>
      <c r="G272" s="329"/>
      <c r="H272" s="655">
        <v>8908477.4623460025</v>
      </c>
      <c r="I272" s="329"/>
      <c r="J272" s="655">
        <v>-749465.34299999999</v>
      </c>
      <c r="K272" s="329"/>
      <c r="L272" s="655">
        <v>0</v>
      </c>
      <c r="M272" s="329"/>
      <c r="N272" s="655">
        <v>0</v>
      </c>
      <c r="O272" s="329"/>
      <c r="P272" s="655">
        <v>0</v>
      </c>
      <c r="Q272" s="329"/>
      <c r="R272" s="655">
        <v>72614039.929345995</v>
      </c>
      <c r="S272" s="329"/>
      <c r="T272" s="655">
        <v>68465501.659508005</v>
      </c>
    </row>
    <row r="273" spans="1:20" ht="14.1" customHeight="1" x14ac:dyDescent="0.2">
      <c r="A273" s="252">
        <v>38</v>
      </c>
      <c r="B273" s="273"/>
      <c r="C273" s="267">
        <v>34531</v>
      </c>
      <c r="D273" s="252" t="s">
        <v>164</v>
      </c>
      <c r="F273" s="655">
        <v>17801596.819999985</v>
      </c>
      <c r="G273" s="329"/>
      <c r="H273" s="655">
        <v>1258820.6313599995</v>
      </c>
      <c r="I273" s="329"/>
      <c r="J273" s="655">
        <v>0</v>
      </c>
      <c r="K273" s="329"/>
      <c r="L273" s="655">
        <v>0</v>
      </c>
      <c r="M273" s="329"/>
      <c r="N273" s="655">
        <v>0</v>
      </c>
      <c r="O273" s="329"/>
      <c r="P273" s="655">
        <v>0</v>
      </c>
      <c r="Q273" s="329"/>
      <c r="R273" s="655">
        <v>19060417.451359984</v>
      </c>
      <c r="S273" s="329"/>
      <c r="T273" s="655">
        <v>18431007.135679994</v>
      </c>
    </row>
    <row r="274" spans="1:20" ht="14.1" customHeight="1" x14ac:dyDescent="0.2">
      <c r="A274" s="252">
        <v>39</v>
      </c>
      <c r="B274" s="273"/>
      <c r="C274" s="267">
        <v>34631</v>
      </c>
      <c r="D274" s="252" t="s">
        <v>165</v>
      </c>
      <c r="F274" s="655">
        <v>529440.28000000131</v>
      </c>
      <c r="G274" s="329"/>
      <c r="H274" s="655">
        <v>31123.060379999999</v>
      </c>
      <c r="I274" s="329"/>
      <c r="J274" s="655">
        <v>0</v>
      </c>
      <c r="K274" s="329"/>
      <c r="L274" s="655">
        <v>0</v>
      </c>
      <c r="M274" s="329"/>
      <c r="N274" s="655">
        <v>0</v>
      </c>
      <c r="O274" s="329"/>
      <c r="P274" s="655">
        <v>0</v>
      </c>
      <c r="Q274" s="329"/>
      <c r="R274" s="655">
        <v>560563.34038000135</v>
      </c>
      <c r="S274" s="329"/>
      <c r="T274" s="655">
        <v>545001.81019000115</v>
      </c>
    </row>
    <row r="275" spans="1:20" ht="14.1" customHeight="1" x14ac:dyDescent="0.2">
      <c r="A275" s="252">
        <v>40</v>
      </c>
      <c r="B275" s="273"/>
      <c r="C275" s="269"/>
      <c r="D275" s="252" t="s">
        <v>227</v>
      </c>
      <c r="F275" s="664">
        <v>122651180.34999996</v>
      </c>
      <c r="G275" s="602"/>
      <c r="H275" s="664">
        <v>13046204.210749671</v>
      </c>
      <c r="I275" s="602"/>
      <c r="J275" s="664">
        <v>-1498930.686</v>
      </c>
      <c r="K275" s="602"/>
      <c r="L275" s="664">
        <v>0</v>
      </c>
      <c r="M275" s="602"/>
      <c r="N275" s="664">
        <v>0</v>
      </c>
      <c r="O275" s="602"/>
      <c r="P275" s="664">
        <v>0</v>
      </c>
      <c r="Q275" s="602"/>
      <c r="R275" s="664">
        <v>134198453.87474963</v>
      </c>
      <c r="S275" s="602"/>
      <c r="T275" s="664">
        <v>128291079.10108398</v>
      </c>
    </row>
    <row r="276" spans="1:20" ht="14.1" customHeight="1" x14ac:dyDescent="0.2">
      <c r="A276" s="252">
        <v>41</v>
      </c>
      <c r="B276" s="273"/>
      <c r="G276" s="602"/>
      <c r="I276" s="602"/>
      <c r="K276" s="602"/>
      <c r="M276" s="602"/>
      <c r="O276" s="602"/>
      <c r="Q276" s="602"/>
      <c r="S276" s="602"/>
    </row>
    <row r="277" spans="1:20" ht="14.1" customHeight="1" x14ac:dyDescent="0.2">
      <c r="A277" s="252">
        <v>42</v>
      </c>
      <c r="B277" s="273"/>
      <c r="G277" s="602"/>
      <c r="I277" s="602"/>
      <c r="K277" s="602"/>
      <c r="M277" s="602"/>
      <c r="O277" s="602"/>
      <c r="Q277" s="602"/>
      <c r="S277" s="602"/>
    </row>
    <row r="278" spans="1:20" ht="14.1" customHeight="1" x14ac:dyDescent="0.2">
      <c r="A278" s="252">
        <v>43</v>
      </c>
      <c r="B278" s="273"/>
      <c r="G278" s="602"/>
      <c r="I278" s="602"/>
      <c r="K278" s="602"/>
      <c r="M278" s="602"/>
      <c r="O278" s="602"/>
      <c r="Q278" s="602"/>
      <c r="S278" s="602"/>
    </row>
    <row r="279" spans="1:20" ht="14.1" customHeight="1" thickBot="1" x14ac:dyDescent="0.25">
      <c r="A279" s="252">
        <v>44</v>
      </c>
      <c r="B279" s="667" t="s">
        <v>186</v>
      </c>
      <c r="C279" s="264"/>
      <c r="D279" s="264"/>
      <c r="E279" s="264"/>
      <c r="F279" s="264"/>
      <c r="G279" s="264"/>
      <c r="H279" s="264"/>
      <c r="I279" s="264"/>
      <c r="J279" s="264"/>
      <c r="K279" s="264"/>
      <c r="L279" s="264"/>
      <c r="M279" s="264"/>
      <c r="N279" s="264"/>
      <c r="O279" s="264"/>
      <c r="P279" s="264"/>
      <c r="Q279" s="264"/>
      <c r="R279" s="264"/>
      <c r="S279" s="264"/>
      <c r="T279" s="264"/>
    </row>
    <row r="280" spans="1:20" ht="14.1" customHeight="1" x14ac:dyDescent="0.2">
      <c r="A280" s="252" t="s">
        <v>60</v>
      </c>
      <c r="R280" s="252" t="s">
        <v>60</v>
      </c>
    </row>
    <row r="281" spans="1:20" ht="14.1" customHeight="1" thickBot="1" x14ac:dyDescent="0.25">
      <c r="A281" s="264" t="s">
        <v>301</v>
      </c>
      <c r="B281" s="264"/>
      <c r="C281" s="264"/>
      <c r="D281" s="264"/>
      <c r="E281" s="264"/>
      <c r="F281" s="264" t="s">
        <v>302</v>
      </c>
      <c r="G281" s="264"/>
      <c r="H281" s="264"/>
      <c r="I281" s="264"/>
      <c r="J281" s="264"/>
      <c r="K281" s="264"/>
      <c r="L281" s="264"/>
      <c r="M281" s="264"/>
      <c r="N281" s="264"/>
      <c r="O281" s="264"/>
      <c r="P281" s="264"/>
      <c r="Q281" s="264"/>
      <c r="R281" s="264"/>
      <c r="S281" s="264"/>
      <c r="T281" s="264" t="s">
        <v>328</v>
      </c>
    </row>
    <row r="282" spans="1:20" ht="14.1" customHeight="1" x14ac:dyDescent="0.2">
      <c r="A282" s="252" t="s">
        <v>129</v>
      </c>
      <c r="B282" s="285"/>
      <c r="E282" s="260" t="s">
        <v>130</v>
      </c>
      <c r="F282" s="252" t="s">
        <v>303</v>
      </c>
      <c r="J282" s="286"/>
      <c r="K282" s="286"/>
      <c r="P282" s="286"/>
      <c r="Q282" s="286"/>
      <c r="R282" s="286" t="s">
        <v>132</v>
      </c>
      <c r="T282" s="261"/>
    </row>
    <row r="283" spans="1:20" ht="14.1" customHeight="1" x14ac:dyDescent="0.2">
      <c r="B283" s="285"/>
      <c r="F283" s="252" t="s">
        <v>1399</v>
      </c>
      <c r="J283" s="260"/>
      <c r="K283" s="261"/>
      <c r="P283" s="260"/>
      <c r="Q283" s="260" t="s">
        <v>123</v>
      </c>
      <c r="R283" s="261" t="s">
        <v>1361</v>
      </c>
      <c r="T283" s="260"/>
    </row>
    <row r="284" spans="1:20" ht="14.1" customHeight="1" x14ac:dyDescent="0.2">
      <c r="A284" s="252" t="s">
        <v>134</v>
      </c>
      <c r="B284" s="285"/>
      <c r="F284" s="252" t="s">
        <v>123</v>
      </c>
      <c r="J284" s="260"/>
      <c r="K284" s="261"/>
      <c r="L284" s="260"/>
      <c r="N284" s="260"/>
      <c r="Q284" s="260" t="s">
        <v>123</v>
      </c>
      <c r="R284" s="261">
        <v>0</v>
      </c>
      <c r="T284" s="260"/>
    </row>
    <row r="285" spans="1:20" ht="14.1" customHeight="1" x14ac:dyDescent="0.2">
      <c r="B285" s="285"/>
      <c r="F285" s="252" t="s">
        <v>123</v>
      </c>
      <c r="J285" s="260"/>
      <c r="K285" s="261"/>
      <c r="L285" s="260"/>
      <c r="N285" s="260"/>
      <c r="Q285" s="260" t="s">
        <v>123</v>
      </c>
      <c r="R285" s="261"/>
      <c r="T285" s="260"/>
    </row>
    <row r="286" spans="1:20" ht="14.1" customHeight="1" thickBot="1" x14ac:dyDescent="0.25">
      <c r="A286" s="264" t="s">
        <v>135</v>
      </c>
      <c r="B286" s="287"/>
      <c r="C286" s="264"/>
      <c r="D286" s="264"/>
      <c r="E286" s="264"/>
      <c r="F286" s="264" t="s">
        <v>123</v>
      </c>
      <c r="G286" s="264"/>
      <c r="H286" s="266"/>
      <c r="I286" s="264"/>
      <c r="J286" s="264"/>
      <c r="K286" s="264"/>
      <c r="L286" s="264"/>
      <c r="M286" s="264"/>
      <c r="N286" s="264"/>
      <c r="O286" s="264"/>
      <c r="P286" s="264"/>
      <c r="Q286" s="264"/>
      <c r="R286" s="288"/>
      <c r="S286" s="264"/>
      <c r="T286" s="264"/>
    </row>
    <row r="287" spans="1:20" ht="14.1" customHeight="1" x14ac:dyDescent="0.2"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7"/>
      <c r="T287" s="267"/>
    </row>
    <row r="288" spans="1:20" ht="14.1" customHeight="1" x14ac:dyDescent="0.2">
      <c r="C288" s="267" t="s">
        <v>136</v>
      </c>
      <c r="D288" s="267" t="s">
        <v>137</v>
      </c>
      <c r="E288" s="267"/>
      <c r="F288" s="267" t="s">
        <v>138</v>
      </c>
      <c r="G288" s="267"/>
      <c r="H288" s="267" t="s">
        <v>139</v>
      </c>
      <c r="I288" s="267"/>
      <c r="J288" s="269" t="s">
        <v>140</v>
      </c>
      <c r="L288" s="267" t="s">
        <v>141</v>
      </c>
      <c r="M288" s="267"/>
      <c r="N288" s="267" t="s">
        <v>142</v>
      </c>
      <c r="O288" s="267"/>
      <c r="P288" s="267" t="s">
        <v>143</v>
      </c>
      <c r="Q288" s="267"/>
      <c r="R288" s="267" t="s">
        <v>144</v>
      </c>
      <c r="S288" s="267"/>
      <c r="T288" s="267" t="s">
        <v>305</v>
      </c>
    </row>
    <row r="289" spans="1:20" ht="14.1" customHeight="1" x14ac:dyDescent="0.2">
      <c r="C289" s="269" t="s">
        <v>145</v>
      </c>
      <c r="D289" s="269" t="s">
        <v>145</v>
      </c>
      <c r="F289" s="267" t="s">
        <v>41</v>
      </c>
      <c r="G289" s="269"/>
      <c r="H289" s="267" t="s">
        <v>40</v>
      </c>
      <c r="I289" s="269"/>
      <c r="J289" s="267"/>
      <c r="K289" s="269"/>
      <c r="L289" s="269"/>
      <c r="M289" s="269"/>
      <c r="N289" s="269"/>
      <c r="O289" s="269"/>
      <c r="P289" s="269"/>
      <c r="Q289" s="269"/>
      <c r="R289" s="269" t="s">
        <v>41</v>
      </c>
      <c r="T289" s="269"/>
    </row>
    <row r="290" spans="1:20" ht="14.1" customHeight="1" x14ac:dyDescent="0.2">
      <c r="A290" s="252" t="s">
        <v>146</v>
      </c>
      <c r="B290" s="269"/>
      <c r="C290" s="269" t="s">
        <v>147</v>
      </c>
      <c r="D290" s="269" t="s">
        <v>147</v>
      </c>
      <c r="E290" s="267"/>
      <c r="F290" s="269" t="s">
        <v>6</v>
      </c>
      <c r="G290" s="269"/>
      <c r="H290" s="269" t="s">
        <v>6</v>
      </c>
      <c r="I290" s="269"/>
      <c r="J290" s="269"/>
      <c r="K290" s="267"/>
      <c r="L290" s="269" t="s">
        <v>306</v>
      </c>
      <c r="M290" s="269"/>
      <c r="N290" s="269" t="s">
        <v>306</v>
      </c>
      <c r="O290" s="269"/>
      <c r="P290" s="269" t="s">
        <v>150</v>
      </c>
      <c r="Q290" s="267"/>
      <c r="R290" s="267" t="s">
        <v>6</v>
      </c>
      <c r="S290" s="267"/>
      <c r="T290" s="269" t="s">
        <v>151</v>
      </c>
    </row>
    <row r="291" spans="1:20" ht="14.1" customHeight="1" thickBot="1" x14ac:dyDescent="0.25">
      <c r="A291" s="264" t="s">
        <v>152</v>
      </c>
      <c r="B291" s="266"/>
      <c r="C291" s="266" t="s">
        <v>52</v>
      </c>
      <c r="D291" s="266" t="s">
        <v>153</v>
      </c>
      <c r="E291" s="266"/>
      <c r="F291" s="270" t="s">
        <v>154</v>
      </c>
      <c r="G291" s="270"/>
      <c r="H291" s="270" t="s">
        <v>307</v>
      </c>
      <c r="I291" s="271"/>
      <c r="J291" s="270" t="s">
        <v>18</v>
      </c>
      <c r="K291" s="271"/>
      <c r="L291" s="270" t="s">
        <v>19</v>
      </c>
      <c r="M291" s="271"/>
      <c r="N291" s="270" t="s">
        <v>54</v>
      </c>
      <c r="O291" s="271"/>
      <c r="P291" s="272" t="s">
        <v>157</v>
      </c>
      <c r="Q291" s="272"/>
      <c r="R291" s="272" t="s">
        <v>158</v>
      </c>
      <c r="S291" s="272"/>
      <c r="T291" s="272" t="s">
        <v>3</v>
      </c>
    </row>
    <row r="292" spans="1:20" ht="14.1" customHeight="1" x14ac:dyDescent="0.2">
      <c r="A292" s="252">
        <v>1</v>
      </c>
      <c r="B292" s="273"/>
    </row>
    <row r="293" spans="1:20" ht="14.1" customHeight="1" x14ac:dyDescent="0.2">
      <c r="A293" s="252">
        <v>2</v>
      </c>
      <c r="B293" s="273"/>
      <c r="C293" s="269"/>
      <c r="D293" s="252" t="s">
        <v>228</v>
      </c>
      <c r="F293" s="708"/>
      <c r="G293" s="602"/>
      <c r="H293" s="329"/>
      <c r="I293" s="602"/>
      <c r="J293" s="329"/>
      <c r="K293" s="602"/>
      <c r="L293" s="329"/>
      <c r="M293" s="602"/>
      <c r="N293" s="329"/>
      <c r="O293" s="602"/>
      <c r="P293" s="329"/>
      <c r="Q293" s="602"/>
      <c r="R293" s="602"/>
      <c r="S293" s="602"/>
      <c r="T293" s="602"/>
    </row>
    <row r="294" spans="1:20" ht="14.1" customHeight="1" x14ac:dyDescent="0.2">
      <c r="A294" s="252">
        <v>3</v>
      </c>
      <c r="B294" s="273"/>
      <c r="C294" s="267">
        <v>34132</v>
      </c>
      <c r="D294" s="252" t="s">
        <v>161</v>
      </c>
      <c r="F294" s="655">
        <v>11035631.849999996</v>
      </c>
      <c r="G294" s="329"/>
      <c r="H294" s="655">
        <v>674299.15724999981</v>
      </c>
      <c r="I294" s="329"/>
      <c r="J294" s="655">
        <v>0</v>
      </c>
      <c r="K294" s="329"/>
      <c r="L294" s="655">
        <v>0</v>
      </c>
      <c r="M294" s="329"/>
      <c r="N294" s="655">
        <v>0</v>
      </c>
      <c r="O294" s="329"/>
      <c r="P294" s="655">
        <v>0</v>
      </c>
      <c r="Q294" s="329"/>
      <c r="R294" s="655">
        <v>11709931.007249996</v>
      </c>
      <c r="S294" s="329"/>
      <c r="T294" s="655">
        <v>11372781.428625001</v>
      </c>
    </row>
    <row r="295" spans="1:20" ht="14.1" customHeight="1" x14ac:dyDescent="0.2">
      <c r="A295" s="252">
        <v>4</v>
      </c>
      <c r="B295" s="273"/>
      <c r="C295" s="267">
        <v>34232</v>
      </c>
      <c r="D295" s="252" t="s">
        <v>206</v>
      </c>
      <c r="F295" s="655">
        <v>40161216.940000035</v>
      </c>
      <c r="G295" s="329"/>
      <c r="H295" s="655">
        <v>3014036.6967230006</v>
      </c>
      <c r="I295" s="329"/>
      <c r="J295" s="655">
        <v>-320178.57200000004</v>
      </c>
      <c r="K295" s="329"/>
      <c r="L295" s="655">
        <v>0</v>
      </c>
      <c r="M295" s="329"/>
      <c r="N295" s="655">
        <v>0</v>
      </c>
      <c r="O295" s="329"/>
      <c r="P295" s="655">
        <v>0</v>
      </c>
      <c r="Q295" s="329"/>
      <c r="R295" s="655">
        <v>42855075.064723037</v>
      </c>
      <c r="S295" s="329"/>
      <c r="T295" s="655">
        <v>41582313.365792304</v>
      </c>
    </row>
    <row r="296" spans="1:20" ht="14.1" customHeight="1" x14ac:dyDescent="0.2">
      <c r="A296" s="252">
        <v>5</v>
      </c>
      <c r="B296" s="273"/>
      <c r="C296" s="267">
        <v>34332</v>
      </c>
      <c r="D296" s="252" t="s">
        <v>207</v>
      </c>
      <c r="F296" s="655">
        <v>76859428.5</v>
      </c>
      <c r="G296" s="329"/>
      <c r="H296" s="655">
        <v>11820311.666427001</v>
      </c>
      <c r="I296" s="329"/>
      <c r="J296" s="655">
        <v>-320178.57200000004</v>
      </c>
      <c r="K296" s="329"/>
      <c r="L296" s="655">
        <v>0</v>
      </c>
      <c r="M296" s="329"/>
      <c r="N296" s="655">
        <v>0</v>
      </c>
      <c r="O296" s="329"/>
      <c r="P296" s="655">
        <v>0</v>
      </c>
      <c r="Q296" s="329"/>
      <c r="R296" s="655">
        <v>88359561.594427004</v>
      </c>
      <c r="S296" s="329"/>
      <c r="T296" s="655">
        <v>82682747.41254136</v>
      </c>
    </row>
    <row r="297" spans="1:20" ht="14.1" customHeight="1" x14ac:dyDescent="0.2">
      <c r="A297" s="252">
        <v>6</v>
      </c>
      <c r="B297" s="273"/>
      <c r="C297" s="267">
        <v>34532</v>
      </c>
      <c r="D297" s="252" t="s">
        <v>164</v>
      </c>
      <c r="F297" s="655">
        <v>19031385.949999996</v>
      </c>
      <c r="G297" s="329"/>
      <c r="H297" s="655">
        <v>1365821.78816</v>
      </c>
      <c r="I297" s="329"/>
      <c r="J297" s="655">
        <v>0</v>
      </c>
      <c r="K297" s="329"/>
      <c r="L297" s="655">
        <v>0</v>
      </c>
      <c r="M297" s="329"/>
      <c r="N297" s="655">
        <v>0</v>
      </c>
      <c r="O297" s="329"/>
      <c r="P297" s="655">
        <v>0</v>
      </c>
      <c r="Q297" s="329"/>
      <c r="R297" s="655">
        <v>20397207.738159996</v>
      </c>
      <c r="S297" s="329"/>
      <c r="T297" s="655">
        <v>19714296.844079986</v>
      </c>
    </row>
    <row r="298" spans="1:20" ht="14.1" customHeight="1" x14ac:dyDescent="0.2">
      <c r="A298" s="252">
        <v>7</v>
      </c>
      <c r="B298" s="273"/>
      <c r="C298" s="267">
        <v>34632</v>
      </c>
      <c r="D298" s="252" t="s">
        <v>165</v>
      </c>
      <c r="F298" s="655">
        <v>668928.49999999942</v>
      </c>
      <c r="G298" s="329"/>
      <c r="H298" s="655">
        <v>40756.585800000001</v>
      </c>
      <c r="I298" s="329"/>
      <c r="J298" s="655">
        <v>0</v>
      </c>
      <c r="K298" s="329"/>
      <c r="L298" s="655">
        <v>0</v>
      </c>
      <c r="M298" s="329"/>
      <c r="N298" s="655">
        <v>0</v>
      </c>
      <c r="O298" s="329"/>
      <c r="P298" s="655">
        <v>0</v>
      </c>
      <c r="Q298" s="329"/>
      <c r="R298" s="655">
        <v>709685.08579999942</v>
      </c>
      <c r="S298" s="329"/>
      <c r="T298" s="655">
        <v>689306.79289999907</v>
      </c>
    </row>
    <row r="299" spans="1:20" ht="14.1" customHeight="1" x14ac:dyDescent="0.2">
      <c r="A299" s="252">
        <v>8</v>
      </c>
      <c r="B299" s="295"/>
      <c r="C299" s="269"/>
      <c r="D299" s="252" t="s">
        <v>229</v>
      </c>
      <c r="F299" s="664">
        <v>147756591.74000001</v>
      </c>
      <c r="G299" s="602"/>
      <c r="H299" s="664">
        <v>16915225.894360002</v>
      </c>
      <c r="I299" s="602"/>
      <c r="J299" s="664">
        <v>-640357.14400000009</v>
      </c>
      <c r="K299" s="602"/>
      <c r="L299" s="664">
        <v>0</v>
      </c>
      <c r="M299" s="602"/>
      <c r="N299" s="664">
        <v>0</v>
      </c>
      <c r="O299" s="602"/>
      <c r="P299" s="664">
        <v>0</v>
      </c>
      <c r="Q299" s="602"/>
      <c r="R299" s="664">
        <v>164031460.49036002</v>
      </c>
      <c r="S299" s="602"/>
      <c r="T299" s="664">
        <v>156041445.84393862</v>
      </c>
    </row>
    <row r="300" spans="1:20" ht="14.1" customHeight="1" x14ac:dyDescent="0.2">
      <c r="A300" s="252">
        <v>9</v>
      </c>
      <c r="B300" s="273"/>
    </row>
    <row r="301" spans="1:20" ht="14.1" customHeight="1" x14ac:dyDescent="0.2">
      <c r="A301" s="252">
        <v>10</v>
      </c>
      <c r="B301" s="273"/>
      <c r="C301" s="269"/>
      <c r="D301" s="252" t="s">
        <v>230</v>
      </c>
      <c r="G301" s="602"/>
      <c r="I301" s="602"/>
      <c r="K301" s="602"/>
      <c r="M301" s="602"/>
      <c r="O301" s="602"/>
      <c r="Q301" s="602"/>
      <c r="S301" s="602"/>
    </row>
    <row r="302" spans="1:20" ht="14.1" customHeight="1" x14ac:dyDescent="0.2">
      <c r="A302" s="252">
        <v>11</v>
      </c>
      <c r="B302" s="273"/>
      <c r="C302" s="267">
        <v>34133</v>
      </c>
      <c r="D302" s="252" t="s">
        <v>161</v>
      </c>
      <c r="F302" s="655">
        <v>-10810.730000000272</v>
      </c>
      <c r="G302" s="329"/>
      <c r="H302" s="655">
        <v>17065.081540000003</v>
      </c>
      <c r="I302" s="329"/>
      <c r="J302" s="655">
        <v>0</v>
      </c>
      <c r="K302" s="329"/>
      <c r="L302" s="655">
        <v>0</v>
      </c>
      <c r="M302" s="329"/>
      <c r="N302" s="655">
        <v>0</v>
      </c>
      <c r="O302" s="329"/>
      <c r="P302" s="655">
        <v>0</v>
      </c>
      <c r="Q302" s="329"/>
      <c r="R302" s="655">
        <v>6254.3515399997304</v>
      </c>
      <c r="S302" s="329"/>
      <c r="T302" s="655">
        <v>-2278.1892300002714</v>
      </c>
    </row>
    <row r="303" spans="1:20" ht="14.1" customHeight="1" x14ac:dyDescent="0.2">
      <c r="A303" s="252">
        <v>12</v>
      </c>
      <c r="B303" s="273"/>
      <c r="C303" s="267">
        <v>34233</v>
      </c>
      <c r="D303" s="252" t="s">
        <v>206</v>
      </c>
      <c r="F303" s="655">
        <v>992387.27999999933</v>
      </c>
      <c r="G303" s="329"/>
      <c r="H303" s="655">
        <v>122039.62074</v>
      </c>
      <c r="I303" s="329"/>
      <c r="J303" s="655">
        <v>-100149.93</v>
      </c>
      <c r="K303" s="329"/>
      <c r="L303" s="655">
        <v>0</v>
      </c>
      <c r="M303" s="329"/>
      <c r="N303" s="655">
        <v>0</v>
      </c>
      <c r="O303" s="329"/>
      <c r="P303" s="655">
        <v>0</v>
      </c>
      <c r="Q303" s="329"/>
      <c r="R303" s="655">
        <v>1014276.9707399993</v>
      </c>
      <c r="S303" s="329"/>
      <c r="T303" s="655">
        <v>1045631.5520630761</v>
      </c>
    </row>
    <row r="304" spans="1:20" ht="14.1" customHeight="1" x14ac:dyDescent="0.2">
      <c r="A304" s="252">
        <v>13</v>
      </c>
      <c r="B304" s="273"/>
      <c r="C304" s="267">
        <v>34333</v>
      </c>
      <c r="D304" s="252" t="s">
        <v>207</v>
      </c>
      <c r="F304" s="655">
        <v>7476100.350000008</v>
      </c>
      <c r="G304" s="329"/>
      <c r="H304" s="655">
        <v>618360.12380000029</v>
      </c>
      <c r="I304" s="329"/>
      <c r="J304" s="655">
        <v>-100149.93</v>
      </c>
      <c r="K304" s="329"/>
      <c r="L304" s="655">
        <v>0</v>
      </c>
      <c r="M304" s="329"/>
      <c r="N304" s="655">
        <v>0</v>
      </c>
      <c r="O304" s="329"/>
      <c r="P304" s="655">
        <v>0</v>
      </c>
      <c r="Q304" s="329"/>
      <c r="R304" s="655">
        <v>7994310.5438000085</v>
      </c>
      <c r="S304" s="329"/>
      <c r="T304" s="655">
        <v>7777504.5968153933</v>
      </c>
    </row>
    <row r="305" spans="1:20" ht="14.1" customHeight="1" x14ac:dyDescent="0.2">
      <c r="A305" s="252">
        <v>14</v>
      </c>
      <c r="B305" s="273"/>
      <c r="C305" s="267">
        <v>34533</v>
      </c>
      <c r="D305" s="252" t="s">
        <v>164</v>
      </c>
      <c r="F305" s="655">
        <v>4797883.6300000027</v>
      </c>
      <c r="G305" s="329"/>
      <c r="H305" s="655">
        <v>566211.72400000005</v>
      </c>
      <c r="I305" s="329"/>
      <c r="J305" s="655">
        <v>0</v>
      </c>
      <c r="K305" s="329"/>
      <c r="L305" s="655">
        <v>0</v>
      </c>
      <c r="M305" s="329"/>
      <c r="N305" s="655">
        <v>0</v>
      </c>
      <c r="O305" s="329"/>
      <c r="P305" s="655">
        <v>0</v>
      </c>
      <c r="Q305" s="329"/>
      <c r="R305" s="655">
        <v>5364095.3540000031</v>
      </c>
      <c r="S305" s="329"/>
      <c r="T305" s="655">
        <v>5080989.4920000006</v>
      </c>
    </row>
    <row r="306" spans="1:20" ht="14.1" customHeight="1" x14ac:dyDescent="0.2">
      <c r="A306" s="252">
        <v>15</v>
      </c>
      <c r="C306" s="267">
        <v>34633</v>
      </c>
      <c r="D306" s="252" t="s">
        <v>165</v>
      </c>
      <c r="F306" s="655">
        <v>358.55999999999977</v>
      </c>
      <c r="G306" s="329"/>
      <c r="H306" s="655">
        <v>36.184399999999997</v>
      </c>
      <c r="I306" s="329"/>
      <c r="J306" s="655">
        <v>0</v>
      </c>
      <c r="K306" s="329"/>
      <c r="L306" s="655">
        <v>0</v>
      </c>
      <c r="M306" s="329"/>
      <c r="N306" s="655">
        <v>0</v>
      </c>
      <c r="O306" s="329"/>
      <c r="P306" s="655">
        <v>0</v>
      </c>
      <c r="Q306" s="329"/>
      <c r="R306" s="655">
        <v>394.74439999999976</v>
      </c>
      <c r="S306" s="329"/>
      <c r="T306" s="655">
        <v>376.65219999999994</v>
      </c>
    </row>
    <row r="307" spans="1:20" ht="14.1" customHeight="1" x14ac:dyDescent="0.2">
      <c r="A307" s="252">
        <v>16</v>
      </c>
      <c r="C307" s="269"/>
      <c r="D307" s="252" t="s">
        <v>231</v>
      </c>
      <c r="F307" s="664">
        <v>13255919.090000011</v>
      </c>
      <c r="G307" s="602"/>
      <c r="H307" s="664">
        <v>1323712.7344800003</v>
      </c>
      <c r="I307" s="602"/>
      <c r="J307" s="664">
        <v>-200299.86</v>
      </c>
      <c r="K307" s="602"/>
      <c r="L307" s="664">
        <v>0</v>
      </c>
      <c r="M307" s="602"/>
      <c r="N307" s="664">
        <v>0</v>
      </c>
      <c r="O307" s="602"/>
      <c r="P307" s="664">
        <v>0</v>
      </c>
      <c r="Q307" s="602"/>
      <c r="R307" s="664">
        <v>14379331.964480011</v>
      </c>
      <c r="S307" s="602"/>
      <c r="T307" s="664">
        <v>13902224.10384847</v>
      </c>
    </row>
    <row r="308" spans="1:20" ht="14.1" customHeight="1" x14ac:dyDescent="0.2">
      <c r="A308" s="252">
        <v>17</v>
      </c>
      <c r="G308" s="602"/>
      <c r="I308" s="602"/>
      <c r="K308" s="602"/>
      <c r="M308" s="602"/>
      <c r="O308" s="602"/>
      <c r="Q308" s="602"/>
      <c r="S308" s="602"/>
    </row>
    <row r="309" spans="1:20" ht="14.1" customHeight="1" x14ac:dyDescent="0.2">
      <c r="A309" s="252">
        <v>18</v>
      </c>
      <c r="B309" s="273"/>
      <c r="C309" s="269"/>
      <c r="D309" s="252" t="s">
        <v>232</v>
      </c>
      <c r="G309" s="602"/>
      <c r="I309" s="602"/>
      <c r="K309" s="602"/>
      <c r="M309" s="602"/>
      <c r="O309" s="602"/>
      <c r="Q309" s="602"/>
      <c r="S309" s="602"/>
    </row>
    <row r="310" spans="1:20" ht="14.1" customHeight="1" x14ac:dyDescent="0.2">
      <c r="A310" s="252">
        <v>19</v>
      </c>
      <c r="B310" s="273"/>
      <c r="C310" s="267">
        <v>34134</v>
      </c>
      <c r="D310" s="252" t="s">
        <v>161</v>
      </c>
      <c r="F310" s="655">
        <v>-116516.63000000009</v>
      </c>
      <c r="G310" s="329"/>
      <c r="H310" s="655">
        <v>6300.6829600000019</v>
      </c>
      <c r="I310" s="329"/>
      <c r="J310" s="655">
        <v>0</v>
      </c>
      <c r="K310" s="329"/>
      <c r="L310" s="655">
        <v>0</v>
      </c>
      <c r="M310" s="329"/>
      <c r="N310" s="655">
        <v>0</v>
      </c>
      <c r="O310" s="329"/>
      <c r="P310" s="655">
        <v>0</v>
      </c>
      <c r="Q310" s="329"/>
      <c r="R310" s="655">
        <v>-110215.94704000009</v>
      </c>
      <c r="S310" s="329"/>
      <c r="T310" s="655">
        <v>-113366.28852000007</v>
      </c>
    </row>
    <row r="311" spans="1:20" ht="14.1" customHeight="1" x14ac:dyDescent="0.2">
      <c r="A311" s="252">
        <v>20</v>
      </c>
      <c r="B311" s="273"/>
      <c r="C311" s="267">
        <v>34234</v>
      </c>
      <c r="D311" s="252" t="s">
        <v>206</v>
      </c>
      <c r="F311" s="655">
        <v>984259.87999999942</v>
      </c>
      <c r="G311" s="329"/>
      <c r="H311" s="655">
        <v>121045.91580000002</v>
      </c>
      <c r="I311" s="329"/>
      <c r="J311" s="655">
        <v>-149.89500000000001</v>
      </c>
      <c r="K311" s="329"/>
      <c r="L311" s="655">
        <v>0</v>
      </c>
      <c r="M311" s="329"/>
      <c r="N311" s="655">
        <v>0</v>
      </c>
      <c r="O311" s="329"/>
      <c r="P311" s="655">
        <v>0</v>
      </c>
      <c r="Q311" s="329"/>
      <c r="R311" s="655">
        <v>1105155.9007999995</v>
      </c>
      <c r="S311" s="329"/>
      <c r="T311" s="655">
        <v>1044699.634644615</v>
      </c>
    </row>
    <row r="312" spans="1:20" ht="14.1" customHeight="1" x14ac:dyDescent="0.2">
      <c r="A312" s="252">
        <v>21</v>
      </c>
      <c r="B312" s="273"/>
      <c r="C312" s="267">
        <v>34334</v>
      </c>
      <c r="D312" s="252" t="s">
        <v>207</v>
      </c>
      <c r="F312" s="655">
        <v>7489130.9299999988</v>
      </c>
      <c r="G312" s="329"/>
      <c r="H312" s="655">
        <v>635332.66719999991</v>
      </c>
      <c r="I312" s="329"/>
      <c r="J312" s="655">
        <v>-149.89500000000001</v>
      </c>
      <c r="K312" s="329"/>
      <c r="L312" s="655">
        <v>0</v>
      </c>
      <c r="M312" s="329"/>
      <c r="N312" s="655">
        <v>0</v>
      </c>
      <c r="O312" s="329"/>
      <c r="P312" s="655">
        <v>0</v>
      </c>
      <c r="Q312" s="329"/>
      <c r="R312" s="655">
        <v>8124313.7021999992</v>
      </c>
      <c r="S312" s="329"/>
      <c r="T312" s="655">
        <v>7806713.7836153824</v>
      </c>
    </row>
    <row r="313" spans="1:20" ht="14.1" customHeight="1" x14ac:dyDescent="0.2">
      <c r="A313" s="252">
        <v>22</v>
      </c>
      <c r="B313" s="273"/>
      <c r="C313" s="267">
        <v>34534</v>
      </c>
      <c r="D313" s="252" t="s">
        <v>164</v>
      </c>
      <c r="F313" s="655">
        <v>1542373.1299999987</v>
      </c>
      <c r="G313" s="329"/>
      <c r="H313" s="655">
        <v>166759.96</v>
      </c>
      <c r="I313" s="329"/>
      <c r="J313" s="655">
        <v>0</v>
      </c>
      <c r="K313" s="329"/>
      <c r="L313" s="655">
        <v>0</v>
      </c>
      <c r="M313" s="329"/>
      <c r="N313" s="655">
        <v>0</v>
      </c>
      <c r="O313" s="329"/>
      <c r="P313" s="655">
        <v>0</v>
      </c>
      <c r="Q313" s="329"/>
      <c r="R313" s="655">
        <v>1709133.0899999987</v>
      </c>
      <c r="S313" s="329"/>
      <c r="T313" s="655">
        <v>1625753.1099999989</v>
      </c>
    </row>
    <row r="314" spans="1:20" ht="14.1" customHeight="1" x14ac:dyDescent="0.2">
      <c r="A314" s="252">
        <v>23</v>
      </c>
      <c r="B314" s="273"/>
      <c r="C314" s="267">
        <v>34634</v>
      </c>
      <c r="D314" s="252" t="s">
        <v>165</v>
      </c>
      <c r="F314" s="655">
        <v>358.55999999999977</v>
      </c>
      <c r="G314" s="329"/>
      <c r="H314" s="655">
        <v>36.184399999999997</v>
      </c>
      <c r="I314" s="329"/>
      <c r="J314" s="655">
        <v>0</v>
      </c>
      <c r="K314" s="329"/>
      <c r="L314" s="655">
        <v>0</v>
      </c>
      <c r="M314" s="329"/>
      <c r="N314" s="655">
        <v>0</v>
      </c>
      <c r="O314" s="329"/>
      <c r="P314" s="655">
        <v>0</v>
      </c>
      <c r="Q314" s="329"/>
      <c r="R314" s="655">
        <v>394.74439999999976</v>
      </c>
      <c r="S314" s="329"/>
      <c r="T314" s="655">
        <v>376.65219999999994</v>
      </c>
    </row>
    <row r="315" spans="1:20" ht="14.1" customHeight="1" x14ac:dyDescent="0.2">
      <c r="A315" s="252">
        <v>24</v>
      </c>
      <c r="B315" s="273"/>
      <c r="C315" s="269"/>
      <c r="D315" s="252" t="s">
        <v>233</v>
      </c>
      <c r="F315" s="664">
        <v>9899605.8699999973</v>
      </c>
      <c r="G315" s="602"/>
      <c r="H315" s="664">
        <v>929475.41035999998</v>
      </c>
      <c r="I315" s="602"/>
      <c r="J315" s="664">
        <v>-299.79000000000002</v>
      </c>
      <c r="K315" s="602"/>
      <c r="L315" s="664">
        <v>0</v>
      </c>
      <c r="M315" s="602"/>
      <c r="N315" s="664">
        <v>0</v>
      </c>
      <c r="O315" s="602"/>
      <c r="P315" s="664">
        <v>0</v>
      </c>
      <c r="Q315" s="602"/>
      <c r="R315" s="664">
        <v>10828781.490359997</v>
      </c>
      <c r="S315" s="602"/>
      <c r="T315" s="664">
        <v>10364176.891939998</v>
      </c>
    </row>
    <row r="316" spans="1:20" ht="14.1" customHeight="1" x14ac:dyDescent="0.2">
      <c r="A316" s="252">
        <v>25</v>
      </c>
      <c r="B316" s="273"/>
    </row>
    <row r="317" spans="1:20" ht="14.1" customHeight="1" x14ac:dyDescent="0.2">
      <c r="A317" s="252">
        <v>26</v>
      </c>
      <c r="B317" s="273"/>
      <c r="C317" s="269"/>
      <c r="D317" s="252" t="s">
        <v>234</v>
      </c>
    </row>
    <row r="318" spans="1:20" ht="14.1" customHeight="1" x14ac:dyDescent="0.2">
      <c r="A318" s="252">
        <v>27</v>
      </c>
      <c r="B318" s="273"/>
      <c r="C318" s="267">
        <v>34135</v>
      </c>
      <c r="D318" s="252" t="s">
        <v>161</v>
      </c>
      <c r="F318" s="655">
        <v>-152988.41999999978</v>
      </c>
      <c r="G318" s="329"/>
      <c r="H318" s="655">
        <v>20620.970760000004</v>
      </c>
      <c r="I318" s="329"/>
      <c r="J318" s="655">
        <v>0</v>
      </c>
      <c r="K318" s="329"/>
      <c r="L318" s="655">
        <v>0</v>
      </c>
      <c r="M318" s="329"/>
      <c r="N318" s="655">
        <v>0</v>
      </c>
      <c r="O318" s="329"/>
      <c r="P318" s="655">
        <v>0</v>
      </c>
      <c r="Q318" s="329"/>
      <c r="R318" s="655">
        <v>-132367.44923999978</v>
      </c>
      <c r="S318" s="329"/>
      <c r="T318" s="655">
        <v>-142677.93461999978</v>
      </c>
    </row>
    <row r="319" spans="1:20" ht="14.1" customHeight="1" x14ac:dyDescent="0.2">
      <c r="A319" s="252">
        <v>28</v>
      </c>
      <c r="B319" s="273"/>
      <c r="C319" s="267">
        <v>34235</v>
      </c>
      <c r="D319" s="252" t="s">
        <v>206</v>
      </c>
      <c r="F319" s="655">
        <v>613642.02000000107</v>
      </c>
      <c r="G319" s="329"/>
      <c r="H319" s="655">
        <v>73890.977760000009</v>
      </c>
      <c r="I319" s="329"/>
      <c r="J319" s="655">
        <v>-3221.25</v>
      </c>
      <c r="K319" s="329"/>
      <c r="L319" s="655">
        <v>0</v>
      </c>
      <c r="M319" s="329"/>
      <c r="N319" s="655">
        <v>0</v>
      </c>
      <c r="O319" s="329"/>
      <c r="P319" s="655">
        <v>0</v>
      </c>
      <c r="Q319" s="329"/>
      <c r="R319" s="655">
        <v>684311.7477600011</v>
      </c>
      <c r="S319" s="329"/>
      <c r="T319" s="655">
        <v>648799.46734153968</v>
      </c>
    </row>
    <row r="320" spans="1:20" ht="14.1" customHeight="1" x14ac:dyDescent="0.2">
      <c r="A320" s="252">
        <v>29</v>
      </c>
      <c r="B320" s="273"/>
      <c r="C320" s="267">
        <v>34335</v>
      </c>
      <c r="D320" s="252" t="s">
        <v>207</v>
      </c>
      <c r="F320" s="655">
        <v>9376121.1000000313</v>
      </c>
      <c r="G320" s="329"/>
      <c r="H320" s="655">
        <v>745184.95639999979</v>
      </c>
      <c r="I320" s="329"/>
      <c r="J320" s="655">
        <v>-3221.25</v>
      </c>
      <c r="K320" s="329"/>
      <c r="L320" s="655">
        <v>0</v>
      </c>
      <c r="M320" s="329"/>
      <c r="N320" s="655">
        <v>0</v>
      </c>
      <c r="O320" s="329"/>
      <c r="P320" s="655">
        <v>0</v>
      </c>
      <c r="Q320" s="329"/>
      <c r="R320" s="655">
        <v>10118084.806400031</v>
      </c>
      <c r="S320" s="329"/>
      <c r="T320" s="655">
        <v>9746919.5897384956</v>
      </c>
    </row>
    <row r="321" spans="1:20" ht="14.1" customHeight="1" x14ac:dyDescent="0.2">
      <c r="A321" s="252">
        <v>30</v>
      </c>
      <c r="B321" s="273"/>
      <c r="C321" s="267">
        <v>34535</v>
      </c>
      <c r="D321" s="252" t="s">
        <v>164</v>
      </c>
      <c r="F321" s="655">
        <v>3945358.9700000039</v>
      </c>
      <c r="G321" s="329"/>
      <c r="H321" s="655">
        <v>414041.87800000008</v>
      </c>
      <c r="I321" s="329"/>
      <c r="J321" s="655">
        <v>0</v>
      </c>
      <c r="K321" s="329"/>
      <c r="L321" s="655">
        <v>0</v>
      </c>
      <c r="M321" s="329"/>
      <c r="N321" s="655">
        <v>0</v>
      </c>
      <c r="O321" s="329"/>
      <c r="P321" s="655">
        <v>0</v>
      </c>
      <c r="Q321" s="329"/>
      <c r="R321" s="655">
        <v>4359400.848000004</v>
      </c>
      <c r="S321" s="329"/>
      <c r="T321" s="655">
        <v>4152379.9090000051</v>
      </c>
    </row>
    <row r="322" spans="1:20" ht="14.1" customHeight="1" x14ac:dyDescent="0.2">
      <c r="A322" s="252">
        <v>31</v>
      </c>
      <c r="B322" s="273"/>
      <c r="C322" s="267">
        <v>34635</v>
      </c>
      <c r="D322" s="252" t="s">
        <v>165</v>
      </c>
      <c r="F322" s="655">
        <v>0</v>
      </c>
      <c r="G322" s="329"/>
      <c r="H322" s="655">
        <v>0</v>
      </c>
      <c r="I322" s="329"/>
      <c r="J322" s="655">
        <v>0</v>
      </c>
      <c r="K322" s="329"/>
      <c r="L322" s="655">
        <v>0</v>
      </c>
      <c r="M322" s="329"/>
      <c r="N322" s="655">
        <v>0</v>
      </c>
      <c r="O322" s="329"/>
      <c r="P322" s="655">
        <v>0</v>
      </c>
      <c r="Q322" s="329"/>
      <c r="R322" s="655">
        <v>0</v>
      </c>
      <c r="S322" s="329"/>
      <c r="T322" s="655">
        <v>0</v>
      </c>
    </row>
    <row r="323" spans="1:20" ht="14.1" customHeight="1" x14ac:dyDescent="0.2">
      <c r="A323" s="252">
        <v>32</v>
      </c>
      <c r="B323" s="273"/>
      <c r="C323" s="269"/>
      <c r="D323" s="252" t="s">
        <v>235</v>
      </c>
      <c r="F323" s="664">
        <v>13782133.670000037</v>
      </c>
      <c r="G323" s="602"/>
      <c r="H323" s="664">
        <v>1253738.7829199999</v>
      </c>
      <c r="I323" s="602"/>
      <c r="J323" s="664">
        <v>-6442.5</v>
      </c>
      <c r="K323" s="602"/>
      <c r="L323" s="664">
        <v>0</v>
      </c>
      <c r="M323" s="602"/>
      <c r="N323" s="664">
        <v>0</v>
      </c>
      <c r="O323" s="602"/>
      <c r="P323" s="664">
        <v>0</v>
      </c>
      <c r="Q323" s="602"/>
      <c r="R323" s="664">
        <v>15029429.952920035</v>
      </c>
      <c r="S323" s="602"/>
      <c r="T323" s="664">
        <v>14405421.031460041</v>
      </c>
    </row>
    <row r="324" spans="1:20" ht="14.1" customHeight="1" x14ac:dyDescent="0.2">
      <c r="A324" s="252">
        <v>33</v>
      </c>
      <c r="B324" s="273"/>
    </row>
    <row r="325" spans="1:20" ht="14.1" customHeight="1" x14ac:dyDescent="0.2">
      <c r="A325" s="252">
        <v>34</v>
      </c>
      <c r="B325" s="273"/>
    </row>
    <row r="326" spans="1:20" ht="14.1" customHeight="1" x14ac:dyDescent="0.2">
      <c r="A326" s="252">
        <v>35</v>
      </c>
      <c r="B326" s="273"/>
    </row>
    <row r="327" spans="1:20" ht="14.1" customHeight="1" x14ac:dyDescent="0.2">
      <c r="A327" s="252">
        <v>36</v>
      </c>
      <c r="B327" s="273"/>
    </row>
    <row r="328" spans="1:20" ht="14.1" customHeight="1" x14ac:dyDescent="0.2">
      <c r="A328" s="252">
        <v>37</v>
      </c>
      <c r="B328" s="273"/>
    </row>
    <row r="329" spans="1:20" ht="14.1" customHeight="1" x14ac:dyDescent="0.2">
      <c r="A329" s="252">
        <v>38</v>
      </c>
      <c r="G329" s="602"/>
      <c r="I329" s="602"/>
      <c r="K329" s="602"/>
      <c r="M329" s="602"/>
      <c r="O329" s="602"/>
      <c r="Q329" s="602"/>
      <c r="S329" s="602"/>
    </row>
    <row r="330" spans="1:20" ht="14.1" customHeight="1" x14ac:dyDescent="0.2">
      <c r="A330" s="252">
        <v>39</v>
      </c>
      <c r="G330" s="602"/>
      <c r="I330" s="602"/>
      <c r="K330" s="602"/>
      <c r="M330" s="602"/>
      <c r="O330" s="602"/>
      <c r="Q330" s="602"/>
      <c r="S330" s="602"/>
    </row>
    <row r="331" spans="1:20" ht="14.1" customHeight="1" x14ac:dyDescent="0.2">
      <c r="A331" s="252">
        <v>40</v>
      </c>
      <c r="G331" s="602"/>
      <c r="I331" s="602"/>
      <c r="K331" s="602"/>
      <c r="M331" s="602"/>
      <c r="O331" s="602"/>
      <c r="Q331" s="602"/>
      <c r="S331" s="602"/>
    </row>
    <row r="332" spans="1:20" ht="14.1" customHeight="1" x14ac:dyDescent="0.2">
      <c r="A332" s="252">
        <v>41</v>
      </c>
      <c r="G332" s="602"/>
      <c r="I332" s="602"/>
      <c r="K332" s="602"/>
      <c r="M332" s="602"/>
      <c r="O332" s="602"/>
      <c r="Q332" s="602"/>
      <c r="S332" s="602"/>
    </row>
    <row r="333" spans="1:20" ht="14.1" customHeight="1" x14ac:dyDescent="0.2">
      <c r="A333" s="252">
        <v>42</v>
      </c>
      <c r="G333" s="602"/>
      <c r="I333" s="602"/>
      <c r="K333" s="602"/>
      <c r="M333" s="602"/>
      <c r="O333" s="602"/>
      <c r="Q333" s="602"/>
      <c r="S333" s="602"/>
    </row>
    <row r="334" spans="1:20" ht="14.1" customHeight="1" x14ac:dyDescent="0.2">
      <c r="A334" s="252">
        <v>43</v>
      </c>
      <c r="G334" s="602"/>
      <c r="I334" s="602"/>
      <c r="K334" s="602"/>
      <c r="M334" s="602"/>
      <c r="O334" s="602"/>
      <c r="Q334" s="602"/>
      <c r="S334" s="602"/>
    </row>
    <row r="335" spans="1:20" ht="14.1" customHeight="1" thickBot="1" x14ac:dyDescent="0.25">
      <c r="A335" s="252">
        <v>44</v>
      </c>
      <c r="B335" s="667" t="s">
        <v>186</v>
      </c>
      <c r="C335" s="296"/>
      <c r="D335" s="264"/>
      <c r="E335" s="264"/>
      <c r="F335" s="719"/>
      <c r="G335" s="719"/>
      <c r="H335" s="720"/>
      <c r="I335" s="720"/>
      <c r="J335" s="720"/>
      <c r="K335" s="720"/>
      <c r="L335" s="720"/>
      <c r="M335" s="720"/>
      <c r="N335" s="720"/>
      <c r="O335" s="720"/>
      <c r="P335" s="720"/>
      <c r="Q335" s="720"/>
      <c r="R335" s="720"/>
      <c r="S335" s="720"/>
      <c r="T335" s="720"/>
    </row>
    <row r="336" spans="1:20" ht="14.1" customHeight="1" x14ac:dyDescent="0.2">
      <c r="A336" s="252" t="s">
        <v>60</v>
      </c>
      <c r="R336" s="252" t="s">
        <v>60</v>
      </c>
    </row>
    <row r="337" spans="1:20" ht="14.1" customHeight="1" thickBot="1" x14ac:dyDescent="0.25">
      <c r="A337" s="264" t="s">
        <v>301</v>
      </c>
      <c r="B337" s="264"/>
      <c r="C337" s="264"/>
      <c r="D337" s="264"/>
      <c r="E337" s="264"/>
      <c r="F337" s="264" t="s">
        <v>302</v>
      </c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  <c r="R337" s="264"/>
      <c r="S337" s="264"/>
      <c r="T337" s="264" t="s">
        <v>329</v>
      </c>
    </row>
    <row r="338" spans="1:20" ht="14.1" customHeight="1" x14ac:dyDescent="0.2">
      <c r="A338" s="252" t="s">
        <v>129</v>
      </c>
      <c r="B338" s="285"/>
      <c r="E338" s="260" t="s">
        <v>130</v>
      </c>
      <c r="F338" s="252" t="s">
        <v>303</v>
      </c>
      <c r="J338" s="286"/>
      <c r="K338" s="286"/>
      <c r="P338" s="286"/>
      <c r="Q338" s="286"/>
      <c r="R338" s="286" t="s">
        <v>132</v>
      </c>
      <c r="T338" s="261"/>
    </row>
    <row r="339" spans="1:20" ht="14.1" customHeight="1" x14ac:dyDescent="0.2">
      <c r="B339" s="285"/>
      <c r="F339" s="252" t="s">
        <v>1399</v>
      </c>
      <c r="J339" s="260"/>
      <c r="K339" s="261"/>
      <c r="P339" s="260"/>
      <c r="Q339" s="260" t="s">
        <v>123</v>
      </c>
      <c r="R339" s="261" t="s">
        <v>1361</v>
      </c>
      <c r="T339" s="260"/>
    </row>
    <row r="340" spans="1:20" ht="14.1" customHeight="1" x14ac:dyDescent="0.2">
      <c r="A340" s="252" t="s">
        <v>134</v>
      </c>
      <c r="B340" s="285"/>
      <c r="F340" s="252" t="s">
        <v>123</v>
      </c>
      <c r="J340" s="260"/>
      <c r="K340" s="261"/>
      <c r="L340" s="260"/>
      <c r="N340" s="260"/>
      <c r="Q340" s="260" t="s">
        <v>123</v>
      </c>
      <c r="R340" s="261">
        <v>0</v>
      </c>
      <c r="T340" s="260"/>
    </row>
    <row r="341" spans="1:20" ht="14.1" customHeight="1" x14ac:dyDescent="0.2">
      <c r="B341" s="285"/>
      <c r="F341" s="252" t="s">
        <v>123</v>
      </c>
      <c r="J341" s="260"/>
      <c r="K341" s="261"/>
      <c r="L341" s="260"/>
      <c r="N341" s="260"/>
      <c r="Q341" s="260" t="s">
        <v>123</v>
      </c>
      <c r="R341" s="261"/>
      <c r="T341" s="260"/>
    </row>
    <row r="342" spans="1:20" ht="14.1" customHeight="1" thickBot="1" x14ac:dyDescent="0.25">
      <c r="A342" s="264" t="s">
        <v>135</v>
      </c>
      <c r="B342" s="287"/>
      <c r="C342" s="264"/>
      <c r="D342" s="264"/>
      <c r="E342" s="264"/>
      <c r="F342" s="264" t="s">
        <v>123</v>
      </c>
      <c r="G342" s="264"/>
      <c r="H342" s="266"/>
      <c r="I342" s="264"/>
      <c r="J342" s="264"/>
      <c r="K342" s="264"/>
      <c r="L342" s="264"/>
      <c r="M342" s="264"/>
      <c r="N342" s="264"/>
      <c r="O342" s="264"/>
      <c r="P342" s="264"/>
      <c r="Q342" s="264"/>
      <c r="R342" s="288"/>
      <c r="S342" s="264"/>
      <c r="T342" s="264"/>
    </row>
    <row r="343" spans="1:20" ht="14.1" customHeight="1" x14ac:dyDescent="0.2"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7"/>
      <c r="T343" s="267"/>
    </row>
    <row r="344" spans="1:20" ht="14.1" customHeight="1" x14ac:dyDescent="0.2">
      <c r="C344" s="267" t="s">
        <v>136</v>
      </c>
      <c r="D344" s="267" t="s">
        <v>137</v>
      </c>
      <c r="E344" s="267"/>
      <c r="F344" s="267" t="s">
        <v>138</v>
      </c>
      <c r="G344" s="267"/>
      <c r="H344" s="267" t="s">
        <v>139</v>
      </c>
      <c r="I344" s="267"/>
      <c r="J344" s="269" t="s">
        <v>140</v>
      </c>
      <c r="L344" s="267" t="s">
        <v>141</v>
      </c>
      <c r="M344" s="267"/>
      <c r="N344" s="267" t="s">
        <v>142</v>
      </c>
      <c r="O344" s="267"/>
      <c r="P344" s="267" t="s">
        <v>143</v>
      </c>
      <c r="Q344" s="267"/>
      <c r="R344" s="267" t="s">
        <v>144</v>
      </c>
      <c r="S344" s="267"/>
      <c r="T344" s="267" t="s">
        <v>305</v>
      </c>
    </row>
    <row r="345" spans="1:20" ht="14.1" customHeight="1" x14ac:dyDescent="0.2">
      <c r="C345" s="269" t="s">
        <v>145</v>
      </c>
      <c r="D345" s="269" t="s">
        <v>145</v>
      </c>
      <c r="F345" s="267" t="s">
        <v>41</v>
      </c>
      <c r="G345" s="269"/>
      <c r="H345" s="267" t="s">
        <v>40</v>
      </c>
      <c r="I345" s="269"/>
      <c r="J345" s="267"/>
      <c r="K345" s="269"/>
      <c r="L345" s="269"/>
      <c r="M345" s="269"/>
      <c r="N345" s="269"/>
      <c r="O345" s="269"/>
      <c r="P345" s="269"/>
      <c r="Q345" s="269"/>
      <c r="R345" s="269" t="s">
        <v>41</v>
      </c>
      <c r="T345" s="269"/>
    </row>
    <row r="346" spans="1:20" ht="14.1" customHeight="1" x14ac:dyDescent="0.2">
      <c r="A346" s="252" t="s">
        <v>146</v>
      </c>
      <c r="B346" s="269"/>
      <c r="C346" s="269" t="s">
        <v>147</v>
      </c>
      <c r="D346" s="269" t="s">
        <v>147</v>
      </c>
      <c r="E346" s="267"/>
      <c r="F346" s="269" t="s">
        <v>6</v>
      </c>
      <c r="G346" s="269"/>
      <c r="H346" s="269" t="s">
        <v>6</v>
      </c>
      <c r="I346" s="269"/>
      <c r="J346" s="269"/>
      <c r="K346" s="267"/>
      <c r="L346" s="269" t="s">
        <v>306</v>
      </c>
      <c r="M346" s="269"/>
      <c r="N346" s="269" t="s">
        <v>306</v>
      </c>
      <c r="O346" s="269"/>
      <c r="P346" s="269" t="s">
        <v>150</v>
      </c>
      <c r="Q346" s="267"/>
      <c r="R346" s="267" t="s">
        <v>6</v>
      </c>
      <c r="S346" s="267"/>
      <c r="T346" s="269" t="s">
        <v>151</v>
      </c>
    </row>
    <row r="347" spans="1:20" ht="14.1" customHeight="1" thickBot="1" x14ac:dyDescent="0.25">
      <c r="A347" s="264" t="s">
        <v>152</v>
      </c>
      <c r="B347" s="266"/>
      <c r="C347" s="266" t="s">
        <v>52</v>
      </c>
      <c r="D347" s="266" t="s">
        <v>153</v>
      </c>
      <c r="E347" s="266"/>
      <c r="F347" s="270" t="s">
        <v>154</v>
      </c>
      <c r="G347" s="270"/>
      <c r="H347" s="270" t="s">
        <v>307</v>
      </c>
      <c r="I347" s="271"/>
      <c r="J347" s="270" t="s">
        <v>18</v>
      </c>
      <c r="K347" s="271"/>
      <c r="L347" s="270" t="s">
        <v>19</v>
      </c>
      <c r="M347" s="271"/>
      <c r="N347" s="270" t="s">
        <v>54</v>
      </c>
      <c r="O347" s="271"/>
      <c r="P347" s="272" t="s">
        <v>157</v>
      </c>
      <c r="Q347" s="272"/>
      <c r="R347" s="272" t="s">
        <v>158</v>
      </c>
      <c r="S347" s="272"/>
      <c r="T347" s="272" t="s">
        <v>3</v>
      </c>
    </row>
    <row r="348" spans="1:20" ht="14.1" customHeight="1" x14ac:dyDescent="0.2">
      <c r="A348" s="252">
        <v>1</v>
      </c>
      <c r="B348" s="273"/>
    </row>
    <row r="349" spans="1:20" ht="14.1" customHeight="1" x14ac:dyDescent="0.2">
      <c r="A349" s="252">
        <v>2</v>
      </c>
      <c r="B349" s="273"/>
      <c r="C349" s="269"/>
      <c r="D349" s="252" t="s">
        <v>236</v>
      </c>
      <c r="G349" s="602"/>
      <c r="I349" s="602"/>
      <c r="K349" s="602"/>
      <c r="M349" s="602"/>
      <c r="O349" s="602"/>
      <c r="P349" s="283"/>
      <c r="Q349" s="602"/>
      <c r="S349" s="602"/>
    </row>
    <row r="350" spans="1:20" ht="14.1" customHeight="1" x14ac:dyDescent="0.2">
      <c r="A350" s="252">
        <v>3</v>
      </c>
      <c r="B350" s="273"/>
      <c r="C350" s="267">
        <v>34136</v>
      </c>
      <c r="D350" s="252" t="s">
        <v>161</v>
      </c>
      <c r="F350" s="655">
        <v>378996.1999999999</v>
      </c>
      <c r="G350" s="329"/>
      <c r="H350" s="655">
        <v>69062.020040000018</v>
      </c>
      <c r="I350" s="329"/>
      <c r="J350" s="655">
        <v>0</v>
      </c>
      <c r="K350" s="329"/>
      <c r="L350" s="655">
        <v>0</v>
      </c>
      <c r="M350" s="329"/>
      <c r="N350" s="655">
        <v>0</v>
      </c>
      <c r="O350" s="329"/>
      <c r="P350" s="655">
        <v>0</v>
      </c>
      <c r="Q350" s="329"/>
      <c r="R350" s="655">
        <v>448058.22003999993</v>
      </c>
      <c r="S350" s="329"/>
      <c r="T350" s="655">
        <v>413527.21001999977</v>
      </c>
    </row>
    <row r="351" spans="1:20" ht="14.1" customHeight="1" x14ac:dyDescent="0.2">
      <c r="A351" s="252">
        <v>4</v>
      </c>
      <c r="B351" s="273"/>
      <c r="C351" s="267">
        <v>34236</v>
      </c>
      <c r="D351" s="252" t="s">
        <v>206</v>
      </c>
      <c r="F351" s="655">
        <v>419404.93000000017</v>
      </c>
      <c r="G351" s="329"/>
      <c r="H351" s="655">
        <v>55347.268608000028</v>
      </c>
      <c r="I351" s="329"/>
      <c r="J351" s="655">
        <v>-72.533999999999992</v>
      </c>
      <c r="K351" s="329"/>
      <c r="L351" s="655">
        <v>0</v>
      </c>
      <c r="M351" s="329"/>
      <c r="N351" s="655">
        <v>0</v>
      </c>
      <c r="O351" s="329"/>
      <c r="P351" s="655">
        <v>0</v>
      </c>
      <c r="Q351" s="329"/>
      <c r="R351" s="655">
        <v>474679.6646080002</v>
      </c>
      <c r="S351" s="329"/>
      <c r="T351" s="655">
        <v>447038.30235446151</v>
      </c>
    </row>
    <row r="352" spans="1:20" ht="14.1" customHeight="1" x14ac:dyDescent="0.2">
      <c r="A352" s="252">
        <v>5</v>
      </c>
      <c r="B352" s="273"/>
      <c r="C352" s="267">
        <v>34336</v>
      </c>
      <c r="D352" s="252" t="s">
        <v>207</v>
      </c>
      <c r="F352" s="655">
        <v>9429266.5299999975</v>
      </c>
      <c r="G352" s="329"/>
      <c r="H352" s="655">
        <v>700698.63192000007</v>
      </c>
      <c r="I352" s="329"/>
      <c r="J352" s="655">
        <v>-72.533999999999992</v>
      </c>
      <c r="K352" s="329"/>
      <c r="L352" s="655">
        <v>0</v>
      </c>
      <c r="M352" s="329"/>
      <c r="N352" s="655">
        <v>0</v>
      </c>
      <c r="O352" s="329"/>
      <c r="P352" s="655">
        <v>0</v>
      </c>
      <c r="Q352" s="329"/>
      <c r="R352" s="655">
        <v>10129892.627919998</v>
      </c>
      <c r="S352" s="329"/>
      <c r="T352" s="655">
        <v>9779575.450101532</v>
      </c>
    </row>
    <row r="353" spans="1:20" ht="14.1" customHeight="1" x14ac:dyDescent="0.2">
      <c r="A353" s="252">
        <v>6</v>
      </c>
      <c r="B353" s="273"/>
      <c r="C353" s="267">
        <v>34536</v>
      </c>
      <c r="D353" s="252" t="s">
        <v>164</v>
      </c>
      <c r="F353" s="655">
        <v>5440628.7500000075</v>
      </c>
      <c r="G353" s="329"/>
      <c r="H353" s="655">
        <v>574344.26559999993</v>
      </c>
      <c r="I353" s="329"/>
      <c r="J353" s="655">
        <v>0</v>
      </c>
      <c r="K353" s="329"/>
      <c r="L353" s="655">
        <v>0</v>
      </c>
      <c r="M353" s="329"/>
      <c r="N353" s="655">
        <v>0</v>
      </c>
      <c r="O353" s="329"/>
      <c r="P353" s="655">
        <v>0</v>
      </c>
      <c r="Q353" s="329"/>
      <c r="R353" s="655">
        <v>6014973.015600007</v>
      </c>
      <c r="S353" s="329"/>
      <c r="T353" s="655">
        <v>5727800.8828000091</v>
      </c>
    </row>
    <row r="354" spans="1:20" ht="14.1" customHeight="1" x14ac:dyDescent="0.2">
      <c r="A354" s="252">
        <v>7</v>
      </c>
      <c r="B354" s="273"/>
      <c r="C354" s="267">
        <v>34636</v>
      </c>
      <c r="D354" s="252" t="s">
        <v>165</v>
      </c>
      <c r="F354" s="655">
        <v>4645.5599999999904</v>
      </c>
      <c r="G354" s="329"/>
      <c r="H354" s="655">
        <v>469.45920000000001</v>
      </c>
      <c r="I354" s="329"/>
      <c r="J354" s="655">
        <v>0</v>
      </c>
      <c r="K354" s="329"/>
      <c r="L354" s="655">
        <v>0</v>
      </c>
      <c r="M354" s="329"/>
      <c r="N354" s="655">
        <v>0</v>
      </c>
      <c r="O354" s="329"/>
      <c r="P354" s="655">
        <v>0</v>
      </c>
      <c r="Q354" s="329"/>
      <c r="R354" s="655">
        <v>5115.0191999999906</v>
      </c>
      <c r="S354" s="329"/>
      <c r="T354" s="655">
        <v>4880.2895999999928</v>
      </c>
    </row>
    <row r="355" spans="1:20" ht="14.1" customHeight="1" x14ac:dyDescent="0.2">
      <c r="A355" s="252">
        <v>8</v>
      </c>
      <c r="B355" s="273"/>
      <c r="C355" s="269"/>
      <c r="D355" s="252" t="s">
        <v>237</v>
      </c>
      <c r="F355" s="664">
        <v>15672941.970000006</v>
      </c>
      <c r="G355" s="602"/>
      <c r="H355" s="664">
        <v>1399921.645368</v>
      </c>
      <c r="I355" s="602"/>
      <c r="J355" s="664">
        <v>-145.06799999999998</v>
      </c>
      <c r="K355" s="602"/>
      <c r="L355" s="664">
        <v>0</v>
      </c>
      <c r="M355" s="602"/>
      <c r="N355" s="664">
        <v>0</v>
      </c>
      <c r="O355" s="602"/>
      <c r="P355" s="664">
        <v>0</v>
      </c>
      <c r="Q355" s="602"/>
      <c r="R355" s="664">
        <v>17072718.547368009</v>
      </c>
      <c r="S355" s="602"/>
      <c r="T355" s="664">
        <v>16372822.134876002</v>
      </c>
    </row>
    <row r="356" spans="1:20" ht="14.1" customHeight="1" x14ac:dyDescent="0.2">
      <c r="A356" s="252">
        <v>9</v>
      </c>
      <c r="B356" s="273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2"/>
      <c r="R356" s="602"/>
      <c r="S356" s="602"/>
      <c r="T356" s="602"/>
    </row>
    <row r="357" spans="1:20" ht="14.1" customHeight="1" x14ac:dyDescent="0.2">
      <c r="A357" s="252">
        <v>10</v>
      </c>
      <c r="B357" s="273"/>
      <c r="C357" s="267">
        <v>34637</v>
      </c>
      <c r="D357" s="252" t="s">
        <v>1377</v>
      </c>
      <c r="F357" s="655">
        <v>313897.7</v>
      </c>
      <c r="G357" s="329"/>
      <c r="H357" s="655">
        <v>78589.164939999973</v>
      </c>
      <c r="I357" s="329"/>
      <c r="J357" s="655">
        <v>-100017.27</v>
      </c>
      <c r="K357" s="329"/>
      <c r="L357" s="655">
        <v>0</v>
      </c>
      <c r="M357" s="329"/>
      <c r="N357" s="655">
        <v>0</v>
      </c>
      <c r="O357" s="329"/>
      <c r="P357" s="655">
        <v>0</v>
      </c>
      <c r="Q357" s="329"/>
      <c r="R357" s="655">
        <v>292469.59493999998</v>
      </c>
      <c r="S357" s="329"/>
      <c r="T357" s="655">
        <v>345498.64631615381</v>
      </c>
    </row>
    <row r="358" spans="1:20" ht="14.1" customHeight="1" x14ac:dyDescent="0.2">
      <c r="A358" s="252">
        <v>11</v>
      </c>
      <c r="B358" s="273"/>
    </row>
    <row r="359" spans="1:20" ht="14.1" customHeight="1" thickBot="1" x14ac:dyDescent="0.25">
      <c r="A359" s="252">
        <v>12</v>
      </c>
      <c r="B359" s="273"/>
      <c r="C359" s="269"/>
      <c r="D359" s="83" t="s">
        <v>73</v>
      </c>
      <c r="E359" s="83"/>
      <c r="F359" s="665">
        <v>382429477.92000002</v>
      </c>
      <c r="G359" s="665"/>
      <c r="H359" s="665">
        <v>40355631.817798682</v>
      </c>
      <c r="I359" s="666"/>
      <c r="J359" s="665">
        <v>-5524585.3859999999</v>
      </c>
      <c r="K359" s="666"/>
      <c r="L359" s="665">
        <v>-270810.49000000005</v>
      </c>
      <c r="M359" s="666"/>
      <c r="N359" s="665">
        <v>0</v>
      </c>
      <c r="O359" s="666"/>
      <c r="P359" s="665">
        <v>0</v>
      </c>
      <c r="Q359" s="666"/>
      <c r="R359" s="665">
        <v>416989713.86179864</v>
      </c>
      <c r="S359" s="666"/>
      <c r="T359" s="665">
        <v>400520673.87559402</v>
      </c>
    </row>
    <row r="360" spans="1:20" ht="14.1" customHeight="1" thickTop="1" x14ac:dyDescent="0.2">
      <c r="A360" s="252">
        <v>13</v>
      </c>
      <c r="B360" s="273"/>
    </row>
    <row r="361" spans="1:20" ht="14.1" customHeight="1" x14ac:dyDescent="0.2">
      <c r="A361" s="252">
        <v>14</v>
      </c>
      <c r="B361" s="273"/>
      <c r="D361" s="677" t="s">
        <v>841</v>
      </c>
    </row>
    <row r="362" spans="1:20" ht="14.1" customHeight="1" x14ac:dyDescent="0.2">
      <c r="A362" s="252">
        <v>15</v>
      </c>
      <c r="B362" s="273"/>
      <c r="C362" s="267">
        <v>34199</v>
      </c>
      <c r="D362" s="252" t="s">
        <v>239</v>
      </c>
      <c r="F362" s="655">
        <v>13126056.530000001</v>
      </c>
      <c r="G362" s="329"/>
      <c r="H362" s="655">
        <v>7396999.1554799983</v>
      </c>
      <c r="I362" s="329"/>
      <c r="J362" s="655">
        <v>0</v>
      </c>
      <c r="K362" s="329"/>
      <c r="L362" s="655">
        <v>0</v>
      </c>
      <c r="M362" s="329"/>
      <c r="N362" s="655">
        <v>0</v>
      </c>
      <c r="O362" s="329"/>
      <c r="P362" s="655">
        <v>4383.01</v>
      </c>
      <c r="Q362" s="329"/>
      <c r="R362" s="655">
        <v>20527438.69548</v>
      </c>
      <c r="S362" s="329"/>
      <c r="T362" s="655">
        <v>16824893.262355383</v>
      </c>
    </row>
    <row r="363" spans="1:20" ht="14.1" customHeight="1" x14ac:dyDescent="0.2">
      <c r="A363" s="252">
        <v>16</v>
      </c>
      <c r="B363" s="273"/>
      <c r="C363" s="269">
        <v>34399</v>
      </c>
      <c r="D363" s="252" t="s">
        <v>313</v>
      </c>
      <c r="F363" s="655">
        <v>22335923.040000003</v>
      </c>
      <c r="G363" s="329"/>
      <c r="H363" s="655">
        <v>14426088.494097505</v>
      </c>
      <c r="I363" s="329"/>
      <c r="J363" s="655">
        <v>0</v>
      </c>
      <c r="K363" s="329"/>
      <c r="L363" s="655">
        <v>0</v>
      </c>
      <c r="M363" s="329"/>
      <c r="N363" s="655">
        <v>0</v>
      </c>
      <c r="O363" s="329"/>
      <c r="P363" s="655">
        <v>0</v>
      </c>
      <c r="Q363" s="329"/>
      <c r="R363" s="655">
        <v>36762011.534097508</v>
      </c>
      <c r="S363" s="329"/>
      <c r="T363" s="655">
        <v>29410260.531201545</v>
      </c>
    </row>
    <row r="364" spans="1:20" ht="14.1" customHeight="1" x14ac:dyDescent="0.2">
      <c r="A364" s="252">
        <v>17</v>
      </c>
      <c r="B364" s="273"/>
      <c r="C364" s="269">
        <v>34599</v>
      </c>
      <c r="D364" s="252" t="s">
        <v>241</v>
      </c>
      <c r="F364" s="655">
        <v>8190141.620000001</v>
      </c>
      <c r="G364" s="329"/>
      <c r="H364" s="655">
        <v>5528116.4984100014</v>
      </c>
      <c r="I364" s="329"/>
      <c r="J364" s="655">
        <v>0</v>
      </c>
      <c r="K364" s="329"/>
      <c r="L364" s="655">
        <v>0</v>
      </c>
      <c r="M364" s="329"/>
      <c r="N364" s="655">
        <v>0</v>
      </c>
      <c r="O364" s="329"/>
      <c r="P364" s="655">
        <v>0</v>
      </c>
      <c r="Q364" s="329"/>
      <c r="R364" s="655">
        <v>13718258.118410002</v>
      </c>
      <c r="S364" s="329"/>
      <c r="T364" s="655">
        <v>10954199.869205007</v>
      </c>
    </row>
    <row r="365" spans="1:20" ht="14.1" customHeight="1" x14ac:dyDescent="0.2">
      <c r="A365" s="252">
        <v>18</v>
      </c>
      <c r="B365" s="273"/>
      <c r="C365" s="269"/>
      <c r="D365" s="83" t="s">
        <v>398</v>
      </c>
      <c r="F365" s="676">
        <v>43652121.190000013</v>
      </c>
      <c r="H365" s="676">
        <v>27351204.147987504</v>
      </c>
      <c r="I365" s="602"/>
      <c r="J365" s="676">
        <v>0</v>
      </c>
      <c r="K365" s="602"/>
      <c r="L365" s="676">
        <v>0</v>
      </c>
      <c r="M365" s="602"/>
      <c r="N365" s="676">
        <v>0</v>
      </c>
      <c r="O365" s="602"/>
      <c r="P365" s="676">
        <v>4383.01</v>
      </c>
      <c r="Q365" s="602"/>
      <c r="R365" s="676">
        <v>71007708.347987518</v>
      </c>
      <c r="S365" s="602"/>
      <c r="T365" s="676">
        <v>57189353.662761934</v>
      </c>
    </row>
    <row r="366" spans="1:20" ht="14.1" customHeight="1" x14ac:dyDescent="0.2">
      <c r="A366" s="252">
        <v>19</v>
      </c>
      <c r="B366" s="273"/>
    </row>
    <row r="367" spans="1:20" ht="14.1" customHeight="1" x14ac:dyDescent="0.2">
      <c r="A367" s="252">
        <v>20</v>
      </c>
      <c r="B367" s="273"/>
      <c r="D367" s="677" t="s">
        <v>1378</v>
      </c>
    </row>
    <row r="368" spans="1:20" ht="14.1" customHeight="1" x14ac:dyDescent="0.2">
      <c r="A368" s="252">
        <v>21</v>
      </c>
      <c r="B368" s="273"/>
      <c r="C368" s="267">
        <v>34800</v>
      </c>
      <c r="D368" s="252" t="s">
        <v>1379</v>
      </c>
      <c r="F368" s="655">
        <v>0</v>
      </c>
      <c r="G368" s="329"/>
      <c r="H368" s="655">
        <v>0</v>
      </c>
      <c r="I368" s="329"/>
      <c r="J368" s="655">
        <v>0</v>
      </c>
      <c r="K368" s="329"/>
      <c r="L368" s="655">
        <v>0</v>
      </c>
      <c r="M368" s="329"/>
      <c r="N368" s="655">
        <v>0</v>
      </c>
      <c r="O368" s="329"/>
      <c r="P368" s="655">
        <v>0</v>
      </c>
      <c r="Q368" s="329"/>
      <c r="R368" s="655">
        <v>0</v>
      </c>
      <c r="S368" s="329"/>
      <c r="T368" s="655">
        <v>0</v>
      </c>
    </row>
    <row r="369" spans="1:20" ht="14.1" customHeight="1" x14ac:dyDescent="0.2">
      <c r="A369" s="252">
        <v>22</v>
      </c>
      <c r="B369" s="273"/>
      <c r="C369" s="267">
        <v>34899</v>
      </c>
      <c r="D369" s="252" t="s">
        <v>1380</v>
      </c>
      <c r="F369" s="655">
        <v>271854.57</v>
      </c>
      <c r="G369" s="329"/>
      <c r="H369" s="655">
        <v>947327.38499999989</v>
      </c>
      <c r="I369" s="329"/>
      <c r="J369" s="655">
        <v>0</v>
      </c>
      <c r="K369" s="329"/>
      <c r="L369" s="655">
        <v>0</v>
      </c>
      <c r="M369" s="329"/>
      <c r="N369" s="655">
        <v>0</v>
      </c>
      <c r="O369" s="329"/>
      <c r="P369" s="655">
        <v>0</v>
      </c>
      <c r="Q369" s="329"/>
      <c r="R369" s="655">
        <v>1219181.9549999998</v>
      </c>
      <c r="S369" s="329"/>
      <c r="T369" s="655">
        <v>745518.26249999995</v>
      </c>
    </row>
    <row r="370" spans="1:20" ht="14.1" customHeight="1" x14ac:dyDescent="0.2">
      <c r="A370" s="252">
        <v>23</v>
      </c>
      <c r="C370" s="267">
        <v>34388</v>
      </c>
      <c r="D370" s="252" t="s">
        <v>1381</v>
      </c>
      <c r="F370" s="655">
        <v>0</v>
      </c>
      <c r="G370" s="329"/>
      <c r="H370" s="655">
        <v>0</v>
      </c>
      <c r="I370" s="329"/>
      <c r="J370" s="655">
        <v>0</v>
      </c>
      <c r="K370" s="329"/>
      <c r="L370" s="655">
        <v>0</v>
      </c>
      <c r="M370" s="329"/>
      <c r="N370" s="655">
        <v>0</v>
      </c>
      <c r="O370" s="329"/>
      <c r="P370" s="655">
        <v>0</v>
      </c>
      <c r="Q370" s="329"/>
      <c r="R370" s="655">
        <v>0</v>
      </c>
      <c r="S370" s="329"/>
      <c r="T370" s="655">
        <v>0</v>
      </c>
    </row>
    <row r="371" spans="1:20" ht="14.1" customHeight="1" x14ac:dyDescent="0.2">
      <c r="A371" s="252">
        <v>24</v>
      </c>
      <c r="D371" s="83" t="s">
        <v>1382</v>
      </c>
      <c r="F371" s="676">
        <v>271854.57</v>
      </c>
      <c r="H371" s="676">
        <v>947327.38499999989</v>
      </c>
      <c r="I371" s="602"/>
      <c r="J371" s="676">
        <v>0</v>
      </c>
      <c r="K371" s="602"/>
      <c r="L371" s="676">
        <v>0</v>
      </c>
      <c r="M371" s="602"/>
      <c r="N371" s="676">
        <v>0</v>
      </c>
      <c r="O371" s="602"/>
      <c r="P371" s="676">
        <v>0</v>
      </c>
      <c r="Q371" s="602"/>
      <c r="R371" s="676">
        <v>1219181.9549999998</v>
      </c>
      <c r="S371" s="602"/>
      <c r="T371" s="676">
        <v>745518.26249999995</v>
      </c>
    </row>
    <row r="372" spans="1:20" ht="14.1" customHeight="1" x14ac:dyDescent="0.2">
      <c r="A372" s="252">
        <v>25</v>
      </c>
    </row>
    <row r="373" spans="1:20" ht="14.1" customHeight="1" thickBot="1" x14ac:dyDescent="0.25">
      <c r="A373" s="252">
        <v>26</v>
      </c>
      <c r="B373" s="273"/>
      <c r="C373" s="267"/>
      <c r="D373" s="83" t="s">
        <v>66</v>
      </c>
      <c r="E373" s="83"/>
      <c r="F373" s="665">
        <v>862885279.13</v>
      </c>
      <c r="G373" s="666"/>
      <c r="H373" s="665">
        <v>114509070.39083953</v>
      </c>
      <c r="I373" s="666"/>
      <c r="J373" s="665">
        <v>-17131990.850000001</v>
      </c>
      <c r="K373" s="666"/>
      <c r="L373" s="665">
        <v>-1079062.4900000002</v>
      </c>
      <c r="M373" s="666"/>
      <c r="N373" s="665">
        <v>0</v>
      </c>
      <c r="O373" s="666"/>
      <c r="P373" s="665">
        <v>4383.01</v>
      </c>
      <c r="Q373" s="666"/>
      <c r="R373" s="665">
        <v>959187679.19083953</v>
      </c>
      <c r="S373" s="666"/>
      <c r="T373" s="665">
        <v>912906724.88883328</v>
      </c>
    </row>
    <row r="374" spans="1:20" ht="14.1" customHeight="1" thickTop="1" x14ac:dyDescent="0.2">
      <c r="A374" s="252">
        <v>27</v>
      </c>
      <c r="B374" s="273"/>
    </row>
    <row r="375" spans="1:20" ht="14.1" customHeight="1" thickBot="1" x14ac:dyDescent="0.25">
      <c r="A375" s="252">
        <v>28</v>
      </c>
      <c r="B375" s="273"/>
      <c r="C375" s="269"/>
      <c r="D375" s="83" t="s">
        <v>67</v>
      </c>
      <c r="F375" s="665">
        <v>1685952311.6700001</v>
      </c>
      <c r="G375" s="666"/>
      <c r="H375" s="665">
        <v>187243754.77639586</v>
      </c>
      <c r="I375" s="666"/>
      <c r="J375" s="665">
        <v>-987249101.61599994</v>
      </c>
      <c r="K375" s="666"/>
      <c r="L375" s="665">
        <v>-9410504.8399999999</v>
      </c>
      <c r="M375" s="666"/>
      <c r="N375" s="665">
        <v>0</v>
      </c>
      <c r="O375" s="666"/>
      <c r="P375" s="665">
        <v>476198960.4975</v>
      </c>
      <c r="Q375" s="666"/>
      <c r="R375" s="665">
        <v>1352735420.487896</v>
      </c>
      <c r="S375" s="666"/>
      <c r="T375" s="665">
        <v>1725427601.9116368</v>
      </c>
    </row>
    <row r="376" spans="1:20" ht="14.1" customHeight="1" thickTop="1" x14ac:dyDescent="0.2">
      <c r="A376" s="252">
        <v>29</v>
      </c>
      <c r="B376" s="273"/>
    </row>
    <row r="377" spans="1:20" ht="14.1" customHeight="1" x14ac:dyDescent="0.2">
      <c r="A377" s="252">
        <v>30</v>
      </c>
      <c r="B377" s="273"/>
      <c r="C377" s="269"/>
      <c r="D377" s="298" t="s">
        <v>124</v>
      </c>
      <c r="E377" s="280"/>
      <c r="F377" s="276"/>
      <c r="G377" s="602"/>
      <c r="H377" s="602"/>
      <c r="I377" s="602"/>
      <c r="J377" s="602"/>
      <c r="K377" s="602"/>
      <c r="L377" s="602"/>
      <c r="M377" s="602"/>
      <c r="N377" s="602"/>
      <c r="O377" s="602"/>
      <c r="P377" s="602"/>
      <c r="Q377" s="602"/>
      <c r="R377" s="602"/>
      <c r="S377" s="602"/>
      <c r="T377" s="602"/>
    </row>
    <row r="378" spans="1:20" ht="14.1" customHeight="1" x14ac:dyDescent="0.2">
      <c r="A378" s="252">
        <v>31</v>
      </c>
      <c r="B378" s="273"/>
      <c r="C378" s="267">
        <v>35001</v>
      </c>
      <c r="D378" s="252" t="s">
        <v>242</v>
      </c>
      <c r="F378" s="655">
        <v>4456598.5600000042</v>
      </c>
      <c r="G378" s="329"/>
      <c r="H378" s="655">
        <v>157971.64006000001</v>
      </c>
      <c r="I378" s="329"/>
      <c r="J378" s="655">
        <v>0</v>
      </c>
      <c r="K378" s="329"/>
      <c r="L378" s="655">
        <v>0</v>
      </c>
      <c r="M378" s="329"/>
      <c r="N378" s="655">
        <v>0</v>
      </c>
      <c r="O378" s="329"/>
      <c r="P378" s="655">
        <v>0</v>
      </c>
      <c r="Q378" s="329"/>
      <c r="R378" s="655">
        <v>4614570.2000600044</v>
      </c>
      <c r="S378" s="329"/>
      <c r="T378" s="655">
        <v>4535584.3800300024</v>
      </c>
    </row>
    <row r="379" spans="1:20" ht="14.1" customHeight="1" x14ac:dyDescent="0.2">
      <c r="A379" s="252">
        <v>32</v>
      </c>
      <c r="B379" s="292"/>
      <c r="C379" s="267">
        <v>35200</v>
      </c>
      <c r="D379" s="252" t="s">
        <v>243</v>
      </c>
      <c r="F379" s="655">
        <v>11369515.860000007</v>
      </c>
      <c r="G379" s="329"/>
      <c r="H379" s="655">
        <v>968471.55857000023</v>
      </c>
      <c r="I379" s="329"/>
      <c r="J379" s="655">
        <v>-3894.3700000000003</v>
      </c>
      <c r="K379" s="329"/>
      <c r="L379" s="655">
        <v>0</v>
      </c>
      <c r="M379" s="329"/>
      <c r="N379" s="655">
        <v>0</v>
      </c>
      <c r="O379" s="329"/>
      <c r="P379" s="655">
        <v>1074.06</v>
      </c>
      <c r="Q379" s="329"/>
      <c r="R379" s="655">
        <v>12335167.108570008</v>
      </c>
      <c r="S379" s="329"/>
      <c r="T379" s="655">
        <v>11853534.692361925</v>
      </c>
    </row>
    <row r="380" spans="1:20" ht="14.1" customHeight="1" x14ac:dyDescent="0.2">
      <c r="A380" s="252">
        <v>33</v>
      </c>
      <c r="B380" s="292"/>
      <c r="C380" s="267">
        <v>35300</v>
      </c>
      <c r="D380" s="280" t="s">
        <v>244</v>
      </c>
      <c r="E380" s="280"/>
      <c r="F380" s="655">
        <v>72449074.199999973</v>
      </c>
      <c r="G380" s="329"/>
      <c r="H380" s="655">
        <v>8400881.846980378</v>
      </c>
      <c r="I380" s="329"/>
      <c r="J380" s="655">
        <v>-8772433.7607199997</v>
      </c>
      <c r="K380" s="329"/>
      <c r="L380" s="655">
        <v>-991550.73270000017</v>
      </c>
      <c r="M380" s="329"/>
      <c r="N380" s="655">
        <v>79365.003300000011</v>
      </c>
      <c r="O380" s="329"/>
      <c r="P380" s="655">
        <v>5323985.1600000011</v>
      </c>
      <c r="Q380" s="329"/>
      <c r="R380" s="655">
        <v>76489321.716860339</v>
      </c>
      <c r="S380" s="329"/>
      <c r="T380" s="655">
        <v>74858400.305630952</v>
      </c>
    </row>
    <row r="381" spans="1:20" ht="14.1" customHeight="1" x14ac:dyDescent="0.2">
      <c r="A381" s="252">
        <v>34</v>
      </c>
      <c r="B381" s="292"/>
      <c r="C381" s="267">
        <v>35400</v>
      </c>
      <c r="D381" s="280" t="s">
        <v>245</v>
      </c>
      <c r="E381" s="280"/>
      <c r="F381" s="655">
        <v>4736419.8899999922</v>
      </c>
      <c r="G381" s="329"/>
      <c r="H381" s="655">
        <v>117117.39265000001</v>
      </c>
      <c r="I381" s="329"/>
      <c r="J381" s="655">
        <v>0</v>
      </c>
      <c r="K381" s="329"/>
      <c r="L381" s="655">
        <v>0</v>
      </c>
      <c r="M381" s="329"/>
      <c r="N381" s="655">
        <v>0</v>
      </c>
      <c r="O381" s="329"/>
      <c r="P381" s="655">
        <v>0</v>
      </c>
      <c r="Q381" s="329"/>
      <c r="R381" s="655">
        <v>4853537.282649992</v>
      </c>
      <c r="S381" s="329"/>
      <c r="T381" s="655">
        <v>4794978.5863249907</v>
      </c>
    </row>
    <row r="382" spans="1:20" ht="14.1" customHeight="1" x14ac:dyDescent="0.2">
      <c r="A382" s="252">
        <v>35</v>
      </c>
      <c r="B382" s="292"/>
      <c r="C382" s="267">
        <v>35500</v>
      </c>
      <c r="D382" s="252" t="s">
        <v>246</v>
      </c>
      <c r="F382" s="655">
        <v>108334463.85000007</v>
      </c>
      <c r="G382" s="329"/>
      <c r="H382" s="655">
        <v>14554865.757551758</v>
      </c>
      <c r="I382" s="329"/>
      <c r="J382" s="655">
        <v>-7300344.7016800009</v>
      </c>
      <c r="K382" s="329"/>
      <c r="L382" s="655">
        <v>-1712678.5382999999</v>
      </c>
      <c r="M382" s="329"/>
      <c r="N382" s="655">
        <v>137085.00569999998</v>
      </c>
      <c r="O382" s="329"/>
      <c r="P382" s="655">
        <v>0</v>
      </c>
      <c r="Q382" s="329"/>
      <c r="R382" s="655">
        <v>114013391.37327184</v>
      </c>
      <c r="S382" s="329"/>
      <c r="T382" s="655">
        <v>110167487.2228418</v>
      </c>
    </row>
    <row r="383" spans="1:20" ht="14.1" customHeight="1" x14ac:dyDescent="0.2">
      <c r="A383" s="252">
        <v>36</v>
      </c>
      <c r="B383" s="292"/>
      <c r="C383" s="267">
        <v>35600</v>
      </c>
      <c r="D383" s="252" t="s">
        <v>247</v>
      </c>
      <c r="F383" s="655">
        <v>27488119.310000062</v>
      </c>
      <c r="G383" s="329"/>
      <c r="H383" s="655">
        <v>4694251.6373155182</v>
      </c>
      <c r="I383" s="329"/>
      <c r="J383" s="655">
        <v>-4340374.8819199996</v>
      </c>
      <c r="K383" s="329"/>
      <c r="L383" s="655">
        <v>-300469.91899999999</v>
      </c>
      <c r="M383" s="329"/>
      <c r="N383" s="655">
        <v>24050.001000000004</v>
      </c>
      <c r="O383" s="329"/>
      <c r="P383" s="655">
        <v>0</v>
      </c>
      <c r="Q383" s="329"/>
      <c r="R383" s="655">
        <v>27565576.147395581</v>
      </c>
      <c r="S383" s="329"/>
      <c r="T383" s="655">
        <v>27077268.018527031</v>
      </c>
    </row>
    <row r="384" spans="1:20" ht="14.1" customHeight="1" x14ac:dyDescent="0.2">
      <c r="A384" s="252">
        <v>37</v>
      </c>
      <c r="B384" s="292"/>
      <c r="C384" s="267">
        <v>35601</v>
      </c>
      <c r="D384" s="252" t="s">
        <v>248</v>
      </c>
      <c r="F384" s="655">
        <v>1653611.5299999914</v>
      </c>
      <c r="G384" s="329"/>
      <c r="H384" s="655">
        <v>42212.202600000011</v>
      </c>
      <c r="I384" s="329"/>
      <c r="J384" s="655">
        <v>0</v>
      </c>
      <c r="K384" s="329"/>
      <c r="L384" s="655">
        <v>0</v>
      </c>
      <c r="M384" s="329"/>
      <c r="N384" s="655">
        <v>0</v>
      </c>
      <c r="O384" s="329"/>
      <c r="P384" s="655">
        <v>0</v>
      </c>
      <c r="Q384" s="329"/>
      <c r="R384" s="655">
        <v>1695823.7325999914</v>
      </c>
      <c r="S384" s="329"/>
      <c r="T384" s="655">
        <v>1674717.6312999914</v>
      </c>
    </row>
    <row r="385" spans="1:20" ht="14.1" customHeight="1" x14ac:dyDescent="0.2">
      <c r="A385" s="252">
        <v>38</v>
      </c>
      <c r="B385" s="292"/>
      <c r="C385" s="267">
        <v>35700</v>
      </c>
      <c r="D385" s="252" t="s">
        <v>249</v>
      </c>
      <c r="F385" s="655">
        <v>1552855.1800000018</v>
      </c>
      <c r="G385" s="329"/>
      <c r="H385" s="655">
        <v>64760.454360000025</v>
      </c>
      <c r="I385" s="329"/>
      <c r="J385" s="655">
        <v>0</v>
      </c>
      <c r="K385" s="329"/>
      <c r="L385" s="655">
        <v>0</v>
      </c>
      <c r="M385" s="329"/>
      <c r="N385" s="655">
        <v>0</v>
      </c>
      <c r="O385" s="329"/>
      <c r="P385" s="655">
        <v>0</v>
      </c>
      <c r="Q385" s="329"/>
      <c r="R385" s="655">
        <v>1617615.6343600019</v>
      </c>
      <c r="S385" s="329"/>
      <c r="T385" s="655">
        <v>1585235.4071800015</v>
      </c>
    </row>
    <row r="386" spans="1:20" ht="14.1" customHeight="1" x14ac:dyDescent="0.2">
      <c r="A386" s="252">
        <v>39</v>
      </c>
      <c r="B386" s="292"/>
      <c r="C386" s="267">
        <v>35800</v>
      </c>
      <c r="D386" s="252" t="s">
        <v>250</v>
      </c>
      <c r="F386" s="655">
        <v>2770733.3699999922</v>
      </c>
      <c r="G386" s="329"/>
      <c r="H386" s="655">
        <v>170313.87346000003</v>
      </c>
      <c r="I386" s="329"/>
      <c r="J386" s="655">
        <v>0</v>
      </c>
      <c r="K386" s="329"/>
      <c r="L386" s="655">
        <v>0</v>
      </c>
      <c r="M386" s="329"/>
      <c r="N386" s="655">
        <v>0</v>
      </c>
      <c r="O386" s="329"/>
      <c r="P386" s="655">
        <v>0</v>
      </c>
      <c r="Q386" s="329"/>
      <c r="R386" s="655">
        <v>2941047.2434599921</v>
      </c>
      <c r="S386" s="329"/>
      <c r="T386" s="655">
        <v>2855890.3067299938</v>
      </c>
    </row>
    <row r="387" spans="1:20" ht="14.1" customHeight="1" x14ac:dyDescent="0.2">
      <c r="A387" s="252">
        <v>40</v>
      </c>
      <c r="B387" s="292"/>
      <c r="C387" s="267">
        <v>35900</v>
      </c>
      <c r="D387" s="282" t="s">
        <v>251</v>
      </c>
      <c r="E387" s="282"/>
      <c r="F387" s="655">
        <v>2560186.6999999979</v>
      </c>
      <c r="G387" s="329"/>
      <c r="H387" s="655">
        <v>241856.31350230004</v>
      </c>
      <c r="I387" s="329"/>
      <c r="J387" s="655">
        <v>-401264.06505999999</v>
      </c>
      <c r="K387" s="329"/>
      <c r="L387" s="655">
        <v>0</v>
      </c>
      <c r="M387" s="329"/>
      <c r="N387" s="655">
        <v>0</v>
      </c>
      <c r="O387" s="329"/>
      <c r="P387" s="655">
        <v>0</v>
      </c>
      <c r="Q387" s="329"/>
      <c r="R387" s="655">
        <v>2400778.948442298</v>
      </c>
      <c r="S387" s="329"/>
      <c r="T387" s="655">
        <v>2527231.3024486052</v>
      </c>
    </row>
    <row r="388" spans="1:20" ht="14.1" customHeight="1" x14ac:dyDescent="0.2">
      <c r="A388" s="252">
        <v>41</v>
      </c>
      <c r="B388" s="273"/>
      <c r="C388" s="269"/>
      <c r="D388" s="282"/>
      <c r="E388" s="282"/>
      <c r="F388" s="721"/>
      <c r="G388" s="602"/>
      <c r="H388" s="721"/>
      <c r="I388" s="602"/>
      <c r="J388" s="721"/>
      <c r="K388" s="602"/>
      <c r="L388" s="721"/>
      <c r="M388" s="602"/>
      <c r="N388" s="721"/>
      <c r="O388" s="602"/>
      <c r="P388" s="721"/>
      <c r="Q388" s="602"/>
      <c r="R388" s="721"/>
      <c r="S388" s="602"/>
      <c r="T388" s="721"/>
    </row>
    <row r="389" spans="1:20" ht="14.1" customHeight="1" thickBot="1" x14ac:dyDescent="0.25">
      <c r="A389" s="252">
        <v>42</v>
      </c>
      <c r="B389" s="273"/>
      <c r="C389" s="269"/>
      <c r="D389" s="300" t="s">
        <v>166</v>
      </c>
      <c r="E389" s="300"/>
      <c r="F389" s="665">
        <v>237371578.45000011</v>
      </c>
      <c r="G389" s="666"/>
      <c r="H389" s="665">
        <v>29412702.677049953</v>
      </c>
      <c r="I389" s="666"/>
      <c r="J389" s="665">
        <v>-20818311.779380001</v>
      </c>
      <c r="K389" s="666"/>
      <c r="L389" s="665">
        <v>-3004699.1900000004</v>
      </c>
      <c r="M389" s="666"/>
      <c r="N389" s="665">
        <v>240500.01</v>
      </c>
      <c r="O389" s="666"/>
      <c r="P389" s="665">
        <v>5325059.2200000007</v>
      </c>
      <c r="Q389" s="666"/>
      <c r="R389" s="665">
        <v>248526829.38767007</v>
      </c>
      <c r="S389" s="666"/>
      <c r="T389" s="665">
        <v>241930327.85337532</v>
      </c>
    </row>
    <row r="390" spans="1:20" ht="14.1" customHeight="1" thickTop="1" x14ac:dyDescent="0.2">
      <c r="A390" s="252">
        <v>43</v>
      </c>
      <c r="B390" s="273"/>
    </row>
    <row r="391" spans="1:20" ht="14.1" customHeight="1" thickBot="1" x14ac:dyDescent="0.25">
      <c r="A391" s="252">
        <v>44</v>
      </c>
      <c r="B391" s="667" t="s">
        <v>186</v>
      </c>
      <c r="C391" s="296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</row>
    <row r="392" spans="1:20" ht="14.1" customHeight="1" x14ac:dyDescent="0.2">
      <c r="A392" s="252" t="s">
        <v>60</v>
      </c>
      <c r="R392" s="252" t="s">
        <v>60</v>
      </c>
    </row>
    <row r="393" spans="1:20" ht="14.1" customHeight="1" thickBot="1" x14ac:dyDescent="0.25">
      <c r="A393" s="264" t="s">
        <v>301</v>
      </c>
      <c r="B393" s="264"/>
      <c r="C393" s="264"/>
      <c r="D393" s="264"/>
      <c r="E393" s="264"/>
      <c r="F393" s="264" t="s">
        <v>302</v>
      </c>
      <c r="G393" s="264"/>
      <c r="H393" s="264"/>
      <c r="I393" s="264"/>
      <c r="J393" s="264"/>
      <c r="K393" s="264"/>
      <c r="L393" s="264"/>
      <c r="M393" s="264"/>
      <c r="N393" s="264"/>
      <c r="O393" s="264"/>
      <c r="P393" s="264"/>
      <c r="Q393" s="264"/>
      <c r="R393" s="264"/>
      <c r="S393" s="264"/>
      <c r="T393" s="264" t="s">
        <v>330</v>
      </c>
    </row>
    <row r="394" spans="1:20" ht="14.1" customHeight="1" x14ac:dyDescent="0.2">
      <c r="A394" s="252" t="s">
        <v>129</v>
      </c>
      <c r="B394" s="285"/>
      <c r="E394" s="260" t="s">
        <v>130</v>
      </c>
      <c r="F394" s="252" t="s">
        <v>303</v>
      </c>
      <c r="J394" s="286"/>
      <c r="K394" s="286"/>
      <c r="P394" s="286"/>
      <c r="Q394" s="286"/>
      <c r="R394" s="286" t="s">
        <v>132</v>
      </c>
      <c r="T394" s="261"/>
    </row>
    <row r="395" spans="1:20" ht="14.1" customHeight="1" x14ac:dyDescent="0.2">
      <c r="B395" s="285"/>
      <c r="F395" s="252" t="s">
        <v>1399</v>
      </c>
      <c r="J395" s="260"/>
      <c r="K395" s="261"/>
      <c r="P395" s="260"/>
      <c r="Q395" s="260" t="s">
        <v>123</v>
      </c>
      <c r="R395" s="261" t="s">
        <v>1361</v>
      </c>
      <c r="T395" s="260"/>
    </row>
    <row r="396" spans="1:20" ht="14.1" customHeight="1" x14ac:dyDescent="0.2">
      <c r="A396" s="252" t="s">
        <v>134</v>
      </c>
      <c r="B396" s="285"/>
      <c r="F396" s="252" t="s">
        <v>123</v>
      </c>
      <c r="J396" s="260"/>
      <c r="K396" s="261"/>
      <c r="L396" s="260"/>
      <c r="N396" s="260"/>
      <c r="Q396" s="260" t="s">
        <v>123</v>
      </c>
      <c r="R396" s="261">
        <v>0</v>
      </c>
      <c r="T396" s="260"/>
    </row>
    <row r="397" spans="1:20" ht="14.1" customHeight="1" x14ac:dyDescent="0.2">
      <c r="B397" s="285"/>
      <c r="F397" s="252" t="s">
        <v>123</v>
      </c>
      <c r="J397" s="260"/>
      <c r="K397" s="261"/>
      <c r="L397" s="260"/>
      <c r="N397" s="260"/>
      <c r="Q397" s="260" t="s">
        <v>123</v>
      </c>
      <c r="R397" s="261"/>
      <c r="T397" s="260"/>
    </row>
    <row r="398" spans="1:20" ht="14.1" customHeight="1" thickBot="1" x14ac:dyDescent="0.25">
      <c r="A398" s="264" t="s">
        <v>135</v>
      </c>
      <c r="B398" s="287"/>
      <c r="C398" s="264"/>
      <c r="D398" s="264"/>
      <c r="E398" s="264"/>
      <c r="F398" s="264" t="s">
        <v>123</v>
      </c>
      <c r="G398" s="264"/>
      <c r="H398" s="266"/>
      <c r="I398" s="264"/>
      <c r="J398" s="264"/>
      <c r="K398" s="264"/>
      <c r="L398" s="264"/>
      <c r="M398" s="264"/>
      <c r="N398" s="264"/>
      <c r="O398" s="264"/>
      <c r="P398" s="264"/>
      <c r="Q398" s="264"/>
      <c r="R398" s="288"/>
      <c r="S398" s="264"/>
      <c r="T398" s="264"/>
    </row>
    <row r="399" spans="1:20" ht="14.1" customHeight="1" x14ac:dyDescent="0.2"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7"/>
      <c r="T399" s="267"/>
    </row>
    <row r="400" spans="1:20" ht="14.1" customHeight="1" x14ac:dyDescent="0.2">
      <c r="C400" s="267" t="s">
        <v>136</v>
      </c>
      <c r="D400" s="267" t="s">
        <v>137</v>
      </c>
      <c r="E400" s="267"/>
      <c r="F400" s="267" t="s">
        <v>138</v>
      </c>
      <c r="G400" s="267"/>
      <c r="H400" s="267" t="s">
        <v>139</v>
      </c>
      <c r="I400" s="267"/>
      <c r="J400" s="269" t="s">
        <v>140</v>
      </c>
      <c r="L400" s="267" t="s">
        <v>141</v>
      </c>
      <c r="M400" s="267"/>
      <c r="N400" s="267" t="s">
        <v>142</v>
      </c>
      <c r="O400" s="267"/>
      <c r="P400" s="267" t="s">
        <v>143</v>
      </c>
      <c r="Q400" s="267"/>
      <c r="R400" s="267" t="s">
        <v>144</v>
      </c>
      <c r="S400" s="267"/>
      <c r="T400" s="267" t="s">
        <v>305</v>
      </c>
    </row>
    <row r="401" spans="1:20" ht="14.1" customHeight="1" x14ac:dyDescent="0.2">
      <c r="C401" s="269" t="s">
        <v>145</v>
      </c>
      <c r="D401" s="269" t="s">
        <v>145</v>
      </c>
      <c r="F401" s="267" t="s">
        <v>41</v>
      </c>
      <c r="G401" s="269"/>
      <c r="H401" s="267" t="s">
        <v>40</v>
      </c>
      <c r="I401" s="269"/>
      <c r="J401" s="267"/>
      <c r="K401" s="269"/>
      <c r="L401" s="269"/>
      <c r="M401" s="269"/>
      <c r="N401" s="269"/>
      <c r="O401" s="269"/>
      <c r="P401" s="269"/>
      <c r="Q401" s="269"/>
      <c r="R401" s="269" t="s">
        <v>41</v>
      </c>
      <c r="T401" s="269"/>
    </row>
    <row r="402" spans="1:20" ht="14.1" customHeight="1" x14ac:dyDescent="0.2">
      <c r="A402" s="252" t="s">
        <v>146</v>
      </c>
      <c r="B402" s="269"/>
      <c r="C402" s="269" t="s">
        <v>147</v>
      </c>
      <c r="D402" s="269" t="s">
        <v>147</v>
      </c>
      <c r="E402" s="267"/>
      <c r="F402" s="269" t="s">
        <v>6</v>
      </c>
      <c r="G402" s="269"/>
      <c r="H402" s="269" t="s">
        <v>6</v>
      </c>
      <c r="I402" s="269"/>
      <c r="J402" s="269"/>
      <c r="K402" s="267"/>
      <c r="L402" s="269" t="s">
        <v>306</v>
      </c>
      <c r="M402" s="269"/>
      <c r="N402" s="269" t="s">
        <v>306</v>
      </c>
      <c r="O402" s="269"/>
      <c r="P402" s="269" t="s">
        <v>150</v>
      </c>
      <c r="Q402" s="267"/>
      <c r="R402" s="267" t="s">
        <v>6</v>
      </c>
      <c r="S402" s="267"/>
      <c r="T402" s="269" t="s">
        <v>151</v>
      </c>
    </row>
    <row r="403" spans="1:20" ht="14.1" customHeight="1" thickBot="1" x14ac:dyDescent="0.25">
      <c r="A403" s="264" t="s">
        <v>152</v>
      </c>
      <c r="B403" s="266"/>
      <c r="C403" s="266" t="s">
        <v>52</v>
      </c>
      <c r="D403" s="266" t="s">
        <v>153</v>
      </c>
      <c r="E403" s="266"/>
      <c r="F403" s="270" t="s">
        <v>154</v>
      </c>
      <c r="G403" s="270"/>
      <c r="H403" s="270" t="s">
        <v>307</v>
      </c>
      <c r="I403" s="271"/>
      <c r="J403" s="270" t="s">
        <v>18</v>
      </c>
      <c r="K403" s="271"/>
      <c r="L403" s="270" t="s">
        <v>19</v>
      </c>
      <c r="M403" s="271"/>
      <c r="N403" s="270" t="s">
        <v>54</v>
      </c>
      <c r="O403" s="271"/>
      <c r="P403" s="272" t="s">
        <v>157</v>
      </c>
      <c r="Q403" s="272"/>
      <c r="R403" s="272" t="s">
        <v>158</v>
      </c>
      <c r="S403" s="272"/>
      <c r="T403" s="272" t="s">
        <v>3</v>
      </c>
    </row>
    <row r="404" spans="1:20" ht="14.1" customHeight="1" x14ac:dyDescent="0.2">
      <c r="A404" s="252">
        <v>1</v>
      </c>
      <c r="B404" s="273"/>
    </row>
    <row r="405" spans="1:20" ht="14.1" customHeight="1" x14ac:dyDescent="0.2">
      <c r="A405" s="252">
        <v>2</v>
      </c>
      <c r="B405" s="273"/>
      <c r="C405" s="269"/>
      <c r="D405" s="83" t="s">
        <v>125</v>
      </c>
      <c r="F405" s="291"/>
      <c r="G405" s="722"/>
      <c r="H405" s="722"/>
      <c r="I405" s="722"/>
      <c r="J405" s="722"/>
      <c r="K405" s="722"/>
      <c r="L405" s="722"/>
      <c r="M405" s="722"/>
      <c r="N405" s="722"/>
      <c r="O405" s="722"/>
      <c r="P405" s="722"/>
      <c r="Q405" s="722"/>
      <c r="R405" s="722"/>
      <c r="S405" s="722"/>
      <c r="T405" s="722"/>
    </row>
    <row r="406" spans="1:20" ht="14.1" customHeight="1" x14ac:dyDescent="0.2">
      <c r="A406" s="252">
        <v>3</v>
      </c>
      <c r="B406" s="273"/>
      <c r="C406" s="269">
        <v>36001</v>
      </c>
      <c r="D406" s="282" t="s">
        <v>242</v>
      </c>
      <c r="E406" s="282"/>
      <c r="F406" s="655"/>
      <c r="G406" s="707"/>
      <c r="H406" s="655"/>
      <c r="I406" s="707"/>
      <c r="J406" s="655"/>
      <c r="K406" s="707"/>
      <c r="L406" s="655"/>
      <c r="M406" s="707"/>
      <c r="N406" s="655"/>
      <c r="O406" s="707"/>
      <c r="P406" s="655"/>
      <c r="Q406" s="707"/>
      <c r="R406" s="655"/>
      <c r="S406" s="707"/>
      <c r="T406" s="655"/>
    </row>
    <row r="407" spans="1:20" ht="14.1" customHeight="1" x14ac:dyDescent="0.2">
      <c r="A407" s="252">
        <v>4</v>
      </c>
      <c r="B407" s="273"/>
      <c r="C407" s="269">
        <v>36100</v>
      </c>
      <c r="D407" s="252" t="s">
        <v>243</v>
      </c>
      <c r="F407" s="655">
        <v>7743420.2599999979</v>
      </c>
      <c r="G407" s="329"/>
      <c r="H407" s="655">
        <v>515476.83743999986</v>
      </c>
      <c r="I407" s="329"/>
      <c r="J407" s="655">
        <v>0</v>
      </c>
      <c r="K407" s="329"/>
      <c r="L407" s="655">
        <v>0</v>
      </c>
      <c r="M407" s="329"/>
      <c r="N407" s="655">
        <v>0</v>
      </c>
      <c r="O407" s="329"/>
      <c r="P407" s="655">
        <v>0</v>
      </c>
      <c r="Q407" s="329"/>
      <c r="R407" s="655">
        <v>8258897.0974399978</v>
      </c>
      <c r="S407" s="329"/>
      <c r="T407" s="655">
        <v>8001158.6787199974</v>
      </c>
    </row>
    <row r="408" spans="1:20" ht="14.1" customHeight="1" x14ac:dyDescent="0.2">
      <c r="A408" s="252">
        <v>5</v>
      </c>
      <c r="B408" s="273"/>
      <c r="C408" s="269">
        <v>36200</v>
      </c>
      <c r="D408" s="252" t="s">
        <v>244</v>
      </c>
      <c r="F408" s="655">
        <v>62818712.009999961</v>
      </c>
      <c r="G408" s="329"/>
      <c r="H408" s="655">
        <v>6285414.8374521928</v>
      </c>
      <c r="I408" s="329"/>
      <c r="J408" s="655">
        <v>-3781611.5894391779</v>
      </c>
      <c r="K408" s="329"/>
      <c r="L408" s="655">
        <v>-1909177.2009999999</v>
      </c>
      <c r="M408" s="329"/>
      <c r="N408" s="655">
        <v>185640.00320000001</v>
      </c>
      <c r="O408" s="329"/>
      <c r="P408" s="655">
        <v>0</v>
      </c>
      <c r="Q408" s="329"/>
      <c r="R408" s="655">
        <v>63598978.060212977</v>
      </c>
      <c r="S408" s="329"/>
      <c r="T408" s="655">
        <v>63312859.199955791</v>
      </c>
    </row>
    <row r="409" spans="1:20" ht="14.1" customHeight="1" x14ac:dyDescent="0.2">
      <c r="A409" s="252">
        <v>6</v>
      </c>
      <c r="B409" s="273"/>
      <c r="C409" s="269">
        <v>36400</v>
      </c>
      <c r="D409" s="252" t="s">
        <v>252</v>
      </c>
      <c r="F409" s="655">
        <v>174478136.83000016</v>
      </c>
      <c r="G409" s="329"/>
      <c r="H409" s="655">
        <v>15247027.585192498</v>
      </c>
      <c r="I409" s="329"/>
      <c r="J409" s="655">
        <v>-21207600.482960001</v>
      </c>
      <c r="K409" s="329"/>
      <c r="L409" s="655">
        <v>-2291012.6412000004</v>
      </c>
      <c r="M409" s="329"/>
      <c r="N409" s="655">
        <v>440895.00760000007</v>
      </c>
      <c r="O409" s="329"/>
      <c r="P409" s="655">
        <v>0</v>
      </c>
      <c r="Q409" s="329"/>
      <c r="R409" s="655">
        <v>166667446.29863268</v>
      </c>
      <c r="S409" s="329"/>
      <c r="T409" s="655">
        <v>170934291.34515083</v>
      </c>
    </row>
    <row r="410" spans="1:20" ht="14.1" customHeight="1" x14ac:dyDescent="0.2">
      <c r="A410" s="252">
        <v>7</v>
      </c>
      <c r="B410" s="273"/>
      <c r="C410" s="269">
        <v>36500</v>
      </c>
      <c r="D410" s="252" t="s">
        <v>247</v>
      </c>
      <c r="F410" s="655">
        <v>146494862.61000004</v>
      </c>
      <c r="G410" s="329"/>
      <c r="H410" s="655">
        <v>8308461.5056514852</v>
      </c>
      <c r="I410" s="329"/>
      <c r="J410" s="655">
        <v>-906080.7138400001</v>
      </c>
      <c r="K410" s="329"/>
      <c r="L410" s="655">
        <v>-1336424.0407000002</v>
      </c>
      <c r="M410" s="329"/>
      <c r="N410" s="655">
        <v>92820.001600000003</v>
      </c>
      <c r="O410" s="329"/>
      <c r="P410" s="655">
        <v>0</v>
      </c>
      <c r="Q410" s="329"/>
      <c r="R410" s="655">
        <v>152653639.36271152</v>
      </c>
      <c r="S410" s="329"/>
      <c r="T410" s="655">
        <v>149594093.92962745</v>
      </c>
    </row>
    <row r="411" spans="1:20" ht="14.1" customHeight="1" x14ac:dyDescent="0.2">
      <c r="A411" s="252">
        <v>8</v>
      </c>
      <c r="B411" s="273"/>
      <c r="C411" s="269">
        <v>36600</v>
      </c>
      <c r="D411" s="252" t="s">
        <v>249</v>
      </c>
      <c r="F411" s="655">
        <v>76782571.370000109</v>
      </c>
      <c r="G411" s="329"/>
      <c r="H411" s="655">
        <v>5672888.3015701454</v>
      </c>
      <c r="I411" s="329"/>
      <c r="J411" s="655">
        <v>-5428265.0036576809</v>
      </c>
      <c r="K411" s="329"/>
      <c r="L411" s="655">
        <v>-1336424.0407000002</v>
      </c>
      <c r="M411" s="329"/>
      <c r="N411" s="655">
        <v>301665.00520000001</v>
      </c>
      <c r="O411" s="329"/>
      <c r="P411" s="655">
        <v>0</v>
      </c>
      <c r="Q411" s="329"/>
      <c r="R411" s="655">
        <v>75992435.632412568</v>
      </c>
      <c r="S411" s="329"/>
      <c r="T411" s="655">
        <v>76530506.183185607</v>
      </c>
    </row>
    <row r="412" spans="1:20" ht="14.1" customHeight="1" x14ac:dyDescent="0.2">
      <c r="A412" s="252">
        <v>9</v>
      </c>
      <c r="B412" s="273"/>
      <c r="C412" s="269">
        <v>36700</v>
      </c>
      <c r="D412" s="252" t="s">
        <v>250</v>
      </c>
      <c r="F412" s="655">
        <v>78532627.000000015</v>
      </c>
      <c r="G412" s="329"/>
      <c r="H412" s="655">
        <v>10693778.528904812</v>
      </c>
      <c r="I412" s="329"/>
      <c r="J412" s="655">
        <v>-22333249.840280004</v>
      </c>
      <c r="K412" s="329"/>
      <c r="L412" s="655">
        <v>-2863765.8015000001</v>
      </c>
      <c r="M412" s="329"/>
      <c r="N412" s="655">
        <v>208845.00359999997</v>
      </c>
      <c r="O412" s="329"/>
      <c r="P412" s="655">
        <v>0</v>
      </c>
      <c r="Q412" s="329"/>
      <c r="R412" s="655">
        <v>64238234.890724823</v>
      </c>
      <c r="S412" s="329"/>
      <c r="T412" s="655">
        <v>72152764.194397628</v>
      </c>
    </row>
    <row r="413" spans="1:20" ht="14.1" customHeight="1" x14ac:dyDescent="0.2">
      <c r="A413" s="252">
        <v>10</v>
      </c>
      <c r="B413" s="273"/>
      <c r="C413" s="269">
        <v>36800</v>
      </c>
      <c r="D413" s="252" t="s">
        <v>253</v>
      </c>
      <c r="F413" s="655">
        <v>285186561.36999953</v>
      </c>
      <c r="G413" s="329"/>
      <c r="H413" s="655">
        <v>33617579.754370064</v>
      </c>
      <c r="I413" s="329"/>
      <c r="J413" s="655">
        <v>-30127183.735179998</v>
      </c>
      <c r="K413" s="329"/>
      <c r="L413" s="655">
        <v>-6682120.2034999989</v>
      </c>
      <c r="M413" s="329"/>
      <c r="N413" s="655">
        <v>881790.01520000014</v>
      </c>
      <c r="O413" s="329"/>
      <c r="P413" s="655">
        <v>0</v>
      </c>
      <c r="Q413" s="329"/>
      <c r="R413" s="655">
        <v>282876627.20088965</v>
      </c>
      <c r="S413" s="329"/>
      <c r="T413" s="655">
        <v>284819667.12961715</v>
      </c>
    </row>
    <row r="414" spans="1:20" ht="14.1" customHeight="1" x14ac:dyDescent="0.2">
      <c r="A414" s="252">
        <v>11</v>
      </c>
      <c r="B414" s="273"/>
      <c r="C414" s="269">
        <v>36900</v>
      </c>
      <c r="D414" s="252" t="s">
        <v>254</v>
      </c>
      <c r="F414" s="655">
        <v>61553514.859999985</v>
      </c>
      <c r="G414" s="329"/>
      <c r="H414" s="655">
        <v>2685623.4148320109</v>
      </c>
      <c r="I414" s="329"/>
      <c r="J414" s="655">
        <v>-202872.42135764108</v>
      </c>
      <c r="K414" s="329"/>
      <c r="L414" s="655">
        <v>0</v>
      </c>
      <c r="M414" s="329"/>
      <c r="N414" s="655">
        <v>23205.000400000001</v>
      </c>
      <c r="O414" s="329"/>
      <c r="P414" s="655">
        <v>0</v>
      </c>
      <c r="Q414" s="329"/>
      <c r="R414" s="655">
        <v>64059470.853874356</v>
      </c>
      <c r="S414" s="329"/>
      <c r="T414" s="655">
        <v>62807859.560453378</v>
      </c>
    </row>
    <row r="415" spans="1:20" ht="14.1" customHeight="1" x14ac:dyDescent="0.2">
      <c r="A415" s="252">
        <v>12</v>
      </c>
      <c r="B415" s="273"/>
      <c r="C415" s="269">
        <v>36902</v>
      </c>
      <c r="D415" s="252" t="s">
        <v>255</v>
      </c>
      <c r="F415" s="655">
        <v>63487128.920000054</v>
      </c>
      <c r="G415" s="329"/>
      <c r="H415" s="655">
        <v>3663503.6227574414</v>
      </c>
      <c r="I415" s="329"/>
      <c r="J415" s="655">
        <v>-906080.7138400001</v>
      </c>
      <c r="K415" s="329"/>
      <c r="L415" s="655">
        <v>0</v>
      </c>
      <c r="M415" s="329"/>
      <c r="N415" s="655">
        <v>46410.000800000002</v>
      </c>
      <c r="O415" s="329"/>
      <c r="P415" s="655">
        <v>0</v>
      </c>
      <c r="Q415" s="329"/>
      <c r="R415" s="655">
        <v>66290961.829717495</v>
      </c>
      <c r="S415" s="329"/>
      <c r="T415" s="655">
        <v>64909381.767985232</v>
      </c>
    </row>
    <row r="416" spans="1:20" ht="14.1" customHeight="1" x14ac:dyDescent="0.2">
      <c r="A416" s="252">
        <v>13</v>
      </c>
      <c r="B416" s="273"/>
      <c r="C416" s="269">
        <v>37000</v>
      </c>
      <c r="D416" s="252" t="s">
        <v>256</v>
      </c>
      <c r="F416" s="655">
        <v>28736439.250000004</v>
      </c>
      <c r="G416" s="329"/>
      <c r="H416" s="655">
        <v>5669883.6578834401</v>
      </c>
      <c r="I416" s="329"/>
      <c r="J416" s="655">
        <v>-75818010.191459998</v>
      </c>
      <c r="K416" s="329"/>
      <c r="L416" s="655">
        <v>-1336424.0407000002</v>
      </c>
      <c r="M416" s="329"/>
      <c r="N416" s="655">
        <v>178230.02240000002</v>
      </c>
      <c r="O416" s="329"/>
      <c r="P416" s="655">
        <v>36146871.177604727</v>
      </c>
      <c r="Q416" s="329"/>
      <c r="R416" s="655">
        <v>-6423010.1242718333</v>
      </c>
      <c r="S416" s="329"/>
      <c r="T416" s="655">
        <v>23397648.67818626</v>
      </c>
    </row>
    <row r="417" spans="1:24" ht="14.1" customHeight="1" x14ac:dyDescent="0.2">
      <c r="A417" s="252">
        <v>14</v>
      </c>
      <c r="B417" s="273"/>
      <c r="C417" s="269">
        <v>37001</v>
      </c>
      <c r="D417" s="252" t="s">
        <v>1383</v>
      </c>
      <c r="F417" s="655">
        <v>0</v>
      </c>
      <c r="H417" s="655">
        <v>0</v>
      </c>
      <c r="I417" s="329"/>
      <c r="J417" s="655">
        <v>0</v>
      </c>
      <c r="K417" s="329"/>
      <c r="L417" s="655">
        <v>0</v>
      </c>
      <c r="M417" s="329"/>
      <c r="N417" s="655">
        <v>0</v>
      </c>
      <c r="O417" s="329"/>
      <c r="P417" s="655">
        <v>0</v>
      </c>
      <c r="Q417" s="329"/>
      <c r="R417" s="655">
        <v>0</v>
      </c>
      <c r="S417" s="329"/>
      <c r="T417" s="655">
        <v>0</v>
      </c>
    </row>
    <row r="418" spans="1:24" ht="14.1" customHeight="1" x14ac:dyDescent="0.2">
      <c r="A418" s="252">
        <v>15</v>
      </c>
      <c r="B418" s="273"/>
      <c r="C418" s="269">
        <v>37300</v>
      </c>
      <c r="D418" s="252" t="s">
        <v>257</v>
      </c>
      <c r="F418" s="655">
        <v>127819364.52000009</v>
      </c>
      <c r="G418" s="329"/>
      <c r="H418" s="655">
        <v>16854184.39526999</v>
      </c>
      <c r="I418" s="329"/>
      <c r="J418" s="655">
        <v>-19924977.929999996</v>
      </c>
      <c r="K418" s="329"/>
      <c r="L418" s="655">
        <v>-1357604.0407000002</v>
      </c>
      <c r="M418" s="329"/>
      <c r="N418" s="655">
        <v>0</v>
      </c>
      <c r="O418" s="329"/>
      <c r="P418" s="655">
        <v>5497500</v>
      </c>
      <c r="Q418" s="329"/>
      <c r="R418" s="655">
        <v>128888466.94457009</v>
      </c>
      <c r="S418" s="329"/>
      <c r="T418" s="655">
        <v>128081179.29464236</v>
      </c>
    </row>
    <row r="419" spans="1:24" ht="14.1" customHeight="1" x14ac:dyDescent="0.2">
      <c r="A419" s="252">
        <v>16</v>
      </c>
      <c r="B419" s="273"/>
      <c r="D419" s="280"/>
      <c r="E419" s="280"/>
      <c r="F419" s="721"/>
      <c r="G419" s="602"/>
      <c r="H419" s="721"/>
      <c r="I419" s="602"/>
      <c r="J419" s="721"/>
      <c r="K419" s="602"/>
      <c r="L419" s="721"/>
      <c r="M419" s="602"/>
      <c r="N419" s="721"/>
      <c r="O419" s="602"/>
      <c r="P419" s="721"/>
      <c r="Q419" s="602"/>
      <c r="R419" s="721"/>
      <c r="S419" s="602"/>
      <c r="T419" s="721"/>
    </row>
    <row r="420" spans="1:24" ht="14.1" customHeight="1" thickBot="1" x14ac:dyDescent="0.25">
      <c r="A420" s="252">
        <v>17</v>
      </c>
      <c r="B420" s="273"/>
      <c r="D420" s="83" t="s">
        <v>169</v>
      </c>
      <c r="E420" s="83"/>
      <c r="F420" s="665">
        <v>1113633339</v>
      </c>
      <c r="G420" s="666"/>
      <c r="H420" s="665">
        <v>109213822.44132407</v>
      </c>
      <c r="I420" s="666"/>
      <c r="J420" s="665">
        <v>-180635932.62201452</v>
      </c>
      <c r="K420" s="666"/>
      <c r="L420" s="665">
        <v>-19112952.009999998</v>
      </c>
      <c r="M420" s="666"/>
      <c r="N420" s="665">
        <v>2359500.06</v>
      </c>
      <c r="O420" s="666"/>
      <c r="P420" s="665">
        <v>41644371.177604727</v>
      </c>
      <c r="Q420" s="666"/>
      <c r="R420" s="665">
        <v>1067102148.0469142</v>
      </c>
      <c r="S420" s="666"/>
      <c r="T420" s="665">
        <v>1104541409.9619219</v>
      </c>
    </row>
    <row r="421" spans="1:24" ht="14.1" customHeight="1" thickTop="1" x14ac:dyDescent="0.2">
      <c r="A421" s="252">
        <v>18</v>
      </c>
      <c r="B421" s="273"/>
    </row>
    <row r="422" spans="1:24" ht="14.1" customHeight="1" x14ac:dyDescent="0.2">
      <c r="A422" s="252">
        <v>19</v>
      </c>
      <c r="B422" s="273"/>
      <c r="D422" s="298" t="s">
        <v>126</v>
      </c>
      <c r="E422" s="280"/>
      <c r="F422" s="707"/>
      <c r="G422" s="602"/>
      <c r="H422" s="706"/>
      <c r="I422" s="602"/>
      <c r="J422" s="706"/>
      <c r="K422" s="602"/>
      <c r="L422" s="706"/>
      <c r="M422" s="602"/>
      <c r="N422" s="706"/>
      <c r="O422" s="602"/>
      <c r="P422" s="706"/>
      <c r="Q422" s="602"/>
      <c r="R422" s="706"/>
      <c r="S422" s="602"/>
      <c r="T422" s="706"/>
    </row>
    <row r="423" spans="1:24" ht="14.1" customHeight="1" x14ac:dyDescent="0.2">
      <c r="A423" s="252">
        <v>20</v>
      </c>
      <c r="B423" s="273"/>
      <c r="C423" s="269">
        <v>39000</v>
      </c>
      <c r="D423" s="682" t="s">
        <v>243</v>
      </c>
      <c r="F423" s="655">
        <v>52478431.770000033</v>
      </c>
      <c r="G423" s="329"/>
      <c r="H423" s="655">
        <v>3061736.3660393199</v>
      </c>
      <c r="I423" s="329"/>
      <c r="J423" s="655">
        <v>-2476874.380680454</v>
      </c>
      <c r="K423" s="329"/>
      <c r="L423" s="655">
        <v>-49555.35</v>
      </c>
      <c r="M423" s="329"/>
      <c r="N423" s="655">
        <v>0</v>
      </c>
      <c r="O423" s="329"/>
      <c r="P423" s="655">
        <v>12984.947499999998</v>
      </c>
      <c r="Q423" s="329"/>
      <c r="R423" s="655">
        <v>53026723.352858894</v>
      </c>
      <c r="S423" s="329"/>
      <c r="T423" s="655">
        <v>52299778.301833645</v>
      </c>
    </row>
    <row r="424" spans="1:24" ht="14.1" customHeight="1" x14ac:dyDescent="0.2">
      <c r="A424" s="252">
        <v>21</v>
      </c>
      <c r="B424" s="273"/>
      <c r="C424" s="269">
        <v>39101</v>
      </c>
      <c r="D424" s="682" t="s">
        <v>258</v>
      </c>
      <c r="E424" s="283"/>
      <c r="F424" s="655">
        <v>2853653.25</v>
      </c>
      <c r="G424" s="329"/>
      <c r="H424" s="655">
        <v>822115.25598583347</v>
      </c>
      <c r="I424" s="329"/>
      <c r="J424" s="655">
        <v>-103699.06</v>
      </c>
      <c r="K424" s="329"/>
      <c r="L424" s="655">
        <v>0</v>
      </c>
      <c r="M424" s="329"/>
      <c r="N424" s="655">
        <v>0</v>
      </c>
      <c r="O424" s="329"/>
      <c r="P424" s="655">
        <v>0</v>
      </c>
      <c r="Q424" s="329"/>
      <c r="R424" s="655">
        <v>3572069.4459858336</v>
      </c>
      <c r="S424" s="329"/>
      <c r="T424" s="655">
        <v>3251971.6628273074</v>
      </c>
    </row>
    <row r="425" spans="1:24" ht="14.1" customHeight="1" x14ac:dyDescent="0.2">
      <c r="A425" s="252">
        <v>22</v>
      </c>
      <c r="B425" s="273"/>
      <c r="C425" s="269">
        <v>39102</v>
      </c>
      <c r="D425" s="682" t="s">
        <v>259</v>
      </c>
      <c r="E425" s="283"/>
      <c r="F425" s="655">
        <v>676569.58000000019</v>
      </c>
      <c r="G425" s="329"/>
      <c r="H425" s="655">
        <v>1401743.4412499997</v>
      </c>
      <c r="I425" s="329"/>
      <c r="J425" s="655">
        <v>-515913.18</v>
      </c>
      <c r="K425" s="329"/>
      <c r="L425" s="655">
        <v>0</v>
      </c>
      <c r="M425" s="329"/>
      <c r="N425" s="655">
        <v>0</v>
      </c>
      <c r="O425" s="329"/>
      <c r="P425" s="655">
        <v>0</v>
      </c>
      <c r="Q425" s="329"/>
      <c r="R425" s="655">
        <v>1562399.8412499998</v>
      </c>
      <c r="S425" s="329"/>
      <c r="T425" s="655">
        <v>1140135.2087339745</v>
      </c>
    </row>
    <row r="426" spans="1:24" ht="14.1" customHeight="1" x14ac:dyDescent="0.2">
      <c r="A426" s="252">
        <v>23</v>
      </c>
      <c r="B426" s="273"/>
      <c r="C426" s="269">
        <v>39103</v>
      </c>
      <c r="D426" s="682" t="s">
        <v>260</v>
      </c>
      <c r="F426" s="655">
        <v>0</v>
      </c>
      <c r="G426" s="329"/>
      <c r="H426" s="655">
        <v>0</v>
      </c>
      <c r="I426" s="329"/>
      <c r="J426" s="655">
        <v>0</v>
      </c>
      <c r="K426" s="329"/>
      <c r="L426" s="655">
        <v>0</v>
      </c>
      <c r="M426" s="329"/>
      <c r="N426" s="655">
        <v>0</v>
      </c>
      <c r="O426" s="329"/>
      <c r="P426" s="655">
        <v>0</v>
      </c>
      <c r="Q426" s="329"/>
      <c r="R426" s="655">
        <v>0</v>
      </c>
      <c r="S426" s="329"/>
      <c r="T426" s="655">
        <v>0</v>
      </c>
    </row>
    <row r="427" spans="1:24" ht="14.1" customHeight="1" x14ac:dyDescent="0.2">
      <c r="A427" s="252">
        <v>24</v>
      </c>
      <c r="B427" s="273"/>
      <c r="C427" s="269">
        <v>39104</v>
      </c>
      <c r="D427" s="682" t="s">
        <v>261</v>
      </c>
      <c r="F427" s="655">
        <v>19525595.959999997</v>
      </c>
      <c r="G427" s="329"/>
      <c r="H427" s="655">
        <v>7590106.9699999997</v>
      </c>
      <c r="I427" s="329"/>
      <c r="J427" s="655">
        <v>0</v>
      </c>
      <c r="K427" s="329"/>
      <c r="L427" s="655">
        <v>0</v>
      </c>
      <c r="M427" s="329"/>
      <c r="N427" s="655">
        <v>0</v>
      </c>
      <c r="O427" s="329"/>
      <c r="P427" s="655">
        <v>0</v>
      </c>
      <c r="Q427" s="329"/>
      <c r="R427" s="655">
        <v>27115702.929999996</v>
      </c>
      <c r="S427" s="329"/>
      <c r="T427" s="655">
        <v>23320649.444999997</v>
      </c>
    </row>
    <row r="428" spans="1:24" s="83" customFormat="1" ht="14.1" customHeight="1" x14ac:dyDescent="0.2">
      <c r="A428" s="83">
        <v>25</v>
      </c>
      <c r="B428" s="698"/>
      <c r="C428" s="301">
        <v>39202</v>
      </c>
      <c r="D428" s="683" t="s">
        <v>262</v>
      </c>
      <c r="E428" s="252"/>
      <c r="F428" s="655">
        <v>2079201.7099999988</v>
      </c>
      <c r="G428" s="329"/>
      <c r="H428" s="655">
        <v>1032459.1066573339</v>
      </c>
      <c r="I428" s="329"/>
      <c r="J428" s="655">
        <v>-4159467.6149999993</v>
      </c>
      <c r="K428" s="329"/>
      <c r="L428" s="655">
        <v>0</v>
      </c>
      <c r="M428" s="329"/>
      <c r="N428" s="655">
        <v>367500</v>
      </c>
      <c r="O428" s="329"/>
      <c r="P428" s="655">
        <v>0</v>
      </c>
      <c r="Q428" s="329"/>
      <c r="R428" s="655">
        <v>-680306.79834266659</v>
      </c>
      <c r="S428" s="329"/>
      <c r="T428" s="655">
        <v>97454.223860435639</v>
      </c>
      <c r="X428" s="333"/>
    </row>
    <row r="429" spans="1:24" ht="14.1" customHeight="1" x14ac:dyDescent="0.2">
      <c r="A429" s="252">
        <v>26</v>
      </c>
      <c r="B429" s="273"/>
      <c r="C429" s="269">
        <v>39203</v>
      </c>
      <c r="D429" s="683" t="s">
        <v>263</v>
      </c>
      <c r="F429" s="655">
        <v>14707912.560000002</v>
      </c>
      <c r="G429" s="329"/>
      <c r="H429" s="655">
        <v>2750931.1142700003</v>
      </c>
      <c r="I429" s="329"/>
      <c r="J429" s="655">
        <v>0</v>
      </c>
      <c r="K429" s="329"/>
      <c r="L429" s="655">
        <v>0</v>
      </c>
      <c r="M429" s="329"/>
      <c r="N429" s="655">
        <v>0</v>
      </c>
      <c r="O429" s="329"/>
      <c r="P429" s="655">
        <v>0</v>
      </c>
      <c r="Q429" s="329"/>
      <c r="R429" s="655">
        <v>17458843.674270004</v>
      </c>
      <c r="S429" s="329"/>
      <c r="T429" s="655">
        <v>16083378.117135001</v>
      </c>
    </row>
    <row r="430" spans="1:24" ht="14.1" customHeight="1" x14ac:dyDescent="0.2">
      <c r="A430" s="252">
        <v>27</v>
      </c>
      <c r="B430" s="273"/>
      <c r="C430" s="269">
        <v>39204</v>
      </c>
      <c r="D430" s="684" t="s">
        <v>264</v>
      </c>
      <c r="E430" s="282"/>
      <c r="F430" s="655">
        <v>-1.5279510989785194E-10</v>
      </c>
      <c r="G430" s="329"/>
      <c r="H430" s="655">
        <v>0</v>
      </c>
      <c r="I430" s="329"/>
      <c r="J430" s="655">
        <v>0</v>
      </c>
      <c r="K430" s="329"/>
      <c r="L430" s="655">
        <v>0</v>
      </c>
      <c r="M430" s="329"/>
      <c r="N430" s="655">
        <v>0</v>
      </c>
      <c r="O430" s="329"/>
      <c r="P430" s="655">
        <v>0</v>
      </c>
      <c r="Q430" s="329"/>
      <c r="R430" s="655">
        <v>-1.5279510989785194E-10</v>
      </c>
      <c r="S430" s="329"/>
      <c r="T430" s="655">
        <v>-1.5279510989785194E-10</v>
      </c>
    </row>
    <row r="431" spans="1:24" ht="14.1" customHeight="1" x14ac:dyDescent="0.2">
      <c r="A431" s="252">
        <v>28</v>
      </c>
      <c r="B431" s="273"/>
      <c r="C431" s="301">
        <v>39212</v>
      </c>
      <c r="D431" s="682" t="s">
        <v>265</v>
      </c>
      <c r="F431" s="655">
        <v>1319417.090000001</v>
      </c>
      <c r="G431" s="329"/>
      <c r="H431" s="655">
        <v>206172.02628000008</v>
      </c>
      <c r="I431" s="329"/>
      <c r="J431" s="655">
        <v>-300000</v>
      </c>
      <c r="K431" s="329"/>
      <c r="L431" s="655">
        <v>0</v>
      </c>
      <c r="M431" s="329"/>
      <c r="N431" s="655">
        <v>0</v>
      </c>
      <c r="O431" s="329"/>
      <c r="P431" s="655">
        <v>0</v>
      </c>
      <c r="Q431" s="329"/>
      <c r="R431" s="655">
        <v>1225589.1162800011</v>
      </c>
      <c r="S431" s="329"/>
      <c r="T431" s="655">
        <v>1292248.2954476927</v>
      </c>
    </row>
    <row r="432" spans="1:24" ht="14.1" customHeight="1" x14ac:dyDescent="0.2">
      <c r="A432" s="252">
        <v>29</v>
      </c>
      <c r="B432" s="273"/>
      <c r="C432" s="269">
        <v>39213</v>
      </c>
      <c r="D432" s="682" t="s">
        <v>266</v>
      </c>
      <c r="F432" s="655">
        <v>102043.15999999996</v>
      </c>
      <c r="G432" s="329"/>
      <c r="H432" s="655">
        <v>27444.33781999999</v>
      </c>
      <c r="I432" s="329"/>
      <c r="J432" s="655">
        <v>0</v>
      </c>
      <c r="K432" s="329"/>
      <c r="L432" s="655">
        <v>0</v>
      </c>
      <c r="M432" s="329"/>
      <c r="N432" s="655">
        <v>0</v>
      </c>
      <c r="O432" s="329"/>
      <c r="P432" s="655">
        <v>0</v>
      </c>
      <c r="Q432" s="329"/>
      <c r="R432" s="655">
        <v>129487.49781999995</v>
      </c>
      <c r="S432" s="329"/>
      <c r="T432" s="655">
        <v>115765.32890999998</v>
      </c>
    </row>
    <row r="433" spans="1:20" ht="14.1" customHeight="1" x14ac:dyDescent="0.2">
      <c r="A433" s="252">
        <v>30</v>
      </c>
      <c r="B433" s="273"/>
      <c r="C433" s="269">
        <v>39214</v>
      </c>
      <c r="D433" s="685" t="s">
        <v>267</v>
      </c>
      <c r="E433" s="282"/>
      <c r="F433" s="655">
        <v>0</v>
      </c>
      <c r="G433" s="329"/>
      <c r="H433" s="655">
        <v>0</v>
      </c>
      <c r="I433" s="329"/>
      <c r="J433" s="655">
        <v>0</v>
      </c>
      <c r="K433" s="329"/>
      <c r="L433" s="655">
        <v>0</v>
      </c>
      <c r="M433" s="329"/>
      <c r="N433" s="655">
        <v>0</v>
      </c>
      <c r="O433" s="329"/>
      <c r="P433" s="655">
        <v>0</v>
      </c>
      <c r="Q433" s="329"/>
      <c r="R433" s="655">
        <v>0</v>
      </c>
      <c r="S433" s="329"/>
      <c r="T433" s="655">
        <v>0</v>
      </c>
    </row>
    <row r="434" spans="1:20" ht="14.1" customHeight="1" x14ac:dyDescent="0.2">
      <c r="A434" s="252">
        <v>31</v>
      </c>
      <c r="B434" s="273"/>
      <c r="C434" s="269">
        <v>39300</v>
      </c>
      <c r="D434" s="685" t="s">
        <v>268</v>
      </c>
      <c r="E434" s="282"/>
      <c r="F434" s="655">
        <v>0</v>
      </c>
      <c r="G434" s="329"/>
      <c r="H434" s="655">
        <v>0</v>
      </c>
      <c r="I434" s="329"/>
      <c r="J434" s="655">
        <v>0</v>
      </c>
      <c r="K434" s="329"/>
      <c r="L434" s="655">
        <v>0</v>
      </c>
      <c r="M434" s="329"/>
      <c r="N434" s="655">
        <v>0</v>
      </c>
      <c r="O434" s="329"/>
      <c r="P434" s="655">
        <v>0</v>
      </c>
      <c r="Q434" s="329"/>
      <c r="R434" s="655">
        <v>0</v>
      </c>
      <c r="S434" s="329"/>
      <c r="T434" s="655">
        <v>0</v>
      </c>
    </row>
    <row r="435" spans="1:20" ht="14.1" customHeight="1" x14ac:dyDescent="0.2">
      <c r="A435" s="252">
        <v>32</v>
      </c>
      <c r="B435" s="273"/>
      <c r="C435" s="269">
        <v>39400</v>
      </c>
      <c r="D435" s="282" t="s">
        <v>269</v>
      </c>
      <c r="E435" s="282"/>
      <c r="F435" s="655">
        <v>7048421.6300000018</v>
      </c>
      <c r="G435" s="329"/>
      <c r="H435" s="655">
        <v>2030046.3440399994</v>
      </c>
      <c r="I435" s="329"/>
      <c r="J435" s="655">
        <v>-309651.98</v>
      </c>
      <c r="K435" s="329"/>
      <c r="L435" s="655">
        <v>-916.22</v>
      </c>
      <c r="M435" s="329"/>
      <c r="N435" s="655">
        <v>0</v>
      </c>
      <c r="O435" s="329"/>
      <c r="P435" s="655">
        <v>0</v>
      </c>
      <c r="Q435" s="329"/>
      <c r="R435" s="655">
        <v>8767899.7740400005</v>
      </c>
      <c r="S435" s="329"/>
      <c r="T435" s="655">
        <v>7997254.2607424371</v>
      </c>
    </row>
    <row r="436" spans="1:20" ht="14.1" customHeight="1" x14ac:dyDescent="0.2">
      <c r="A436" s="252">
        <v>33</v>
      </c>
      <c r="B436" s="273"/>
      <c r="C436" s="269">
        <v>39401</v>
      </c>
      <c r="D436" s="685" t="s">
        <v>1384</v>
      </c>
      <c r="F436" s="655">
        <v>0</v>
      </c>
      <c r="G436" s="329"/>
      <c r="H436" s="655">
        <v>522500.01516666665</v>
      </c>
      <c r="I436" s="329"/>
      <c r="J436" s="655">
        <v>0</v>
      </c>
      <c r="K436" s="329"/>
      <c r="L436" s="655">
        <v>0</v>
      </c>
      <c r="M436" s="329"/>
      <c r="N436" s="655">
        <v>0</v>
      </c>
      <c r="O436" s="329"/>
      <c r="P436" s="655">
        <v>0</v>
      </c>
      <c r="Q436" s="329"/>
      <c r="R436" s="655">
        <v>522500.01516666665</v>
      </c>
      <c r="S436" s="329"/>
      <c r="T436" s="655">
        <v>160192.31235897433</v>
      </c>
    </row>
    <row r="437" spans="1:20" ht="14.1" customHeight="1" x14ac:dyDescent="0.2">
      <c r="A437" s="252">
        <v>34</v>
      </c>
      <c r="B437" s="273"/>
      <c r="C437" s="269">
        <v>39500</v>
      </c>
      <c r="D437" s="252" t="s">
        <v>270</v>
      </c>
      <c r="F437" s="655">
        <v>926740.82</v>
      </c>
      <c r="G437" s="329"/>
      <c r="H437" s="655">
        <v>356107.82421500003</v>
      </c>
      <c r="I437" s="329"/>
      <c r="J437" s="655">
        <v>-63590.82</v>
      </c>
      <c r="K437" s="329"/>
      <c r="L437" s="655">
        <v>0</v>
      </c>
      <c r="M437" s="329"/>
      <c r="N437" s="655">
        <v>0</v>
      </c>
      <c r="O437" s="329"/>
      <c r="P437" s="655">
        <v>0</v>
      </c>
      <c r="Q437" s="329"/>
      <c r="R437" s="655">
        <v>1219257.8242149998</v>
      </c>
      <c r="S437" s="329"/>
      <c r="T437" s="655">
        <v>1091532.5158898721</v>
      </c>
    </row>
    <row r="438" spans="1:20" ht="14.1" customHeight="1" x14ac:dyDescent="0.2">
      <c r="A438" s="252">
        <v>35</v>
      </c>
      <c r="B438" s="273"/>
      <c r="C438" s="269">
        <v>39600</v>
      </c>
      <c r="D438" s="252" t="s">
        <v>271</v>
      </c>
      <c r="F438" s="655">
        <v>0</v>
      </c>
      <c r="G438" s="329"/>
      <c r="H438" s="655">
        <v>0</v>
      </c>
      <c r="I438" s="329"/>
      <c r="J438" s="655">
        <v>0</v>
      </c>
      <c r="K438" s="329"/>
      <c r="L438" s="655">
        <v>0</v>
      </c>
      <c r="M438" s="329"/>
      <c r="N438" s="655">
        <v>0</v>
      </c>
      <c r="O438" s="329"/>
      <c r="P438" s="655">
        <v>0</v>
      </c>
      <c r="Q438" s="329"/>
      <c r="R438" s="655">
        <v>0</v>
      </c>
      <c r="S438" s="329"/>
      <c r="T438" s="655">
        <v>0</v>
      </c>
    </row>
    <row r="439" spans="1:20" ht="14.1" customHeight="1" x14ac:dyDescent="0.2">
      <c r="A439" s="252">
        <v>36</v>
      </c>
      <c r="B439" s="273"/>
      <c r="C439" s="269">
        <v>39700</v>
      </c>
      <c r="D439" s="282" t="s">
        <v>272</v>
      </c>
      <c r="E439" s="282"/>
      <c r="F439" s="655">
        <v>16555521.080000002</v>
      </c>
      <c r="G439" s="329"/>
      <c r="H439" s="655">
        <v>5719537.1660808343</v>
      </c>
      <c r="I439" s="329"/>
      <c r="J439" s="655">
        <v>-1356834.4899999998</v>
      </c>
      <c r="K439" s="329"/>
      <c r="L439" s="655">
        <v>917.78</v>
      </c>
      <c r="M439" s="329"/>
      <c r="N439" s="655">
        <v>0</v>
      </c>
      <c r="O439" s="329"/>
      <c r="P439" s="655">
        <v>0</v>
      </c>
      <c r="Q439" s="329"/>
      <c r="R439" s="655">
        <v>20919141.536080841</v>
      </c>
      <c r="S439" s="329"/>
      <c r="T439" s="655">
        <v>19068035.849923141</v>
      </c>
    </row>
    <row r="440" spans="1:20" ht="14.1" customHeight="1" x14ac:dyDescent="0.2">
      <c r="A440" s="252">
        <v>37</v>
      </c>
      <c r="B440" s="273"/>
      <c r="C440" s="267">
        <v>39725</v>
      </c>
      <c r="D440" s="282" t="s">
        <v>273</v>
      </c>
      <c r="E440" s="282"/>
      <c r="F440" s="655">
        <v>25286027.789999973</v>
      </c>
      <c r="G440" s="329"/>
      <c r="H440" s="655">
        <v>1841856.9130442496</v>
      </c>
      <c r="I440" s="329"/>
      <c r="J440" s="655">
        <v>-100809.289</v>
      </c>
      <c r="K440" s="329"/>
      <c r="L440" s="655">
        <v>0</v>
      </c>
      <c r="M440" s="329"/>
      <c r="N440" s="655">
        <v>0</v>
      </c>
      <c r="O440" s="329"/>
      <c r="P440" s="655">
        <v>0</v>
      </c>
      <c r="Q440" s="329"/>
      <c r="R440" s="655">
        <v>27027075.41404422</v>
      </c>
      <c r="S440" s="329"/>
      <c r="T440" s="655">
        <v>26148594.060869709</v>
      </c>
    </row>
    <row r="441" spans="1:20" ht="14.1" customHeight="1" x14ac:dyDescent="0.2">
      <c r="A441" s="252">
        <v>38</v>
      </c>
      <c r="B441" s="273"/>
      <c r="C441" s="267">
        <v>39800</v>
      </c>
      <c r="D441" s="282" t="s">
        <v>274</v>
      </c>
      <c r="E441" s="282"/>
      <c r="F441" s="655">
        <v>657806.63000000024</v>
      </c>
      <c r="G441" s="329"/>
      <c r="H441" s="655">
        <v>401265.9894100001</v>
      </c>
      <c r="I441" s="329"/>
      <c r="J441" s="655">
        <v>0</v>
      </c>
      <c r="K441" s="329"/>
      <c r="L441" s="655">
        <v>0</v>
      </c>
      <c r="M441" s="329"/>
      <c r="N441" s="655">
        <v>0</v>
      </c>
      <c r="O441" s="329"/>
      <c r="P441" s="655">
        <v>0</v>
      </c>
      <c r="Q441" s="329"/>
      <c r="R441" s="655">
        <v>1059072.6194100003</v>
      </c>
      <c r="S441" s="329"/>
      <c r="T441" s="655">
        <v>858439.62470499973</v>
      </c>
    </row>
    <row r="442" spans="1:20" ht="14.1" customHeight="1" x14ac:dyDescent="0.2">
      <c r="A442" s="252">
        <v>39</v>
      </c>
      <c r="B442" s="273"/>
      <c r="C442" s="267"/>
      <c r="F442" s="723"/>
      <c r="G442" s="329"/>
      <c r="H442" s="723"/>
      <c r="I442" s="329"/>
      <c r="J442" s="723"/>
      <c r="K442" s="329"/>
      <c r="L442" s="723"/>
      <c r="M442" s="329"/>
      <c r="N442" s="723"/>
      <c r="O442" s="329"/>
      <c r="P442" s="723"/>
      <c r="Q442" s="329"/>
      <c r="R442" s="723"/>
      <c r="S442" s="329"/>
      <c r="T442" s="723"/>
    </row>
    <row r="443" spans="1:20" ht="14.1" customHeight="1" thickBot="1" x14ac:dyDescent="0.25">
      <c r="A443" s="252">
        <v>40</v>
      </c>
      <c r="B443" s="273"/>
      <c r="D443" s="300" t="s">
        <v>171</v>
      </c>
      <c r="E443" s="300"/>
      <c r="F443" s="665">
        <v>144217343.02999997</v>
      </c>
      <c r="G443" s="666"/>
      <c r="H443" s="665">
        <v>27764022.870259237</v>
      </c>
      <c r="I443" s="666"/>
      <c r="J443" s="665">
        <v>-9386840.8146804553</v>
      </c>
      <c r="K443" s="666"/>
      <c r="L443" s="665">
        <v>-49553.79</v>
      </c>
      <c r="M443" s="666"/>
      <c r="N443" s="665">
        <v>367500</v>
      </c>
      <c r="O443" s="666"/>
      <c r="P443" s="665">
        <v>12984.947499999998</v>
      </c>
      <c r="Q443" s="724"/>
      <c r="R443" s="665">
        <v>162925456.24307883</v>
      </c>
      <c r="S443" s="666"/>
      <c r="T443" s="665">
        <v>152925429.2082372</v>
      </c>
    </row>
    <row r="444" spans="1:20" ht="14.1" customHeight="1" thickTop="1" x14ac:dyDescent="0.2">
      <c r="A444" s="252">
        <v>41</v>
      </c>
      <c r="F444" s="659"/>
      <c r="G444" s="602"/>
      <c r="H444" s="659"/>
      <c r="I444" s="602"/>
      <c r="J444" s="659"/>
      <c r="K444" s="602"/>
      <c r="L444" s="659"/>
      <c r="M444" s="602"/>
      <c r="N444" s="659"/>
      <c r="O444" s="602"/>
      <c r="P444" s="659"/>
      <c r="Q444" s="602"/>
      <c r="R444" s="659"/>
      <c r="S444" s="602"/>
      <c r="T444" s="659"/>
    </row>
    <row r="445" spans="1:20" ht="14.1" customHeight="1" thickBot="1" x14ac:dyDescent="0.25">
      <c r="A445" s="252">
        <v>42</v>
      </c>
      <c r="C445" s="299"/>
      <c r="D445" s="302" t="s">
        <v>308</v>
      </c>
      <c r="E445" s="300"/>
      <c r="F445" s="326">
        <v>3181174572.1499996</v>
      </c>
      <c r="G445" s="666"/>
      <c r="H445" s="326">
        <v>353634302.76502913</v>
      </c>
      <c r="I445" s="666"/>
      <c r="J445" s="326">
        <v>-1198090186.8320749</v>
      </c>
      <c r="K445" s="666"/>
      <c r="L445" s="326">
        <v>-31577709.829999998</v>
      </c>
      <c r="M445" s="666"/>
      <c r="N445" s="326">
        <v>2967500.0700000003</v>
      </c>
      <c r="O445" s="666"/>
      <c r="P445" s="326">
        <v>523181375.84260476</v>
      </c>
      <c r="Q445" s="724"/>
      <c r="R445" s="326">
        <v>2831289854.1655588</v>
      </c>
      <c r="S445" s="666"/>
      <c r="T445" s="326">
        <v>3224824768.9351716</v>
      </c>
    </row>
    <row r="446" spans="1:20" ht="14.1" customHeight="1" thickTop="1" x14ac:dyDescent="0.2">
      <c r="A446" s="252">
        <v>43</v>
      </c>
    </row>
    <row r="447" spans="1:20" ht="14.1" customHeight="1" thickBot="1" x14ac:dyDescent="0.25">
      <c r="A447" s="264">
        <v>44</v>
      </c>
      <c r="B447" s="667" t="s">
        <v>186</v>
      </c>
      <c r="C447" s="296"/>
      <c r="D447" s="264"/>
      <c r="E447" s="264"/>
      <c r="F447" s="264"/>
      <c r="G447" s="725"/>
      <c r="H447" s="725"/>
      <c r="I447" s="725"/>
      <c r="J447" s="725"/>
      <c r="K447" s="725"/>
      <c r="L447" s="725"/>
      <c r="M447" s="725"/>
      <c r="N447" s="725"/>
      <c r="O447" s="725"/>
      <c r="P447" s="725"/>
      <c r="Q447" s="725"/>
      <c r="R447" s="725"/>
      <c r="S447" s="725"/>
      <c r="T447" s="725"/>
    </row>
    <row r="448" spans="1:20" ht="14.1" customHeight="1" x14ac:dyDescent="0.2">
      <c r="A448" s="252" t="s">
        <v>60</v>
      </c>
      <c r="R448" s="252" t="s">
        <v>60</v>
      </c>
    </row>
    <row r="449" spans="1:29" ht="14.1" customHeight="1" thickBot="1" x14ac:dyDescent="0.25">
      <c r="A449" s="264" t="s">
        <v>301</v>
      </c>
      <c r="B449" s="264"/>
      <c r="C449" s="264"/>
      <c r="D449" s="264"/>
      <c r="E449" s="264"/>
      <c r="F449" s="264" t="s">
        <v>302</v>
      </c>
      <c r="G449" s="264"/>
      <c r="H449" s="264"/>
      <c r="I449" s="264"/>
      <c r="J449" s="264"/>
      <c r="K449" s="264"/>
      <c r="L449" s="264"/>
      <c r="M449" s="264"/>
      <c r="N449" s="264"/>
      <c r="O449" s="264"/>
      <c r="P449" s="264"/>
      <c r="Q449" s="264"/>
      <c r="R449" s="264"/>
      <c r="S449" s="264"/>
      <c r="T449" s="264" t="s">
        <v>331</v>
      </c>
    </row>
    <row r="450" spans="1:29" ht="14.1" customHeight="1" x14ac:dyDescent="0.2">
      <c r="A450" s="252" t="s">
        <v>129</v>
      </c>
      <c r="B450" s="285"/>
      <c r="E450" s="260" t="s">
        <v>130</v>
      </c>
      <c r="F450" s="252" t="s">
        <v>303</v>
      </c>
      <c r="J450" s="286"/>
      <c r="K450" s="286"/>
      <c r="P450" s="286"/>
      <c r="Q450" s="286"/>
      <c r="R450" s="286" t="s">
        <v>132</v>
      </c>
      <c r="T450" s="261"/>
    </row>
    <row r="451" spans="1:29" ht="14.1" customHeight="1" x14ac:dyDescent="0.2">
      <c r="B451" s="285"/>
      <c r="F451" s="252" t="s">
        <v>1399</v>
      </c>
      <c r="J451" s="260"/>
      <c r="K451" s="261"/>
      <c r="P451" s="260"/>
      <c r="Q451" s="260" t="s">
        <v>123</v>
      </c>
      <c r="R451" s="261" t="s">
        <v>1361</v>
      </c>
      <c r="T451" s="260"/>
    </row>
    <row r="452" spans="1:29" ht="14.1" customHeight="1" x14ac:dyDescent="0.2">
      <c r="A452" s="252" t="s">
        <v>134</v>
      </c>
      <c r="B452" s="285"/>
      <c r="F452" s="252" t="s">
        <v>123</v>
      </c>
      <c r="J452" s="260"/>
      <c r="K452" s="261"/>
      <c r="L452" s="260"/>
      <c r="N452" s="260"/>
      <c r="Q452" s="260" t="s">
        <v>123</v>
      </c>
      <c r="R452" s="261">
        <v>0</v>
      </c>
      <c r="T452" s="260"/>
    </row>
    <row r="453" spans="1:29" ht="14.1" customHeight="1" x14ac:dyDescent="0.2">
      <c r="B453" s="285"/>
      <c r="F453" s="252" t="s">
        <v>123</v>
      </c>
      <c r="J453" s="260"/>
      <c r="K453" s="261"/>
      <c r="L453" s="260"/>
      <c r="N453" s="260"/>
      <c r="Q453" s="260" t="s">
        <v>123</v>
      </c>
      <c r="R453" s="261"/>
      <c r="T453" s="260"/>
    </row>
    <row r="454" spans="1:29" ht="14.1" customHeight="1" thickBot="1" x14ac:dyDescent="0.25">
      <c r="A454" s="264" t="s">
        <v>135</v>
      </c>
      <c r="B454" s="287"/>
      <c r="C454" s="264"/>
      <c r="D454" s="264"/>
      <c r="E454" s="264"/>
      <c r="F454" s="264" t="s">
        <v>123</v>
      </c>
      <c r="G454" s="264"/>
      <c r="H454" s="266"/>
      <c r="I454" s="264"/>
      <c r="J454" s="264"/>
      <c r="K454" s="264"/>
      <c r="L454" s="264"/>
      <c r="M454" s="264"/>
      <c r="N454" s="264"/>
      <c r="O454" s="264"/>
      <c r="P454" s="264"/>
      <c r="Q454" s="264"/>
      <c r="R454" s="288"/>
      <c r="S454" s="264"/>
      <c r="T454" s="264"/>
    </row>
    <row r="455" spans="1:29" ht="14.1" customHeight="1" x14ac:dyDescent="0.2"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7"/>
      <c r="T455" s="267"/>
    </row>
    <row r="456" spans="1:29" ht="14.1" customHeight="1" x14ac:dyDescent="0.2">
      <c r="C456" s="267" t="s">
        <v>136</v>
      </c>
      <c r="D456" s="267" t="s">
        <v>137</v>
      </c>
      <c r="E456" s="267"/>
      <c r="F456" s="267" t="s">
        <v>138</v>
      </c>
      <c r="G456" s="267"/>
      <c r="H456" s="267" t="s">
        <v>139</v>
      </c>
      <c r="I456" s="267"/>
      <c r="J456" s="269" t="s">
        <v>140</v>
      </c>
      <c r="L456" s="267" t="s">
        <v>141</v>
      </c>
      <c r="M456" s="267"/>
      <c r="N456" s="267" t="s">
        <v>142</v>
      </c>
      <c r="O456" s="267"/>
      <c r="P456" s="267" t="s">
        <v>143</v>
      </c>
      <c r="Q456" s="267"/>
      <c r="R456" s="267" t="s">
        <v>144</v>
      </c>
      <c r="S456" s="267"/>
      <c r="T456" s="267" t="s">
        <v>305</v>
      </c>
    </row>
    <row r="457" spans="1:29" ht="14.1" customHeight="1" x14ac:dyDescent="0.2">
      <c r="C457" s="269" t="s">
        <v>145</v>
      </c>
      <c r="D457" s="269" t="s">
        <v>145</v>
      </c>
      <c r="F457" s="267" t="s">
        <v>41</v>
      </c>
      <c r="G457" s="269"/>
      <c r="H457" s="267" t="s">
        <v>40</v>
      </c>
      <c r="I457" s="269"/>
      <c r="J457" s="267"/>
      <c r="K457" s="269"/>
      <c r="L457" s="269"/>
      <c r="M457" s="269"/>
      <c r="N457" s="269"/>
      <c r="O457" s="269"/>
      <c r="P457" s="269"/>
      <c r="Q457" s="269"/>
      <c r="R457" s="269" t="s">
        <v>41</v>
      </c>
      <c r="T457" s="269"/>
    </row>
    <row r="458" spans="1:29" ht="14.1" customHeight="1" x14ac:dyDescent="0.2">
      <c r="A458" s="252" t="s">
        <v>146</v>
      </c>
      <c r="B458" s="269"/>
      <c r="C458" s="269" t="s">
        <v>147</v>
      </c>
      <c r="D458" s="269" t="s">
        <v>147</v>
      </c>
      <c r="E458" s="267"/>
      <c r="F458" s="269" t="s">
        <v>6</v>
      </c>
      <c r="G458" s="269"/>
      <c r="H458" s="269" t="s">
        <v>6</v>
      </c>
      <c r="I458" s="269"/>
      <c r="J458" s="269"/>
      <c r="K458" s="267"/>
      <c r="L458" s="269" t="s">
        <v>306</v>
      </c>
      <c r="M458" s="269"/>
      <c r="N458" s="269" t="s">
        <v>306</v>
      </c>
      <c r="O458" s="269"/>
      <c r="P458" s="269" t="s">
        <v>150</v>
      </c>
      <c r="Q458" s="267"/>
      <c r="R458" s="267" t="s">
        <v>6</v>
      </c>
      <c r="S458" s="267"/>
      <c r="T458" s="269" t="s">
        <v>151</v>
      </c>
    </row>
    <row r="459" spans="1:29" ht="14.1" customHeight="1" thickBot="1" x14ac:dyDescent="0.25">
      <c r="A459" s="264" t="s">
        <v>152</v>
      </c>
      <c r="B459" s="266"/>
      <c r="C459" s="266" t="s">
        <v>52</v>
      </c>
      <c r="D459" s="266" t="s">
        <v>153</v>
      </c>
      <c r="E459" s="266"/>
      <c r="F459" s="270" t="s">
        <v>154</v>
      </c>
      <c r="G459" s="270"/>
      <c r="H459" s="270" t="s">
        <v>307</v>
      </c>
      <c r="I459" s="271"/>
      <c r="J459" s="270" t="s">
        <v>18</v>
      </c>
      <c r="K459" s="271"/>
      <c r="L459" s="270" t="s">
        <v>19</v>
      </c>
      <c r="M459" s="271"/>
      <c r="N459" s="270" t="s">
        <v>54</v>
      </c>
      <c r="O459" s="271"/>
      <c r="P459" s="272" t="s">
        <v>157</v>
      </c>
      <c r="Q459" s="272"/>
      <c r="R459" s="272" t="s">
        <v>158</v>
      </c>
      <c r="S459" s="272"/>
      <c r="T459" s="272" t="s">
        <v>3</v>
      </c>
    </row>
    <row r="460" spans="1:29" ht="14.1" customHeight="1" x14ac:dyDescent="0.2">
      <c r="A460" s="252">
        <v>1</v>
      </c>
    </row>
    <row r="461" spans="1:29" ht="14.1" customHeight="1" x14ac:dyDescent="0.2">
      <c r="A461" s="252">
        <v>2</v>
      </c>
      <c r="B461" s="273"/>
      <c r="D461" s="83" t="s">
        <v>275</v>
      </c>
      <c r="F461" s="291"/>
      <c r="G461" s="602"/>
      <c r="H461" s="722"/>
      <c r="I461" s="602"/>
      <c r="J461" s="722"/>
      <c r="K461" s="602"/>
      <c r="L461" s="722"/>
      <c r="M461" s="602"/>
      <c r="N461" s="722"/>
      <c r="O461" s="602"/>
      <c r="P461" s="722"/>
      <c r="Q461" s="602"/>
      <c r="R461" s="722"/>
      <c r="S461" s="602"/>
      <c r="T461" s="722"/>
    </row>
    <row r="462" spans="1:29" ht="14.1" customHeight="1" x14ac:dyDescent="0.2">
      <c r="A462" s="252">
        <v>3</v>
      </c>
      <c r="B462" s="273"/>
      <c r="C462" s="269" t="s">
        <v>276</v>
      </c>
      <c r="D462" s="687" t="s">
        <v>277</v>
      </c>
      <c r="E462" s="653"/>
      <c r="F462" s="101">
        <v>0</v>
      </c>
      <c r="G462" s="602"/>
      <c r="H462" s="101">
        <v>0</v>
      </c>
      <c r="I462" s="602"/>
      <c r="J462" s="101">
        <v>0</v>
      </c>
      <c r="K462" s="602"/>
      <c r="L462" s="101">
        <v>0</v>
      </c>
      <c r="M462" s="602"/>
      <c r="N462" s="101">
        <v>0</v>
      </c>
      <c r="O462" s="602"/>
      <c r="P462" s="101">
        <v>0</v>
      </c>
      <c r="Q462" s="602"/>
      <c r="R462" s="101">
        <v>0</v>
      </c>
      <c r="S462" s="602"/>
      <c r="T462" s="101">
        <v>0</v>
      </c>
    </row>
    <row r="463" spans="1:29" ht="14.1" customHeight="1" x14ac:dyDescent="0.2">
      <c r="A463" s="252">
        <v>4</v>
      </c>
      <c r="B463" s="273"/>
      <c r="C463" s="269" t="s">
        <v>278</v>
      </c>
      <c r="D463" s="688" t="s">
        <v>279</v>
      </c>
      <c r="E463" s="689"/>
      <c r="F463" s="101">
        <v>0</v>
      </c>
      <c r="G463" s="602"/>
      <c r="H463" s="101">
        <v>0</v>
      </c>
      <c r="I463" s="602"/>
      <c r="J463" s="101">
        <v>0</v>
      </c>
      <c r="K463" s="602"/>
      <c r="L463" s="101">
        <v>0</v>
      </c>
      <c r="M463" s="602"/>
      <c r="N463" s="101">
        <v>0</v>
      </c>
      <c r="O463" s="602"/>
      <c r="P463" s="101">
        <v>0</v>
      </c>
      <c r="Q463" s="602"/>
      <c r="R463" s="101">
        <v>0</v>
      </c>
      <c r="S463" s="602"/>
      <c r="T463" s="101">
        <v>0</v>
      </c>
      <c r="AA463" s="603">
        <v>-834449.58</v>
      </c>
      <c r="AB463" s="603"/>
      <c r="AC463" s="603">
        <v>834449.58</v>
      </c>
    </row>
    <row r="464" spans="1:29" ht="14.1" customHeight="1" x14ac:dyDescent="0.2">
      <c r="A464" s="252">
        <v>5</v>
      </c>
      <c r="B464" s="273"/>
      <c r="C464" s="269">
        <v>35000</v>
      </c>
      <c r="D464" s="589" t="s">
        <v>280</v>
      </c>
      <c r="E464" s="690"/>
      <c r="F464" s="655">
        <v>0</v>
      </c>
      <c r="G464" s="329"/>
      <c r="H464" s="655">
        <v>0</v>
      </c>
      <c r="I464" s="329"/>
      <c r="J464" s="655">
        <v>0</v>
      </c>
      <c r="K464" s="329"/>
      <c r="L464" s="655">
        <v>0</v>
      </c>
      <c r="M464" s="329"/>
      <c r="N464" s="655">
        <v>0</v>
      </c>
      <c r="O464" s="329"/>
      <c r="P464" s="655">
        <v>0</v>
      </c>
      <c r="Q464" s="329"/>
      <c r="R464" s="655">
        <v>0</v>
      </c>
      <c r="S464" s="329"/>
      <c r="T464" s="655">
        <v>0</v>
      </c>
      <c r="AA464" s="603">
        <v>-1190128.6099999999</v>
      </c>
      <c r="AB464" s="603"/>
      <c r="AC464" s="603">
        <v>-2591482.979439178</v>
      </c>
    </row>
    <row r="465" spans="1:29" ht="14.1" customHeight="1" x14ac:dyDescent="0.2">
      <c r="A465" s="252">
        <v>6</v>
      </c>
      <c r="B465" s="273"/>
      <c r="C465" s="269">
        <v>36000</v>
      </c>
      <c r="D465" s="589" t="s">
        <v>281</v>
      </c>
      <c r="E465" s="690"/>
      <c r="F465" s="655">
        <v>0</v>
      </c>
      <c r="G465" s="329"/>
      <c r="H465" s="655">
        <v>0</v>
      </c>
      <c r="I465" s="329"/>
      <c r="J465" s="655">
        <v>0</v>
      </c>
      <c r="K465" s="329"/>
      <c r="L465" s="655">
        <v>0</v>
      </c>
      <c r="M465" s="329"/>
      <c r="N465" s="655">
        <v>0</v>
      </c>
      <c r="O465" s="329"/>
      <c r="P465" s="655">
        <v>0</v>
      </c>
      <c r="Q465" s="329"/>
      <c r="R465" s="655">
        <v>0</v>
      </c>
      <c r="S465" s="329"/>
      <c r="T465" s="655">
        <v>0</v>
      </c>
      <c r="AA465" s="603">
        <v>0</v>
      </c>
      <c r="AB465" s="603"/>
      <c r="AC465" s="603">
        <v>-21207600.482960001</v>
      </c>
    </row>
    <row r="466" spans="1:29" ht="14.1" customHeight="1" x14ac:dyDescent="0.2">
      <c r="A466" s="252">
        <v>7</v>
      </c>
      <c r="B466" s="273"/>
      <c r="C466" s="269">
        <v>38900</v>
      </c>
      <c r="D466" s="589" t="s">
        <v>282</v>
      </c>
      <c r="E466" s="690"/>
      <c r="F466" s="655">
        <v>0</v>
      </c>
      <c r="G466" s="329"/>
      <c r="H466" s="655">
        <v>0</v>
      </c>
      <c r="I466" s="329"/>
      <c r="J466" s="655">
        <v>0</v>
      </c>
      <c r="K466" s="329"/>
      <c r="L466" s="655">
        <v>0</v>
      </c>
      <c r="M466" s="329"/>
      <c r="N466" s="655">
        <v>0</v>
      </c>
      <c r="O466" s="329"/>
      <c r="P466" s="655">
        <v>0</v>
      </c>
      <c r="Q466" s="329"/>
      <c r="R466" s="655">
        <v>0</v>
      </c>
      <c r="S466" s="329"/>
      <c r="T466" s="655">
        <v>0</v>
      </c>
      <c r="AA466" s="603">
        <v>0</v>
      </c>
      <c r="AB466" s="603"/>
      <c r="AC466" s="603">
        <v>-906080.7138400001</v>
      </c>
    </row>
    <row r="467" spans="1:29" ht="14.1" customHeight="1" x14ac:dyDescent="0.2">
      <c r="A467" s="252">
        <v>8</v>
      </c>
      <c r="B467" s="273"/>
      <c r="C467" s="269"/>
      <c r="D467" s="726" t="s">
        <v>173</v>
      </c>
      <c r="E467" s="689"/>
      <c r="F467" s="664">
        <v>0</v>
      </c>
      <c r="G467" s="602"/>
      <c r="H467" s="664">
        <v>0</v>
      </c>
      <c r="I467" s="602"/>
      <c r="J467" s="664">
        <v>0</v>
      </c>
      <c r="K467" s="602"/>
      <c r="L467" s="664">
        <v>0</v>
      </c>
      <c r="M467" s="602"/>
      <c r="N467" s="664">
        <v>0</v>
      </c>
      <c r="O467" s="602"/>
      <c r="P467" s="664">
        <v>0</v>
      </c>
      <c r="Q467" s="602"/>
      <c r="R467" s="664">
        <v>0</v>
      </c>
      <c r="S467" s="602"/>
      <c r="T467" s="664">
        <v>0</v>
      </c>
      <c r="AA467" s="603">
        <v>0</v>
      </c>
      <c r="AB467" s="603"/>
      <c r="AC467" s="603">
        <v>-5428265.0036576809</v>
      </c>
    </row>
    <row r="468" spans="1:29" ht="14.1" customHeight="1" x14ac:dyDescent="0.2">
      <c r="A468" s="252">
        <v>9</v>
      </c>
      <c r="B468" s="273"/>
      <c r="C468" s="269"/>
      <c r="AA468" s="603">
        <v>-52176.98</v>
      </c>
      <c r="AB468" s="603"/>
      <c r="AC468" s="603">
        <v>-22281072.860280003</v>
      </c>
    </row>
    <row r="469" spans="1:29" ht="14.1" customHeight="1" x14ac:dyDescent="0.2">
      <c r="A469" s="252">
        <v>10</v>
      </c>
      <c r="B469" s="273"/>
      <c r="C469" s="269"/>
      <c r="D469" s="727" t="s">
        <v>283</v>
      </c>
      <c r="E469" s="653"/>
      <c r="F469" s="717"/>
      <c r="G469" s="602"/>
      <c r="H469" s="290"/>
      <c r="I469" s="602"/>
      <c r="J469" s="290"/>
      <c r="K469" s="602"/>
      <c r="L469" s="290"/>
      <c r="M469" s="602"/>
      <c r="N469" s="290"/>
      <c r="O469" s="602"/>
      <c r="P469" s="290"/>
      <c r="Q469" s="602"/>
      <c r="R469" s="717"/>
      <c r="S469" s="602"/>
      <c r="T469" s="717"/>
      <c r="AA469" s="603">
        <v>0</v>
      </c>
      <c r="AB469" s="603"/>
      <c r="AC469" s="603">
        <v>-30127183.735179998</v>
      </c>
    </row>
    <row r="470" spans="1:29" ht="14.1" customHeight="1" x14ac:dyDescent="0.2">
      <c r="A470" s="252">
        <v>11</v>
      </c>
      <c r="B470" s="273"/>
      <c r="C470" s="269">
        <v>30300</v>
      </c>
      <c r="D470" s="663" t="s">
        <v>1385</v>
      </c>
      <c r="E470" s="689"/>
      <c r="F470" s="655">
        <v>2.6848283596336842E-9</v>
      </c>
      <c r="G470" s="329"/>
      <c r="H470" s="655">
        <v>0</v>
      </c>
      <c r="I470" s="329"/>
      <c r="J470" s="655">
        <v>0</v>
      </c>
      <c r="K470" s="329"/>
      <c r="L470" s="655">
        <v>0</v>
      </c>
      <c r="M470" s="329"/>
      <c r="N470" s="655">
        <v>0</v>
      </c>
      <c r="O470" s="329"/>
      <c r="P470" s="655">
        <v>0</v>
      </c>
      <c r="Q470" s="329"/>
      <c r="R470" s="655">
        <v>2.6848283596336842E-9</v>
      </c>
      <c r="S470" s="329"/>
      <c r="T470" s="655">
        <v>2.6848283596336842E-9</v>
      </c>
      <c r="AA470" s="603">
        <v>-5555763.1300000008</v>
      </c>
      <c r="AB470" s="603"/>
      <c r="AC470" s="603">
        <v>5352890.7086423598</v>
      </c>
    </row>
    <row r="471" spans="1:29" ht="14.1" customHeight="1" x14ac:dyDescent="0.2">
      <c r="A471" s="252">
        <v>12</v>
      </c>
      <c r="B471" s="273"/>
      <c r="C471" s="269">
        <v>30301</v>
      </c>
      <c r="D471" s="663" t="s">
        <v>1386</v>
      </c>
      <c r="E471" s="689"/>
      <c r="F471" s="655">
        <v>0</v>
      </c>
      <c r="G471" s="329"/>
      <c r="H471" s="655">
        <v>0</v>
      </c>
      <c r="I471" s="329"/>
      <c r="J471" s="655">
        <v>0</v>
      </c>
      <c r="K471" s="329"/>
      <c r="L471" s="655">
        <v>0</v>
      </c>
      <c r="M471" s="329"/>
      <c r="N471" s="655">
        <v>0</v>
      </c>
      <c r="O471" s="329"/>
      <c r="P471" s="655">
        <v>0</v>
      </c>
      <c r="Q471" s="329"/>
      <c r="R471" s="655">
        <v>0</v>
      </c>
      <c r="S471" s="329"/>
      <c r="T471" s="655">
        <v>0</v>
      </c>
      <c r="AA471" s="603">
        <v>0</v>
      </c>
      <c r="AB471" s="603"/>
      <c r="AC471" s="603">
        <v>-906080.7138400001</v>
      </c>
    </row>
    <row r="472" spans="1:29" ht="14.1" customHeight="1" x14ac:dyDescent="0.2">
      <c r="A472" s="252">
        <v>13</v>
      </c>
      <c r="B472" s="273"/>
      <c r="C472" s="269">
        <v>30315</v>
      </c>
      <c r="D472" s="252" t="s">
        <v>284</v>
      </c>
      <c r="F472" s="655">
        <v>83002579.319999993</v>
      </c>
      <c r="G472" s="329"/>
      <c r="H472" s="655">
        <v>18004485.308337826</v>
      </c>
      <c r="I472" s="329"/>
      <c r="J472" s="655">
        <v>0</v>
      </c>
      <c r="K472" s="329"/>
      <c r="L472" s="655">
        <v>0</v>
      </c>
      <c r="M472" s="329"/>
      <c r="N472" s="655">
        <v>0</v>
      </c>
      <c r="O472" s="329"/>
      <c r="P472" s="655">
        <v>0</v>
      </c>
      <c r="Q472" s="329"/>
      <c r="R472" s="655">
        <v>101007064.62833782</v>
      </c>
      <c r="S472" s="329"/>
      <c r="T472" s="655">
        <v>91776253.929781541</v>
      </c>
      <c r="AA472" s="603">
        <v>0</v>
      </c>
      <c r="AB472" s="603"/>
      <c r="AC472" s="603">
        <v>-75818010.191459998</v>
      </c>
    </row>
    <row r="473" spans="1:29" ht="14.1" customHeight="1" x14ac:dyDescent="0.2">
      <c r="A473" s="252">
        <v>14</v>
      </c>
      <c r="B473" s="273"/>
      <c r="C473" s="269">
        <v>30302</v>
      </c>
      <c r="D473" s="252" t="s">
        <v>1387</v>
      </c>
      <c r="F473" s="655">
        <v>0</v>
      </c>
      <c r="G473" s="329"/>
      <c r="H473" s="655">
        <v>0</v>
      </c>
      <c r="I473" s="329"/>
      <c r="J473" s="655">
        <v>0</v>
      </c>
      <c r="K473" s="329"/>
      <c r="L473" s="655">
        <v>0</v>
      </c>
      <c r="M473" s="329"/>
      <c r="N473" s="655">
        <v>0</v>
      </c>
      <c r="O473" s="329"/>
      <c r="P473" s="655">
        <v>0</v>
      </c>
      <c r="Q473" s="329" t="s">
        <v>1400</v>
      </c>
      <c r="R473" s="655">
        <v>0</v>
      </c>
      <c r="S473" s="329"/>
      <c r="T473" s="655">
        <v>0</v>
      </c>
      <c r="AA473" s="603">
        <v>0</v>
      </c>
      <c r="AB473" s="603"/>
      <c r="AC473" s="603">
        <v>-19924977.929999996</v>
      </c>
    </row>
    <row r="474" spans="1:29" ht="14.1" customHeight="1" x14ac:dyDescent="0.2">
      <c r="A474" s="252">
        <v>15</v>
      </c>
      <c r="B474" s="273"/>
      <c r="C474" s="269">
        <v>30399</v>
      </c>
      <c r="D474" s="252" t="s">
        <v>1388</v>
      </c>
      <c r="F474" s="655">
        <v>20743.749999999996</v>
      </c>
      <c r="G474" s="329"/>
      <c r="H474" s="655">
        <v>13824.798696000003</v>
      </c>
      <c r="I474" s="329"/>
      <c r="J474" s="655">
        <v>0</v>
      </c>
      <c r="K474" s="329"/>
      <c r="L474" s="655">
        <v>0</v>
      </c>
      <c r="M474" s="329"/>
      <c r="N474" s="655">
        <v>0</v>
      </c>
      <c r="O474" s="329"/>
      <c r="P474" s="655">
        <v>0</v>
      </c>
      <c r="Q474" s="329" t="s">
        <v>1400</v>
      </c>
      <c r="R474" s="655">
        <v>34568.548695999998</v>
      </c>
      <c r="S474" s="329"/>
      <c r="T474" s="655">
        <v>27656.149347999984</v>
      </c>
      <c r="AA474" s="603">
        <v>0</v>
      </c>
      <c r="AB474" s="603"/>
      <c r="AC474" s="603">
        <v>0</v>
      </c>
    </row>
    <row r="475" spans="1:29" ht="14.1" customHeight="1" x14ac:dyDescent="0.2">
      <c r="A475" s="252">
        <v>16</v>
      </c>
      <c r="B475" s="273"/>
      <c r="D475" s="726" t="s">
        <v>285</v>
      </c>
      <c r="E475" s="692"/>
      <c r="F475" s="664">
        <v>83023323.069999993</v>
      </c>
      <c r="G475" s="602"/>
      <c r="H475" s="664">
        <v>18018310.107033826</v>
      </c>
      <c r="I475" s="602"/>
      <c r="J475" s="664">
        <v>0</v>
      </c>
      <c r="K475" s="602"/>
      <c r="L475" s="664">
        <v>0</v>
      </c>
      <c r="M475" s="602"/>
      <c r="N475" s="664">
        <v>0</v>
      </c>
      <c r="O475" s="602"/>
      <c r="P475" s="664">
        <v>0</v>
      </c>
      <c r="Q475" s="329"/>
      <c r="R475" s="664">
        <v>101041633.17703381</v>
      </c>
      <c r="S475" s="602"/>
      <c r="T475" s="664">
        <v>91803910.079129547</v>
      </c>
      <c r="AA475" s="603"/>
      <c r="AB475" s="603"/>
      <c r="AC475" s="603"/>
    </row>
    <row r="476" spans="1:29" ht="14.1" customHeight="1" x14ac:dyDescent="0.2">
      <c r="A476" s="252">
        <v>17</v>
      </c>
      <c r="B476" s="273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2"/>
      <c r="R476" s="602"/>
      <c r="S476" s="602"/>
      <c r="T476" s="602"/>
    </row>
    <row r="477" spans="1:29" ht="14.1" customHeight="1" x14ac:dyDescent="0.2">
      <c r="A477" s="252">
        <v>18</v>
      </c>
      <c r="B477" s="273"/>
      <c r="D477" s="693" t="s">
        <v>286</v>
      </c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2"/>
      <c r="R477" s="602"/>
      <c r="S477" s="602"/>
      <c r="T477" s="602"/>
    </row>
    <row r="478" spans="1:29" ht="14.1" customHeight="1" x14ac:dyDescent="0.2">
      <c r="A478" s="252">
        <v>19</v>
      </c>
      <c r="B478" s="273"/>
      <c r="C478" s="269">
        <v>31700</v>
      </c>
      <c r="D478" s="252" t="s">
        <v>1389</v>
      </c>
      <c r="F478" s="655">
        <v>20451385.049999993</v>
      </c>
      <c r="G478" s="329"/>
      <c r="H478" s="655">
        <v>5014176.96</v>
      </c>
      <c r="I478" s="329"/>
      <c r="J478" s="655">
        <v>0</v>
      </c>
      <c r="K478" s="329"/>
      <c r="L478" s="655">
        <v>0</v>
      </c>
      <c r="M478" s="329"/>
      <c r="N478" s="655">
        <v>0</v>
      </c>
      <c r="O478" s="329"/>
      <c r="P478" s="655">
        <v>0</v>
      </c>
      <c r="Q478" s="329"/>
      <c r="R478" s="655">
        <v>25465562.009999994</v>
      </c>
      <c r="S478" s="329"/>
      <c r="T478" s="655">
        <v>22958473.529999979</v>
      </c>
    </row>
    <row r="479" spans="1:29" ht="14.1" customHeight="1" x14ac:dyDescent="0.2">
      <c r="A479" s="252">
        <v>20</v>
      </c>
      <c r="B479" s="273"/>
      <c r="C479" s="269">
        <v>34700</v>
      </c>
      <c r="D479" s="252" t="s">
        <v>1390</v>
      </c>
      <c r="F479" s="655">
        <v>432135.33000000031</v>
      </c>
      <c r="G479" s="329"/>
      <c r="H479" s="655">
        <v>321686.64</v>
      </c>
      <c r="I479" s="329"/>
      <c r="J479" s="655">
        <v>0</v>
      </c>
      <c r="K479" s="329"/>
      <c r="L479" s="655">
        <v>0</v>
      </c>
      <c r="M479" s="329"/>
      <c r="N479" s="655">
        <v>0</v>
      </c>
      <c r="O479" s="329"/>
      <c r="P479" s="655">
        <v>0</v>
      </c>
      <c r="Q479" s="329"/>
      <c r="R479" s="655">
        <v>753821.97000000032</v>
      </c>
      <c r="S479" s="329"/>
      <c r="T479" s="655">
        <v>592978.65000000014</v>
      </c>
    </row>
    <row r="480" spans="1:29" ht="14.1" customHeight="1" x14ac:dyDescent="0.2">
      <c r="A480" s="252">
        <v>21</v>
      </c>
      <c r="B480" s="273"/>
      <c r="C480" s="269">
        <v>37400</v>
      </c>
      <c r="D480" s="252" t="s">
        <v>1391</v>
      </c>
      <c r="F480" s="655">
        <v>1499628.4300000002</v>
      </c>
      <c r="G480" s="329"/>
      <c r="H480" s="655">
        <v>147003.12</v>
      </c>
      <c r="I480" s="329"/>
      <c r="J480" s="655">
        <v>0</v>
      </c>
      <c r="K480" s="329"/>
      <c r="L480" s="655">
        <v>0</v>
      </c>
      <c r="M480" s="329"/>
      <c r="N480" s="655">
        <v>0</v>
      </c>
      <c r="O480" s="329"/>
      <c r="P480" s="655">
        <v>0</v>
      </c>
      <c r="Q480" s="329"/>
      <c r="R480" s="655">
        <v>1646631.5500000003</v>
      </c>
      <c r="S480" s="329"/>
      <c r="T480" s="655">
        <v>1573129.99</v>
      </c>
    </row>
    <row r="481" spans="1:20" ht="14.1" customHeight="1" x14ac:dyDescent="0.2">
      <c r="A481" s="252">
        <v>22</v>
      </c>
      <c r="B481" s="273"/>
      <c r="C481" s="269">
        <v>39910</v>
      </c>
      <c r="D481" s="252" t="s">
        <v>1392</v>
      </c>
      <c r="F481" s="723">
        <v>93743.759999999849</v>
      </c>
      <c r="G481" s="329"/>
      <c r="H481" s="723">
        <v>10580.160000000002</v>
      </c>
      <c r="I481" s="329"/>
      <c r="J481" s="723">
        <v>0</v>
      </c>
      <c r="K481" s="329"/>
      <c r="L481" s="723">
        <v>0</v>
      </c>
      <c r="M481" s="329"/>
      <c r="N481" s="723">
        <v>0</v>
      </c>
      <c r="O481" s="329"/>
      <c r="P481" s="723">
        <v>0</v>
      </c>
      <c r="Q481" s="329"/>
      <c r="R481" s="723">
        <v>104323.91999999985</v>
      </c>
      <c r="S481" s="329"/>
      <c r="T481" s="723">
        <v>99033.839999999793</v>
      </c>
    </row>
    <row r="482" spans="1:20" ht="14.1" customHeight="1" x14ac:dyDescent="0.2">
      <c r="A482" s="252">
        <v>23</v>
      </c>
      <c r="B482" s="273"/>
      <c r="D482" s="252" t="s">
        <v>1401</v>
      </c>
      <c r="F482" s="602">
        <v>22476892.569999997</v>
      </c>
      <c r="G482" s="602"/>
      <c r="H482" s="602">
        <v>5493446.8799999999</v>
      </c>
      <c r="I482" s="602"/>
      <c r="J482" s="602">
        <v>0</v>
      </c>
      <c r="K482" s="602"/>
      <c r="L482" s="602">
        <v>0</v>
      </c>
      <c r="M482" s="602"/>
      <c r="N482" s="602">
        <v>0</v>
      </c>
      <c r="O482" s="602"/>
      <c r="P482" s="602">
        <v>0</v>
      </c>
      <c r="Q482" s="602"/>
      <c r="R482" s="602">
        <v>27970339.449999992</v>
      </c>
      <c r="S482" s="602"/>
      <c r="T482" s="602">
        <v>25223616.009999976</v>
      </c>
    </row>
    <row r="483" spans="1:20" ht="14.1" customHeight="1" x14ac:dyDescent="0.2">
      <c r="A483" s="252">
        <v>24</v>
      </c>
      <c r="B483" s="273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2"/>
      <c r="R483" s="602"/>
      <c r="S483" s="602"/>
      <c r="T483" s="602"/>
    </row>
    <row r="484" spans="1:20" ht="14.1" customHeight="1" x14ac:dyDescent="0.2">
      <c r="A484" s="252">
        <v>25</v>
      </c>
      <c r="B484" s="273"/>
      <c r="D484" s="258" t="s">
        <v>309</v>
      </c>
      <c r="E484" s="83"/>
      <c r="F484" s="666">
        <v>3286674787.79</v>
      </c>
      <c r="G484" s="666"/>
      <c r="H484" s="666">
        <v>377146059.75206298</v>
      </c>
      <c r="I484" s="666"/>
      <c r="J484" s="666">
        <v>-1198090186.8320749</v>
      </c>
      <c r="K484" s="666"/>
      <c r="L484" s="666">
        <v>-31577709.829999998</v>
      </c>
      <c r="M484" s="666"/>
      <c r="N484" s="666">
        <v>2967500.0700000003</v>
      </c>
      <c r="O484" s="666"/>
      <c r="P484" s="666">
        <v>523181375.84260476</v>
      </c>
      <c r="Q484" s="724" t="s">
        <v>1400</v>
      </c>
      <c r="R484" s="666">
        <v>2960301826.7925925</v>
      </c>
      <c r="S484" s="666"/>
      <c r="T484" s="666">
        <v>3341852295.0243011</v>
      </c>
    </row>
    <row r="485" spans="1:20" ht="14.1" customHeight="1" x14ac:dyDescent="0.2">
      <c r="A485" s="252">
        <v>26</v>
      </c>
      <c r="B485" s="273"/>
      <c r="F485" s="602"/>
      <c r="G485" s="602"/>
      <c r="H485" s="602"/>
      <c r="I485" s="602"/>
      <c r="J485" s="602"/>
      <c r="K485" s="602"/>
      <c r="L485" s="602"/>
      <c r="M485" s="602"/>
      <c r="N485" s="602"/>
      <c r="O485" s="602"/>
      <c r="P485" s="602"/>
      <c r="Q485" s="602"/>
      <c r="R485" s="602"/>
      <c r="S485" s="602"/>
      <c r="T485" s="602"/>
    </row>
    <row r="486" spans="1:20" ht="14.1" customHeight="1" x14ac:dyDescent="0.2">
      <c r="A486" s="252">
        <v>27</v>
      </c>
      <c r="B486" s="273"/>
      <c r="D486" s="83" t="s">
        <v>291</v>
      </c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02"/>
      <c r="R486" s="602"/>
      <c r="S486" s="602"/>
      <c r="T486" s="602"/>
    </row>
    <row r="487" spans="1:20" ht="14.1" customHeight="1" x14ac:dyDescent="0.2">
      <c r="A487" s="252">
        <v>28</v>
      </c>
      <c r="B487" s="273"/>
      <c r="C487" s="269">
        <v>11401</v>
      </c>
      <c r="D487" s="252" t="s">
        <v>292</v>
      </c>
      <c r="F487" s="655">
        <v>5114751.7600000016</v>
      </c>
      <c r="G487" s="329"/>
      <c r="H487" s="655">
        <v>185749.31999999995</v>
      </c>
      <c r="I487" s="329"/>
      <c r="J487" s="655">
        <v>0</v>
      </c>
      <c r="K487" s="329"/>
      <c r="L487" s="655">
        <v>0</v>
      </c>
      <c r="M487" s="329"/>
      <c r="N487" s="655">
        <v>0</v>
      </c>
      <c r="O487" s="329"/>
      <c r="P487" s="655">
        <v>0</v>
      </c>
      <c r="Q487" s="329"/>
      <c r="R487" s="655">
        <v>5300501.0800000019</v>
      </c>
      <c r="S487" s="329"/>
      <c r="T487" s="655">
        <v>5207626.4200000037</v>
      </c>
    </row>
    <row r="488" spans="1:20" ht="14.1" customHeight="1" x14ac:dyDescent="0.2">
      <c r="A488" s="252">
        <v>29</v>
      </c>
      <c r="B488" s="273"/>
      <c r="C488" s="269">
        <v>11402</v>
      </c>
      <c r="D488" s="252" t="s">
        <v>293</v>
      </c>
      <c r="F488" s="655">
        <v>719112.54999999923</v>
      </c>
      <c r="G488" s="329"/>
      <c r="H488" s="655">
        <v>41900.640000000007</v>
      </c>
      <c r="I488" s="329"/>
      <c r="J488" s="655">
        <v>0</v>
      </c>
      <c r="K488" s="329"/>
      <c r="L488" s="655">
        <v>0</v>
      </c>
      <c r="M488" s="329"/>
      <c r="N488" s="655">
        <v>0</v>
      </c>
      <c r="O488" s="329"/>
      <c r="P488" s="655">
        <v>0</v>
      </c>
      <c r="Q488" s="329"/>
      <c r="R488" s="655">
        <v>761013.18999999925</v>
      </c>
      <c r="S488" s="329"/>
      <c r="T488" s="655">
        <v>740062.86999999918</v>
      </c>
    </row>
    <row r="489" spans="1:20" ht="14.1" customHeight="1" x14ac:dyDescent="0.2">
      <c r="A489" s="252">
        <v>30</v>
      </c>
      <c r="B489" s="273"/>
      <c r="C489" s="269">
        <v>11403</v>
      </c>
      <c r="D489" s="252" t="s">
        <v>294</v>
      </c>
      <c r="F489" s="655">
        <v>102666.99000000005</v>
      </c>
      <c r="G489" s="329"/>
      <c r="H489" s="655">
        <v>9058.7999999999975</v>
      </c>
      <c r="I489" s="329"/>
      <c r="J489" s="655">
        <v>0</v>
      </c>
      <c r="K489" s="329"/>
      <c r="L489" s="655">
        <v>0</v>
      </c>
      <c r="M489" s="329"/>
      <c r="N489" s="655">
        <v>0</v>
      </c>
      <c r="O489" s="329"/>
      <c r="P489" s="655">
        <v>0</v>
      </c>
      <c r="Q489" s="329"/>
      <c r="R489" s="655">
        <v>111725.79000000005</v>
      </c>
      <c r="S489" s="329"/>
      <c r="T489" s="655">
        <v>107196.39000000003</v>
      </c>
    </row>
    <row r="490" spans="1:20" ht="14.1" customHeight="1" x14ac:dyDescent="0.2">
      <c r="A490" s="252">
        <v>31</v>
      </c>
      <c r="B490" s="273"/>
      <c r="D490" s="252" t="s">
        <v>179</v>
      </c>
      <c r="F490" s="664">
        <v>5936531.3000000007</v>
      </c>
      <c r="G490" s="602"/>
      <c r="H490" s="664">
        <v>236708.75999999995</v>
      </c>
      <c r="I490" s="602"/>
      <c r="J490" s="664">
        <v>0</v>
      </c>
      <c r="K490" s="602"/>
      <c r="L490" s="664">
        <v>0</v>
      </c>
      <c r="M490" s="602"/>
      <c r="N490" s="664">
        <v>0</v>
      </c>
      <c r="O490" s="602"/>
      <c r="P490" s="664">
        <v>0</v>
      </c>
      <c r="Q490" s="602"/>
      <c r="R490" s="664">
        <v>6173240.0600000015</v>
      </c>
      <c r="S490" s="602"/>
      <c r="T490" s="664">
        <v>6054885.6800000025</v>
      </c>
    </row>
    <row r="491" spans="1:20" ht="14.1" customHeight="1" x14ac:dyDescent="0.2">
      <c r="A491" s="252">
        <v>32</v>
      </c>
      <c r="B491" s="273"/>
      <c r="F491" s="602"/>
      <c r="G491" s="602"/>
      <c r="H491" s="602"/>
      <c r="I491" s="602"/>
      <c r="J491" s="602"/>
      <c r="K491" s="602"/>
      <c r="L491" s="602"/>
      <c r="M491" s="602"/>
      <c r="N491" s="602"/>
      <c r="O491" s="602"/>
      <c r="P491" s="602"/>
      <c r="Q491" s="602"/>
      <c r="R491" s="602"/>
      <c r="S491" s="602"/>
      <c r="T491" s="602"/>
    </row>
    <row r="492" spans="1:20" ht="14.1" customHeight="1" x14ac:dyDescent="0.2">
      <c r="A492" s="252">
        <v>33</v>
      </c>
      <c r="B492" s="273"/>
    </row>
    <row r="493" spans="1:20" ht="14.1" customHeight="1" x14ac:dyDescent="0.2">
      <c r="A493" s="252">
        <v>34</v>
      </c>
      <c r="B493" s="273"/>
      <c r="D493" s="83" t="s">
        <v>314</v>
      </c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2"/>
      <c r="R493" s="602"/>
      <c r="S493" s="602"/>
      <c r="T493" s="602"/>
    </row>
    <row r="494" spans="1:20" ht="14.1" customHeight="1" x14ac:dyDescent="0.2">
      <c r="A494" s="252">
        <v>35</v>
      </c>
      <c r="C494" s="303" t="s">
        <v>315</v>
      </c>
      <c r="D494" s="279" t="s">
        <v>316</v>
      </c>
      <c r="F494" s="602">
        <v>79673798.800000221</v>
      </c>
      <c r="G494" s="602"/>
      <c r="H494" s="602">
        <v>1094349</v>
      </c>
      <c r="I494" s="602"/>
      <c r="J494" s="602">
        <v>0</v>
      </c>
      <c r="K494" s="602"/>
      <c r="L494" s="602">
        <v>-1000000</v>
      </c>
      <c r="M494" s="602"/>
      <c r="N494" s="602">
        <v>0</v>
      </c>
      <c r="O494" s="602"/>
      <c r="P494" s="602">
        <v>108138088</v>
      </c>
      <c r="Q494" s="602"/>
      <c r="R494" s="602">
        <v>187906235.80000022</v>
      </c>
      <c r="S494" s="602"/>
      <c r="T494" s="602">
        <v>86788599.563077152</v>
      </c>
    </row>
    <row r="495" spans="1:20" ht="14.1" customHeight="1" x14ac:dyDescent="0.2">
      <c r="A495" s="252">
        <v>36</v>
      </c>
      <c r="C495" s="304" t="s">
        <v>317</v>
      </c>
      <c r="D495" s="279" t="s">
        <v>318</v>
      </c>
      <c r="F495" s="330">
        <v>17034792</v>
      </c>
      <c r="G495" s="708"/>
      <c r="H495" s="330">
        <v>91745.04</v>
      </c>
      <c r="I495" s="329"/>
      <c r="J495" s="330">
        <v>0</v>
      </c>
      <c r="K495" s="329"/>
      <c r="L495" s="330">
        <v>0</v>
      </c>
      <c r="M495" s="329"/>
      <c r="N495" s="330">
        <v>0</v>
      </c>
      <c r="O495" s="329"/>
      <c r="P495" s="330">
        <v>2950720</v>
      </c>
      <c r="Q495" s="329"/>
      <c r="R495" s="330">
        <v>20077257.039999999</v>
      </c>
      <c r="S495" s="329"/>
      <c r="T495" s="330">
        <v>18556024.52</v>
      </c>
    </row>
    <row r="496" spans="1:20" ht="14.1" customHeight="1" x14ac:dyDescent="0.2">
      <c r="A496" s="252">
        <v>37</v>
      </c>
      <c r="D496" s="252" t="s">
        <v>310</v>
      </c>
      <c r="F496" s="602">
        <v>96708590.800000221</v>
      </c>
      <c r="G496" s="602"/>
      <c r="H496" s="602">
        <v>1186094.04</v>
      </c>
      <c r="I496" s="602"/>
      <c r="J496" s="602">
        <v>0</v>
      </c>
      <c r="K496" s="602"/>
      <c r="L496" s="602">
        <v>-1000000</v>
      </c>
      <c r="M496" s="602"/>
      <c r="N496" s="602">
        <v>0</v>
      </c>
      <c r="O496" s="602"/>
      <c r="P496" s="602">
        <v>111088808</v>
      </c>
      <c r="Q496" s="602"/>
      <c r="R496" s="602">
        <v>207983492.84000021</v>
      </c>
      <c r="S496" s="602"/>
      <c r="T496" s="602">
        <v>105344624.08307715</v>
      </c>
    </row>
    <row r="497" spans="1:23" ht="14.1" customHeight="1" x14ac:dyDescent="0.2">
      <c r="A497" s="252">
        <v>38</v>
      </c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2"/>
      <c r="R497" s="602"/>
      <c r="S497" s="602"/>
      <c r="T497" s="602"/>
    </row>
    <row r="498" spans="1:23" ht="14.1" customHeight="1" x14ac:dyDescent="0.2">
      <c r="A498" s="252">
        <v>39</v>
      </c>
      <c r="C498" s="269">
        <v>10501</v>
      </c>
      <c r="D498" s="252" t="s">
        <v>183</v>
      </c>
      <c r="F498" s="655">
        <v>4383.010000000002</v>
      </c>
      <c r="G498" s="602"/>
      <c r="H498" s="602">
        <v>0</v>
      </c>
      <c r="I498" s="602"/>
      <c r="J498" s="602">
        <v>0</v>
      </c>
      <c r="K498" s="602"/>
      <c r="L498" s="602">
        <v>0</v>
      </c>
      <c r="M498" s="602"/>
      <c r="N498" s="602">
        <v>0</v>
      </c>
      <c r="O498" s="602"/>
      <c r="P498" s="602">
        <v>-4383.01</v>
      </c>
      <c r="Q498" s="602"/>
      <c r="R498" s="602">
        <v>0</v>
      </c>
      <c r="S498" s="602"/>
      <c r="T498" s="602">
        <v>4045.8553846153864</v>
      </c>
    </row>
    <row r="499" spans="1:23" ht="14.1" customHeight="1" x14ac:dyDescent="0.2">
      <c r="A499" s="252">
        <v>40</v>
      </c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2"/>
      <c r="R499" s="602"/>
      <c r="S499" s="602"/>
      <c r="T499" s="602"/>
    </row>
    <row r="500" spans="1:23" ht="14.1" customHeight="1" x14ac:dyDescent="0.2">
      <c r="A500" s="252">
        <v>41</v>
      </c>
      <c r="C500" s="269">
        <v>10802</v>
      </c>
      <c r="D500" s="279" t="s">
        <v>311</v>
      </c>
      <c r="F500" s="329">
        <v>0</v>
      </c>
      <c r="G500" s="708"/>
      <c r="H500" s="329">
        <v>0</v>
      </c>
      <c r="I500" s="329"/>
      <c r="J500" s="329">
        <v>0</v>
      </c>
      <c r="K500" s="329"/>
      <c r="L500" s="329">
        <v>0</v>
      </c>
      <c r="M500" s="329"/>
      <c r="N500" s="329">
        <v>0</v>
      </c>
      <c r="O500" s="329"/>
      <c r="P500" s="329">
        <v>0</v>
      </c>
      <c r="Q500" s="329"/>
      <c r="R500" s="329">
        <v>0</v>
      </c>
      <c r="S500" s="329"/>
      <c r="T500" s="329">
        <v>0</v>
      </c>
    </row>
    <row r="501" spans="1:23" ht="14.1" customHeight="1" thickBot="1" x14ac:dyDescent="0.25">
      <c r="A501" s="252">
        <v>42</v>
      </c>
      <c r="D501" s="258" t="s">
        <v>312</v>
      </c>
      <c r="E501" s="728"/>
      <c r="F501" s="665">
        <v>3389324292.9000006</v>
      </c>
      <c r="G501" s="666"/>
      <c r="H501" s="665">
        <v>378568862.55206299</v>
      </c>
      <c r="I501" s="329" t="s">
        <v>1402</v>
      </c>
      <c r="J501" s="665">
        <v>-1198090186.8320749</v>
      </c>
      <c r="K501" s="666"/>
      <c r="L501" s="665">
        <v>-32577709.829999998</v>
      </c>
      <c r="M501" s="666"/>
      <c r="N501" s="665">
        <v>2967500.0700000003</v>
      </c>
      <c r="O501" s="666"/>
      <c r="P501" s="665">
        <v>634265800.83260477</v>
      </c>
      <c r="Q501" s="329" t="s">
        <v>1400</v>
      </c>
      <c r="R501" s="665">
        <v>3174458559.6925926</v>
      </c>
      <c r="S501" s="666"/>
      <c r="T501" s="665">
        <v>3453255850.6427627</v>
      </c>
    </row>
    <row r="502" spans="1:23" ht="14.1" customHeight="1" thickTop="1" x14ac:dyDescent="0.2">
      <c r="A502" s="252">
        <v>43</v>
      </c>
      <c r="D502" s="278"/>
      <c r="E502" s="282"/>
      <c r="F502" s="729"/>
      <c r="G502" s="602"/>
      <c r="H502" s="729"/>
      <c r="I502" s="329"/>
      <c r="J502" s="729"/>
      <c r="K502" s="602"/>
      <c r="L502" s="729"/>
      <c r="M502" s="602"/>
      <c r="N502" s="729"/>
      <c r="O502" s="602"/>
      <c r="P502" s="729"/>
      <c r="Q502" s="329"/>
      <c r="R502" s="729"/>
      <c r="S502" s="602"/>
      <c r="T502" s="729"/>
    </row>
    <row r="503" spans="1:23" ht="14.1" customHeight="1" thickBot="1" x14ac:dyDescent="0.25">
      <c r="A503" s="252">
        <v>44</v>
      </c>
      <c r="B503" s="667" t="s">
        <v>186</v>
      </c>
      <c r="C503" s="296"/>
      <c r="D503" s="264"/>
      <c r="E503" s="264"/>
      <c r="F503" s="730"/>
      <c r="G503" s="730"/>
      <c r="H503" s="730"/>
      <c r="I503" s="730"/>
      <c r="J503" s="730"/>
      <c r="K503" s="730"/>
      <c r="L503" s="730"/>
      <c r="M503" s="730"/>
      <c r="N503" s="730"/>
      <c r="O503" s="730"/>
      <c r="P503" s="730"/>
      <c r="Q503" s="730"/>
      <c r="R503" s="730"/>
      <c r="S503" s="730"/>
      <c r="T503" s="730"/>
    </row>
    <row r="504" spans="1:23" ht="12.75" x14ac:dyDescent="0.2">
      <c r="A504" s="252" t="s">
        <v>60</v>
      </c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 t="s">
        <v>60</v>
      </c>
      <c r="S504" s="283"/>
      <c r="T504" s="283"/>
    </row>
    <row r="505" spans="1:23" ht="12.75" x14ac:dyDescent="0.2"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</row>
    <row r="506" spans="1:23" ht="12.75" x14ac:dyDescent="0.2">
      <c r="D506" s="252" t="s">
        <v>319</v>
      </c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</row>
    <row r="507" spans="1:23" ht="12.75" x14ac:dyDescent="0.2">
      <c r="D507" s="306">
        <v>105</v>
      </c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</row>
    <row r="508" spans="1:23" ht="12.75" x14ac:dyDescent="0.2">
      <c r="C508" s="252">
        <v>1080000</v>
      </c>
      <c r="D508" s="306" t="s">
        <v>320</v>
      </c>
      <c r="F508" s="283">
        <v>3244201865.3600001</v>
      </c>
      <c r="G508" s="283"/>
      <c r="H508" s="283">
        <v>353634302.76502913</v>
      </c>
      <c r="I508" s="283"/>
      <c r="J508" s="283">
        <v>-1198090186.8320751</v>
      </c>
      <c r="K508" s="283"/>
      <c r="L508" s="283">
        <v>-31577709.829999998</v>
      </c>
      <c r="M508" s="283"/>
      <c r="N508" s="283">
        <v>2967500.07</v>
      </c>
      <c r="O508" s="283"/>
      <c r="P508" s="283">
        <v>634265800.83260453</v>
      </c>
      <c r="Q508" s="283"/>
      <c r="R508" s="283">
        <v>3005401572.3655586</v>
      </c>
      <c r="S508" s="283"/>
      <c r="T508" s="283">
        <v>3296397017.9136329</v>
      </c>
      <c r="W508" s="307">
        <v>0</v>
      </c>
    </row>
    <row r="509" spans="1:23" ht="12.75" x14ac:dyDescent="0.2">
      <c r="C509" s="252">
        <v>1080001</v>
      </c>
      <c r="D509" s="306">
        <v>108.02</v>
      </c>
      <c r="F509" s="283">
        <v>-63022910.199999981</v>
      </c>
      <c r="G509" s="283"/>
      <c r="H509" s="283">
        <v>0</v>
      </c>
      <c r="I509" s="283"/>
      <c r="J509" s="283">
        <v>0</v>
      </c>
      <c r="K509" s="283"/>
      <c r="L509" s="283">
        <v>0</v>
      </c>
      <c r="M509" s="283"/>
      <c r="N509" s="283">
        <v>0</v>
      </c>
      <c r="O509" s="283"/>
      <c r="P509" s="283">
        <v>0</v>
      </c>
      <c r="Q509" s="283"/>
      <c r="R509" s="283">
        <v>-63022910.199999981</v>
      </c>
      <c r="S509" s="283"/>
      <c r="T509" s="283">
        <v>-63022910.199999966</v>
      </c>
      <c r="W509" s="307">
        <v>0</v>
      </c>
    </row>
    <row r="510" spans="1:23" ht="12.75" x14ac:dyDescent="0.2">
      <c r="C510" s="252">
        <v>1080000</v>
      </c>
      <c r="D510" s="306" t="s">
        <v>321</v>
      </c>
      <c r="F510" s="283">
        <v>96708590.80000028</v>
      </c>
      <c r="G510" s="283"/>
      <c r="H510" s="283">
        <v>1186094.04</v>
      </c>
      <c r="I510" s="283"/>
      <c r="J510" s="283">
        <v>0</v>
      </c>
      <c r="K510" s="283"/>
      <c r="L510" s="283">
        <v>-1000000</v>
      </c>
      <c r="M510" s="283"/>
      <c r="N510" s="283">
        <v>0</v>
      </c>
      <c r="O510" s="283"/>
      <c r="P510" s="283">
        <v>0</v>
      </c>
      <c r="Q510" s="283"/>
      <c r="R510" s="283">
        <v>96894684.840000317</v>
      </c>
      <c r="S510" s="283"/>
      <c r="T510" s="283">
        <v>96799331.160000294</v>
      </c>
      <c r="W510" s="307">
        <v>0</v>
      </c>
    </row>
    <row r="511" spans="1:23" ht="12.75" x14ac:dyDescent="0.2">
      <c r="C511" s="252">
        <v>1080000</v>
      </c>
      <c r="D511" s="306">
        <v>108.04</v>
      </c>
      <c r="F511" s="283">
        <v>0</v>
      </c>
      <c r="G511" s="283"/>
      <c r="H511" s="283">
        <v>0</v>
      </c>
      <c r="I511" s="283"/>
      <c r="J511" s="283">
        <v>0</v>
      </c>
      <c r="K511" s="283"/>
      <c r="L511" s="283">
        <v>0</v>
      </c>
      <c r="M511" s="283"/>
      <c r="N511" s="283">
        <v>0</v>
      </c>
      <c r="O511" s="283"/>
      <c r="P511" s="283">
        <v>0</v>
      </c>
      <c r="Q511" s="283"/>
      <c r="R511" s="283">
        <v>0</v>
      </c>
      <c r="S511" s="283"/>
      <c r="T511" s="283">
        <v>0</v>
      </c>
      <c r="W511" s="307">
        <v>0</v>
      </c>
    </row>
    <row r="512" spans="1:23" ht="12.75" x14ac:dyDescent="0.2">
      <c r="C512" s="252">
        <v>1080000</v>
      </c>
      <c r="D512" s="306">
        <v>108.05</v>
      </c>
      <c r="F512" s="283">
        <v>22476892.570000004</v>
      </c>
      <c r="G512" s="283"/>
      <c r="H512" s="283">
        <v>5493446.8800000018</v>
      </c>
      <c r="I512" s="283"/>
      <c r="J512" s="283">
        <v>0</v>
      </c>
      <c r="K512" s="283"/>
      <c r="L512" s="283">
        <v>0</v>
      </c>
      <c r="M512" s="283"/>
      <c r="N512" s="283">
        <v>0</v>
      </c>
      <c r="O512" s="283"/>
      <c r="P512" s="283">
        <v>0</v>
      </c>
      <c r="Q512" s="283"/>
      <c r="R512" s="283">
        <v>27970339.449999984</v>
      </c>
      <c r="S512" s="283"/>
      <c r="T512" s="283">
        <v>25223616.00999999</v>
      </c>
      <c r="W512" s="307">
        <v>0</v>
      </c>
    </row>
    <row r="513" spans="3:23" ht="12.75" x14ac:dyDescent="0.2">
      <c r="C513" s="252">
        <v>1110000</v>
      </c>
      <c r="D513" s="306">
        <v>111</v>
      </c>
      <c r="F513" s="283">
        <v>83023323.069999993</v>
      </c>
      <c r="G513" s="283"/>
      <c r="H513" s="283">
        <v>18018310.107033826</v>
      </c>
      <c r="I513" s="283"/>
      <c r="J513" s="283">
        <v>0</v>
      </c>
      <c r="K513" s="283"/>
      <c r="L513" s="283"/>
      <c r="M513" s="283"/>
      <c r="N513" s="283"/>
      <c r="O513" s="283"/>
      <c r="P513" s="283">
        <v>0</v>
      </c>
      <c r="Q513" s="283"/>
      <c r="R513" s="283">
        <v>101041633.17703384</v>
      </c>
      <c r="S513" s="283"/>
      <c r="T513" s="283">
        <v>91803910.079129547</v>
      </c>
      <c r="W513" s="307">
        <v>0</v>
      </c>
    </row>
    <row r="514" spans="3:23" ht="12.75" x14ac:dyDescent="0.2">
      <c r="C514" s="252">
        <v>1150000</v>
      </c>
      <c r="D514" s="306" t="s">
        <v>322</v>
      </c>
      <c r="F514" s="283">
        <v>5936531.3000000007</v>
      </c>
      <c r="G514" s="283"/>
      <c r="H514" s="283">
        <v>236708.75999999995</v>
      </c>
      <c r="I514" s="283"/>
      <c r="J514" s="283">
        <v>0</v>
      </c>
      <c r="K514" s="283"/>
      <c r="L514" s="283"/>
      <c r="M514" s="283"/>
      <c r="N514" s="283"/>
      <c r="O514" s="283"/>
      <c r="P514" s="283">
        <v>0</v>
      </c>
      <c r="Q514" s="283"/>
      <c r="R514" s="283">
        <v>6173240.0600000042</v>
      </c>
      <c r="S514" s="283"/>
      <c r="T514" s="283">
        <v>6054885.6800000053</v>
      </c>
      <c r="W514" s="307">
        <v>0</v>
      </c>
    </row>
    <row r="515" spans="3:23" ht="12.75" x14ac:dyDescent="0.2">
      <c r="F515" s="283">
        <v>3389324292.900001</v>
      </c>
      <c r="G515" s="283"/>
      <c r="H515" s="283">
        <v>378568862.55206299</v>
      </c>
      <c r="I515" s="283"/>
      <c r="J515" s="283">
        <v>-1198090186.8320751</v>
      </c>
      <c r="K515" s="283"/>
      <c r="L515" s="283">
        <v>-32577709.829999998</v>
      </c>
      <c r="M515" s="283"/>
      <c r="N515" s="283">
        <v>2967500.07</v>
      </c>
      <c r="O515" s="283"/>
      <c r="P515" s="283">
        <v>634265800.83260453</v>
      </c>
      <c r="Q515" s="283"/>
      <c r="R515" s="283">
        <v>3174458559.6925926</v>
      </c>
      <c r="S515" s="283"/>
      <c r="T515" s="283">
        <v>3453255850.6427631</v>
      </c>
      <c r="W515" s="307">
        <v>0</v>
      </c>
    </row>
    <row r="516" spans="3:23" ht="12.75" x14ac:dyDescent="0.2">
      <c r="F516" s="283">
        <v>0</v>
      </c>
      <c r="G516" s="283"/>
      <c r="H516" s="283">
        <v>0</v>
      </c>
      <c r="I516" s="283"/>
      <c r="J516" s="283">
        <v>0</v>
      </c>
      <c r="K516" s="283"/>
      <c r="L516" s="283">
        <v>0</v>
      </c>
      <c r="M516" s="283"/>
      <c r="N516" s="283">
        <v>0</v>
      </c>
      <c r="O516" s="283"/>
      <c r="P516" s="283">
        <v>0</v>
      </c>
      <c r="Q516" s="283"/>
      <c r="R516" s="283">
        <v>0</v>
      </c>
      <c r="S516" s="283"/>
      <c r="T516" s="283">
        <v>0</v>
      </c>
    </row>
    <row r="517" spans="3:23" ht="12.75" x14ac:dyDescent="0.2"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</row>
    <row r="518" spans="3:23" ht="12.75" x14ac:dyDescent="0.2">
      <c r="D518" s="252" t="s">
        <v>300</v>
      </c>
      <c r="F518" s="283">
        <v>0</v>
      </c>
      <c r="G518" s="283"/>
      <c r="H518" s="283">
        <v>0</v>
      </c>
      <c r="I518" s="283"/>
      <c r="J518" s="283"/>
      <c r="K518" s="283"/>
      <c r="L518" s="283"/>
      <c r="M518" s="283"/>
      <c r="N518" s="283"/>
      <c r="O518" s="283"/>
      <c r="P518" s="283"/>
      <c r="Q518" s="283"/>
      <c r="R518" s="283">
        <v>0</v>
      </c>
      <c r="S518" s="283"/>
      <c r="T518" s="283">
        <v>0</v>
      </c>
    </row>
    <row r="519" spans="3:23" ht="12.75" x14ac:dyDescent="0.2"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</row>
    <row r="520" spans="3:23" ht="12.75" x14ac:dyDescent="0.2"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</row>
    <row r="521" spans="3:23" ht="12.75" x14ac:dyDescent="0.2">
      <c r="D521" s="252" t="s">
        <v>1403</v>
      </c>
      <c r="F521" s="283">
        <v>2951795755.2501574</v>
      </c>
      <c r="G521" s="283"/>
      <c r="H521" s="283">
        <v>346318608.44444436</v>
      </c>
      <c r="I521" s="283"/>
      <c r="J521" s="283">
        <v>-113756411.54939227</v>
      </c>
      <c r="K521" s="283"/>
      <c r="L521" s="283">
        <v>-45535315.010000005</v>
      </c>
      <c r="M521" s="283"/>
      <c r="N521" s="283">
        <v>2830547.9800000004</v>
      </c>
      <c r="O521" s="283"/>
      <c r="P521" s="283">
        <v>9395730</v>
      </c>
      <c r="Q521" s="283"/>
      <c r="R521" s="283">
        <v>3151048915.1152077</v>
      </c>
      <c r="S521" s="283">
        <v>0</v>
      </c>
      <c r="T521" s="283">
        <v>3052847378.2729502</v>
      </c>
    </row>
    <row r="522" spans="3:23" ht="12.75" x14ac:dyDescent="0.2">
      <c r="F522" s="283">
        <v>437528537.64984369</v>
      </c>
      <c r="G522" s="283"/>
      <c r="H522" s="283">
        <v>32250254.10761863</v>
      </c>
      <c r="I522" s="283"/>
      <c r="J522" s="283">
        <v>-1084333775.2826829</v>
      </c>
      <c r="K522" s="283"/>
      <c r="L522" s="283">
        <v>12957605.180000007</v>
      </c>
      <c r="M522" s="283"/>
      <c r="N522" s="283">
        <v>136952.08999999939</v>
      </c>
      <c r="O522" s="283"/>
      <c r="P522" s="283">
        <v>624870070.83260453</v>
      </c>
      <c r="Q522" s="283"/>
      <c r="R522" s="283">
        <v>23409644.577384949</v>
      </c>
      <c r="S522" s="283"/>
      <c r="T522" s="283">
        <v>400408472.36981297</v>
      </c>
    </row>
    <row r="523" spans="3:23" ht="12.75" x14ac:dyDescent="0.2"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</row>
    <row r="524" spans="3:23" ht="12.75" x14ac:dyDescent="0.2"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</row>
    <row r="525" spans="3:23" ht="12.75" x14ac:dyDescent="0.2"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</row>
    <row r="526" spans="3:23" ht="12.75" x14ac:dyDescent="0.2"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</row>
    <row r="527" spans="3:23" ht="12.75" x14ac:dyDescent="0.2"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</row>
    <row r="528" spans="3:23" ht="12.75" x14ac:dyDescent="0.2"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</row>
    <row r="529" spans="6:20" ht="12.75" x14ac:dyDescent="0.2"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</row>
    <row r="530" spans="6:20" ht="12.75" x14ac:dyDescent="0.2"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</row>
    <row r="531" spans="6:20" ht="12.75" x14ac:dyDescent="0.2"/>
    <row r="532" spans="6:20" ht="12.75" x14ac:dyDescent="0.2"/>
    <row r="533" spans="6:20" ht="12.75" x14ac:dyDescent="0.2"/>
    <row r="534" spans="6:20" ht="12.75" x14ac:dyDescent="0.2"/>
    <row r="535" spans="6:20" ht="12.75" x14ac:dyDescent="0.2"/>
    <row r="536" spans="6:20" ht="12.75" x14ac:dyDescent="0.2"/>
    <row r="537" spans="6:20" ht="12.75" x14ac:dyDescent="0.2"/>
    <row r="538" spans="6:20" ht="12.75" x14ac:dyDescent="0.2"/>
    <row r="539" spans="6:20" ht="12.75" x14ac:dyDescent="0.2"/>
    <row r="540" spans="6:20" ht="12.75" x14ac:dyDescent="0.2"/>
    <row r="541" spans="6:20" ht="12.75" x14ac:dyDescent="0.2"/>
    <row r="542" spans="6:20" ht="12.75" x14ac:dyDescent="0.2"/>
    <row r="543" spans="6:20" ht="12.75" x14ac:dyDescent="0.2"/>
    <row r="544" spans="6:20" ht="12.75" x14ac:dyDescent="0.2"/>
    <row r="545" ht="12.75" x14ac:dyDescent="0.2"/>
    <row r="546" ht="12.75" x14ac:dyDescent="0.2"/>
    <row r="547" ht="12.75" x14ac:dyDescent="0.2"/>
    <row r="548" ht="12.75" x14ac:dyDescent="0.2"/>
    <row r="549" ht="12.75" x14ac:dyDescent="0.2"/>
    <row r="550" ht="12.75" x14ac:dyDescent="0.2"/>
    <row r="551" ht="12.75" x14ac:dyDescent="0.2"/>
    <row r="552" ht="12.75" x14ac:dyDescent="0.2"/>
    <row r="553" ht="12.75" x14ac:dyDescent="0.2"/>
    <row r="554" ht="12.75" x14ac:dyDescent="0.2"/>
    <row r="555" ht="12.75" x14ac:dyDescent="0.2"/>
    <row r="556" ht="12.75" x14ac:dyDescent="0.2"/>
    <row r="557" ht="12.75" x14ac:dyDescent="0.2"/>
    <row r="558" ht="12.75" x14ac:dyDescent="0.2"/>
    <row r="559" ht="12.75" x14ac:dyDescent="0.2"/>
    <row r="560" ht="12.75" x14ac:dyDescent="0.2"/>
    <row r="561" ht="12.75" x14ac:dyDescent="0.2"/>
    <row r="562" ht="12.75" x14ac:dyDescent="0.2"/>
    <row r="563" ht="12.75" x14ac:dyDescent="0.2"/>
    <row r="564" ht="12.75" x14ac:dyDescent="0.2"/>
    <row r="565" ht="12.75" x14ac:dyDescent="0.2"/>
    <row r="566" ht="12.75" x14ac:dyDescent="0.2"/>
    <row r="567" ht="12.75" x14ac:dyDescent="0.2"/>
    <row r="568" ht="12.75" x14ac:dyDescent="0.2"/>
    <row r="569" ht="12.75" x14ac:dyDescent="0.2"/>
    <row r="570" ht="12.75" x14ac:dyDescent="0.2"/>
    <row r="571" ht="12.75" x14ac:dyDescent="0.2"/>
    <row r="572" ht="12.75" x14ac:dyDescent="0.2"/>
    <row r="573" ht="12.75" x14ac:dyDescent="0.2"/>
    <row r="574" ht="12.75" x14ac:dyDescent="0.2"/>
    <row r="575" ht="12.75" x14ac:dyDescent="0.2"/>
    <row r="576" ht="12.75" x14ac:dyDescent="0.2"/>
    <row r="577" ht="12.75" x14ac:dyDescent="0.2"/>
    <row r="578" ht="12.75" x14ac:dyDescent="0.2"/>
    <row r="579" ht="12.75" x14ac:dyDescent="0.2"/>
    <row r="580" ht="12.75" x14ac:dyDescent="0.2"/>
    <row r="581" ht="12.75" x14ac:dyDescent="0.2"/>
    <row r="582" ht="12.75" x14ac:dyDescent="0.2"/>
    <row r="583" ht="12.75" x14ac:dyDescent="0.2"/>
    <row r="584" ht="12.75" x14ac:dyDescent="0.2"/>
    <row r="585" ht="12.75" x14ac:dyDescent="0.2"/>
    <row r="586" ht="12.75" x14ac:dyDescent="0.2"/>
    <row r="587" ht="12.75" x14ac:dyDescent="0.2"/>
    <row r="588" ht="12.75" x14ac:dyDescent="0.2"/>
    <row r="589" ht="12.75" x14ac:dyDescent="0.2"/>
    <row r="590" ht="12.75" x14ac:dyDescent="0.2"/>
    <row r="591" ht="12.75" x14ac:dyDescent="0.2"/>
    <row r="592" ht="12.75" x14ac:dyDescent="0.2"/>
    <row r="593" ht="12.75" x14ac:dyDescent="0.2"/>
    <row r="594" ht="12.75" x14ac:dyDescent="0.2"/>
    <row r="595" ht="12.75" x14ac:dyDescent="0.2"/>
    <row r="596" ht="12.75" x14ac:dyDescent="0.2"/>
    <row r="597" ht="12.75" x14ac:dyDescent="0.2"/>
    <row r="598" ht="12.75" x14ac:dyDescent="0.2"/>
    <row r="599" ht="12.75" x14ac:dyDescent="0.2"/>
    <row r="600" ht="12.75" x14ac:dyDescent="0.2"/>
    <row r="601" ht="12.75" x14ac:dyDescent="0.2"/>
    <row r="602" ht="12.75" x14ac:dyDescent="0.2"/>
    <row r="603" ht="12.75" x14ac:dyDescent="0.2"/>
    <row r="604" ht="12.75" x14ac:dyDescent="0.2"/>
    <row r="605" ht="12.75" x14ac:dyDescent="0.2"/>
    <row r="606" ht="12.75" x14ac:dyDescent="0.2"/>
    <row r="607" ht="12.75" x14ac:dyDescent="0.2"/>
    <row r="608" ht="12.75" x14ac:dyDescent="0.2"/>
    <row r="609" ht="12.75" x14ac:dyDescent="0.2"/>
    <row r="610" ht="12.75" x14ac:dyDescent="0.2"/>
    <row r="611" ht="12.75" x14ac:dyDescent="0.2"/>
    <row r="612" ht="12.75" x14ac:dyDescent="0.2"/>
    <row r="613" ht="12.75" x14ac:dyDescent="0.2"/>
    <row r="614" ht="12.75" x14ac:dyDescent="0.2"/>
    <row r="615" ht="12.75" x14ac:dyDescent="0.2"/>
    <row r="616" ht="12.75" x14ac:dyDescent="0.2"/>
    <row r="617" ht="12.75" x14ac:dyDescent="0.2"/>
    <row r="618" ht="12.75" x14ac:dyDescent="0.2"/>
    <row r="619" ht="12.75" x14ac:dyDescent="0.2"/>
    <row r="620" ht="12.75" x14ac:dyDescent="0.2"/>
    <row r="621" ht="12.75" x14ac:dyDescent="0.2"/>
    <row r="622" ht="12.75" x14ac:dyDescent="0.2"/>
    <row r="623" ht="12.75" x14ac:dyDescent="0.2"/>
    <row r="624" ht="12.75" x14ac:dyDescent="0.2"/>
    <row r="625" ht="12.75" x14ac:dyDescent="0.2"/>
    <row r="626" ht="12.75" x14ac:dyDescent="0.2"/>
    <row r="627" ht="12.75" x14ac:dyDescent="0.2"/>
    <row r="628" ht="12.75" x14ac:dyDescent="0.2"/>
    <row r="629" ht="12.75" x14ac:dyDescent="0.2"/>
    <row r="630" ht="12.75" x14ac:dyDescent="0.2"/>
    <row r="631" ht="12.75" x14ac:dyDescent="0.2"/>
    <row r="632" ht="12.75" x14ac:dyDescent="0.2"/>
    <row r="633" ht="12.75" x14ac:dyDescent="0.2"/>
    <row r="634" ht="12.75" x14ac:dyDescent="0.2"/>
    <row r="635" ht="12.75" x14ac:dyDescent="0.2"/>
    <row r="636" ht="12.75" x14ac:dyDescent="0.2"/>
    <row r="637" ht="12.75" x14ac:dyDescent="0.2"/>
    <row r="638" ht="12.75" x14ac:dyDescent="0.2"/>
    <row r="639" ht="12.75" x14ac:dyDescent="0.2"/>
    <row r="640" ht="12.75" x14ac:dyDescent="0.2"/>
    <row r="641" ht="12.75" x14ac:dyDescent="0.2"/>
    <row r="642" ht="12.75" x14ac:dyDescent="0.2"/>
    <row r="643" ht="12.75" x14ac:dyDescent="0.2"/>
    <row r="644" ht="12.75" x14ac:dyDescent="0.2"/>
    <row r="645" ht="12.75" x14ac:dyDescent="0.2"/>
    <row r="646" ht="12.75" x14ac:dyDescent="0.2"/>
    <row r="647" ht="12.75" x14ac:dyDescent="0.2"/>
    <row r="648" ht="12.75" x14ac:dyDescent="0.2"/>
    <row r="649" ht="12.75" x14ac:dyDescent="0.2"/>
    <row r="650" ht="12.75" x14ac:dyDescent="0.2"/>
    <row r="651" ht="12.75" x14ac:dyDescent="0.2"/>
    <row r="652" ht="12.75" x14ac:dyDescent="0.2"/>
    <row r="653" ht="12.75" x14ac:dyDescent="0.2"/>
    <row r="654" ht="12.75" x14ac:dyDescent="0.2"/>
    <row r="655" ht="12.75" x14ac:dyDescent="0.2"/>
    <row r="656" ht="12.75" x14ac:dyDescent="0.2"/>
    <row r="657" ht="12.75" x14ac:dyDescent="0.2"/>
    <row r="658" ht="12.75" x14ac:dyDescent="0.2"/>
    <row r="659" ht="12.75" x14ac:dyDescent="0.2"/>
    <row r="660" ht="12.75" x14ac:dyDescent="0.2"/>
    <row r="661" ht="12.75" x14ac:dyDescent="0.2"/>
    <row r="662" ht="12.75" x14ac:dyDescent="0.2"/>
    <row r="663" ht="12.75" x14ac:dyDescent="0.2"/>
    <row r="664" ht="12.75" x14ac:dyDescent="0.2"/>
    <row r="665" ht="12.75" x14ac:dyDescent="0.2"/>
    <row r="666" ht="12.75" x14ac:dyDescent="0.2"/>
    <row r="667" ht="12.75" x14ac:dyDescent="0.2"/>
    <row r="668" ht="12.75" x14ac:dyDescent="0.2"/>
    <row r="669" ht="12.75" x14ac:dyDescent="0.2"/>
    <row r="670" ht="12.75" x14ac:dyDescent="0.2"/>
    <row r="671" ht="12.75" x14ac:dyDescent="0.2"/>
    <row r="672" ht="12.75" x14ac:dyDescent="0.2"/>
    <row r="673" ht="12.75" x14ac:dyDescent="0.2"/>
    <row r="674" ht="12.75" x14ac:dyDescent="0.2"/>
    <row r="675" ht="12.75" x14ac:dyDescent="0.2"/>
    <row r="676" ht="12.75" x14ac:dyDescent="0.2"/>
    <row r="677" ht="12.75" x14ac:dyDescent="0.2"/>
    <row r="678" ht="12.75" x14ac:dyDescent="0.2"/>
    <row r="679" ht="12.75" x14ac:dyDescent="0.2"/>
    <row r="680" ht="12.75" x14ac:dyDescent="0.2"/>
    <row r="681" ht="12.75" x14ac:dyDescent="0.2"/>
    <row r="682" ht="12.75" x14ac:dyDescent="0.2"/>
    <row r="683" ht="12.75" x14ac:dyDescent="0.2"/>
    <row r="684" ht="12.75" x14ac:dyDescent="0.2"/>
    <row r="685" ht="12.75" x14ac:dyDescent="0.2"/>
    <row r="686" ht="12.75" x14ac:dyDescent="0.2"/>
    <row r="687" ht="12.75" x14ac:dyDescent="0.2"/>
    <row r="688" ht="12.75" x14ac:dyDescent="0.2"/>
    <row r="689" ht="12.75" x14ac:dyDescent="0.2"/>
    <row r="690" ht="12.75" x14ac:dyDescent="0.2"/>
    <row r="691" ht="12.75" x14ac:dyDescent="0.2"/>
    <row r="692" ht="12.75" x14ac:dyDescent="0.2"/>
    <row r="693" ht="12.75" x14ac:dyDescent="0.2"/>
    <row r="694" ht="12.75" x14ac:dyDescent="0.2"/>
    <row r="695" ht="12.75" x14ac:dyDescent="0.2"/>
    <row r="696" ht="12.75" x14ac:dyDescent="0.2"/>
    <row r="697" ht="12.75" x14ac:dyDescent="0.2"/>
    <row r="698" ht="12.75" x14ac:dyDescent="0.2"/>
    <row r="699" ht="12.75" x14ac:dyDescent="0.2"/>
    <row r="700" ht="12.75" x14ac:dyDescent="0.2"/>
    <row r="701" ht="12.75" x14ac:dyDescent="0.2"/>
    <row r="702" ht="12.75" x14ac:dyDescent="0.2"/>
    <row r="703" ht="12.75" x14ac:dyDescent="0.2"/>
    <row r="704" ht="12.75" x14ac:dyDescent="0.2"/>
    <row r="705" ht="12.75" x14ac:dyDescent="0.2"/>
    <row r="706" ht="12.75" x14ac:dyDescent="0.2"/>
    <row r="707" ht="12.75" x14ac:dyDescent="0.2"/>
    <row r="708" ht="12.75" x14ac:dyDescent="0.2"/>
    <row r="709" ht="12.75" x14ac:dyDescent="0.2"/>
    <row r="710" ht="12.75" x14ac:dyDescent="0.2"/>
    <row r="711" ht="12.75" x14ac:dyDescent="0.2"/>
    <row r="712" ht="12.75" x14ac:dyDescent="0.2"/>
    <row r="713" ht="12.75" x14ac:dyDescent="0.2"/>
    <row r="714" ht="12.75" x14ac:dyDescent="0.2"/>
    <row r="715" ht="12.75" x14ac:dyDescent="0.2"/>
    <row r="716" ht="12.75" x14ac:dyDescent="0.2"/>
    <row r="717" ht="12.75" x14ac:dyDescent="0.2"/>
    <row r="718" ht="12.75" x14ac:dyDescent="0.2"/>
    <row r="719" ht="12.75" x14ac:dyDescent="0.2"/>
    <row r="720" ht="12.75" x14ac:dyDescent="0.2"/>
    <row r="721" ht="12.75" x14ac:dyDescent="0.2"/>
    <row r="722" ht="12.75" x14ac:dyDescent="0.2"/>
    <row r="723" ht="12.75" x14ac:dyDescent="0.2"/>
    <row r="724" ht="12.75" x14ac:dyDescent="0.2"/>
    <row r="725" ht="12.75" x14ac:dyDescent="0.2"/>
    <row r="726" ht="12.75" x14ac:dyDescent="0.2"/>
    <row r="727" ht="12.75" x14ac:dyDescent="0.2"/>
    <row r="728" ht="12.75" x14ac:dyDescent="0.2"/>
    <row r="729" ht="12.75" x14ac:dyDescent="0.2"/>
    <row r="730" ht="12.75" x14ac:dyDescent="0.2"/>
    <row r="731" ht="12.75" x14ac:dyDescent="0.2"/>
    <row r="732" ht="12.75" x14ac:dyDescent="0.2"/>
    <row r="733" ht="12.75" x14ac:dyDescent="0.2"/>
    <row r="734" ht="12.75" x14ac:dyDescent="0.2"/>
    <row r="735" ht="12.75" x14ac:dyDescent="0.2"/>
    <row r="736" ht="12.75" x14ac:dyDescent="0.2"/>
    <row r="737" ht="12.75" x14ac:dyDescent="0.2"/>
    <row r="738" ht="12.75" x14ac:dyDescent="0.2"/>
    <row r="739" ht="12.75" x14ac:dyDescent="0.2"/>
    <row r="740" ht="12.75" x14ac:dyDescent="0.2"/>
    <row r="741" ht="12.75" x14ac:dyDescent="0.2"/>
    <row r="742" ht="12.75" x14ac:dyDescent="0.2"/>
    <row r="743" ht="12.75" x14ac:dyDescent="0.2"/>
    <row r="744" ht="12.75" x14ac:dyDescent="0.2"/>
    <row r="745" ht="12.75" x14ac:dyDescent="0.2"/>
    <row r="746" ht="12.75" x14ac:dyDescent="0.2"/>
    <row r="747" ht="12.75" x14ac:dyDescent="0.2"/>
    <row r="748" ht="12.75" x14ac:dyDescent="0.2"/>
    <row r="749" ht="12.75" x14ac:dyDescent="0.2"/>
  </sheetData>
  <printOptions horizontalCentered="1"/>
  <pageMargins left="0.25" right="0" top="1" bottom="0.5" header="0.5" footer="0.25"/>
  <pageSetup scale="67" fitToHeight="20" orientation="landscape" blackAndWhite="1" r:id="rId1"/>
  <headerFooter alignWithMargins="0"/>
  <rowBreaks count="9" manualBreakCount="9">
    <brk id="50" max="19" man="1"/>
    <brk id="103" max="19" man="1"/>
    <brk id="156" max="19" man="1"/>
    <brk id="207" max="19" man="1"/>
    <brk id="258" max="19" man="1"/>
    <brk id="309" max="19" man="1"/>
    <brk id="360" max="19" man="1"/>
    <brk id="415" max="19" man="1"/>
    <brk id="468" max="19" man="1"/>
  </rowBreaks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5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36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2038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1237</v>
      </c>
      <c r="E12" s="50"/>
      <c r="P12" s="18"/>
      <c r="Q12" s="18"/>
      <c r="R12" s="48"/>
    </row>
    <row r="13" spans="1:22" ht="15.95" customHeight="1" x14ac:dyDescent="0.2">
      <c r="A13" s="49" t="s">
        <v>604</v>
      </c>
      <c r="B13" s="499">
        <f>IFERROR(VLOOKUP($A13,'PP DS Query'!$C$1:$R$1005,5,FALSE),0)</f>
        <v>2038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26532913.690000001</v>
      </c>
      <c r="G13" s="523">
        <f>IFERROR(VLOOKUP($A13,'PP DS Query'!$C$1:$R$1005,7,FALSE),0)</f>
        <v>16.22031557</v>
      </c>
      <c r="H13" s="358">
        <f>IFERROR(VLOOKUP($A13,'PP DS Query'!$C$1:$R$1005,8,FALSE),0)</f>
        <v>430372232.97000003</v>
      </c>
      <c r="I13" s="523">
        <f>IFERROR(VLOOKUP($A13,'PP DS Query'!$C$1:$R$1005,9,FALSE),0)</f>
        <v>33.36</v>
      </c>
      <c r="J13" s="358">
        <f>IFERROR(VLOOKUP($A13,'PP DS Query'!$C$1:$R$1005,10,FALSE),0)</f>
        <v>885138000.70000005</v>
      </c>
      <c r="K13" s="523">
        <f>IFERROR(VLOOKUP($A13,'PP DS Query'!$C$1:$R$1005,11,FALSE),0)</f>
        <v>18.356202</v>
      </c>
      <c r="L13" s="358">
        <f>IFERROR(VLOOKUP($A13,'PP DS Query'!$C$1:$R$1005,12,FALSE),0)</f>
        <v>487043523.33999997</v>
      </c>
      <c r="M13" s="19">
        <f>IFERROR(VLOOKUP($A13,'PP DS Query'!$C$1:$R$1005,13,FALSE),0)</f>
        <v>0.47252032999999999</v>
      </c>
      <c r="N13" s="358">
        <f>IFERROR(VLOOKUP($A13,'PP DS Query'!$C$1:$R$1005,14,FALSE),0)</f>
        <v>12537341.08</v>
      </c>
      <c r="O13" s="56">
        <f>IFERROR(VLOOKUP($A13,'PP DS Query'!$C$1:$R$1005,4,FALSE),0)</f>
        <v>-0.02</v>
      </c>
      <c r="P13" s="358">
        <f>-IFERROR(VLOOKUP($A13,'PP DS Query'!$C$1:$R$1005,15,FALSE),0)</f>
        <v>530658.27</v>
      </c>
      <c r="Q13" s="358">
        <f>IFERROR(VLOOKUP($A13,'PP DS Query'!$C$1:$R$1005,16,FALSE),0)</f>
        <v>10237516.58</v>
      </c>
      <c r="R13" s="48"/>
      <c r="S13" s="472">
        <f>IFERROR(ROUND(LEFT(A13,7)*100,0),0)</f>
        <v>34132</v>
      </c>
      <c r="T13" s="472" t="s">
        <v>962</v>
      </c>
      <c r="U13" s="474">
        <f>IFERROR(VLOOKUP($S13,#REF!,6,FALSE),0)</f>
        <v>0</v>
      </c>
      <c r="V13" s="473">
        <f>U13-F13</f>
        <v>-26532913.690000001</v>
      </c>
    </row>
    <row r="14" spans="1:22" ht="15.95" customHeight="1" x14ac:dyDescent="0.2">
      <c r="A14" s="49" t="s">
        <v>605</v>
      </c>
      <c r="B14" s="499">
        <f>IFERROR(VLOOKUP($A14,'PP DS Query'!$C$1:$R$1005,5,FALSE),0)</f>
        <v>2038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397471.7</v>
      </c>
      <c r="G14" s="523">
        <f>IFERROR(VLOOKUP($A14,'PP DS Query'!$C$1:$R$1005,7,FALSE),0)</f>
        <v>9.9752801499999997</v>
      </c>
      <c r="H14" s="358">
        <f>IFERROR(VLOOKUP($A14,'PP DS Query'!$C$1:$R$1005,8,FALSE),0)</f>
        <v>3964891.56</v>
      </c>
      <c r="I14" s="523">
        <f>IFERROR(VLOOKUP($A14,'PP DS Query'!$C$1:$R$1005,9,FALSE),0)</f>
        <v>23.02</v>
      </c>
      <c r="J14" s="358">
        <f>IFERROR(VLOOKUP($A14,'PP DS Query'!$C$1:$R$1005,10,FALSE),0)</f>
        <v>9149798.5299999993</v>
      </c>
      <c r="K14" s="523">
        <f>IFERROR(VLOOKUP($A14,'PP DS Query'!$C$1:$R$1005,11,FALSE),0)</f>
        <v>16.216774999999998</v>
      </c>
      <c r="L14" s="358">
        <f>IFERROR(VLOOKUP($A14,'PP DS Query'!$C$1:$R$1005,12,FALSE),0)</f>
        <v>6445709.1299999999</v>
      </c>
      <c r="M14" s="19">
        <f>IFERROR(VLOOKUP($A14,'PP DS Query'!$C$1:$R$1005,13,FALSE),0)</f>
        <v>0.30653888000000001</v>
      </c>
      <c r="N14" s="358">
        <f>IFERROR(VLOOKUP($A14,'PP DS Query'!$C$1:$R$1005,14,FALSE),0)</f>
        <v>121840.53</v>
      </c>
      <c r="O14" s="56">
        <f>IFERROR(VLOOKUP($A14,'PP DS Query'!$C$1:$R$1005,4,FALSE),0)</f>
        <v>-0.02</v>
      </c>
      <c r="P14" s="358">
        <f>-IFERROR(VLOOKUP($A14,'PP DS Query'!$C$1:$R$1005,15,FALSE),0)</f>
        <v>7949.43</v>
      </c>
      <c r="Q14" s="358">
        <f>IFERROR(VLOOKUP($A14,'PP DS Query'!$C$1:$R$1005,16,FALSE),0)</f>
        <v>99490.35</v>
      </c>
      <c r="R14" s="48"/>
      <c r="S14" s="472">
        <f t="shared" ref="S14:S16" si="0">IFERROR(ROUND(LEFT(A14,7)*100,0),0)</f>
        <v>34132</v>
      </c>
      <c r="T14" s="472" t="s">
        <v>963</v>
      </c>
      <c r="U14" s="474">
        <f>IFERROR(VLOOKUP($S14,#REF!,7,FALSE),0)</f>
        <v>0</v>
      </c>
      <c r="V14" s="473">
        <f t="shared" ref="V14:V16" si="1">U14-F14</f>
        <v>-397471.7</v>
      </c>
    </row>
    <row r="15" spans="1:22" ht="15.95" customHeight="1" x14ac:dyDescent="0.2">
      <c r="A15" s="49" t="s">
        <v>606</v>
      </c>
      <c r="B15" s="499">
        <f>IFERROR(VLOOKUP($A15,'PP DS Query'!$C$1:$R$1005,5,FALSE),0)</f>
        <v>2038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41580.9</v>
      </c>
      <c r="G15" s="523">
        <f>IFERROR(VLOOKUP($A15,'PP DS Query'!$C$1:$R$1005,7,FALSE),0)</f>
        <v>16.477924959999999</v>
      </c>
      <c r="H15" s="358">
        <f>IFERROR(VLOOKUP($A15,'PP DS Query'!$C$1:$R$1005,8,FALSE),0)</f>
        <v>685166.95</v>
      </c>
      <c r="I15" s="523">
        <f>IFERROR(VLOOKUP($A15,'PP DS Query'!$C$1:$R$1005,9,FALSE),0)</f>
        <v>20</v>
      </c>
      <c r="J15" s="358">
        <f>IFERROR(VLOOKUP($A15,'PP DS Query'!$C$1:$R$1005,10,FALSE),0)</f>
        <v>831618</v>
      </c>
      <c r="K15" s="523">
        <f>IFERROR(VLOOKUP($A15,'PP DS Query'!$C$1:$R$1005,11,FALSE),0)</f>
        <v>6.1135830000000002</v>
      </c>
      <c r="L15" s="358">
        <f>IFERROR(VLOOKUP($A15,'PP DS Query'!$C$1:$R$1005,12,FALSE),0)</f>
        <v>254208.28</v>
      </c>
      <c r="M15" s="19">
        <f>IFERROR(VLOOKUP($A15,'PP DS Query'!$C$1:$R$1005,13,FALSE),0)</f>
        <v>0.71644817999999999</v>
      </c>
      <c r="N15" s="358">
        <f>IFERROR(VLOOKUP($A15,'PP DS Query'!$C$1:$R$1005,14,FALSE),0)</f>
        <v>29790.560000000001</v>
      </c>
      <c r="O15" s="56">
        <f>IFERROR(VLOOKUP($A15,'PP DS Query'!$C$1:$R$1005,4,FALSE),0)</f>
        <v>-0.02</v>
      </c>
      <c r="P15" s="358">
        <f>-IFERROR(VLOOKUP($A15,'PP DS Query'!$C$1:$R$1005,15,FALSE),0)</f>
        <v>831.62</v>
      </c>
      <c r="Q15" s="358">
        <f>IFERROR(VLOOKUP($A15,'PP DS Query'!$C$1:$R$1005,16,FALSE),0)</f>
        <v>24325.84</v>
      </c>
      <c r="R15" s="48"/>
      <c r="S15" s="472">
        <f t="shared" si="0"/>
        <v>34132</v>
      </c>
      <c r="T15" s="472" t="s">
        <v>964</v>
      </c>
      <c r="U15" s="474">
        <f>IFERROR(VLOOKUP($S15,#REF!,8,FALSE),0)</f>
        <v>0</v>
      </c>
      <c r="V15" s="473">
        <f t="shared" si="1"/>
        <v>-41580.9</v>
      </c>
    </row>
    <row r="16" spans="1:22" ht="15.95" customHeight="1" thickBot="1" x14ac:dyDescent="0.25">
      <c r="A16" s="396" t="s">
        <v>922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34132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607</v>
      </c>
      <c r="B17" s="499">
        <f>IFERROR(VLOOKUP($A17,'PP DS Query'!$C$1:$R$1005,5,FALSE),0)</f>
        <v>2038</v>
      </c>
      <c r="C17" s="33"/>
      <c r="D17" s="34"/>
      <c r="E17" s="15"/>
      <c r="F17" s="443">
        <f>IFERROR(VLOOKUP($A17,'PP DS Query'!$C$1:$R$1005,6,FALSE),0)</f>
        <v>26971966.289999999</v>
      </c>
      <c r="G17" s="525">
        <f>IFERROR(VLOOKUP($A17,'PP DS Query'!$C$1:$R$1005,7,FALSE),0)</f>
        <v>16.128682900000001</v>
      </c>
      <c r="H17" s="443">
        <f>IFERROR(VLOOKUP($A17,'PP DS Query'!$C$1:$R$1005,8,FALSE),0)</f>
        <v>435022291.48000002</v>
      </c>
      <c r="I17" s="525">
        <f>IFERROR(VLOOKUP($A17,'PP DS Query'!$C$1:$R$1005,9,FALSE),0)</f>
        <v>33.18702862</v>
      </c>
      <c r="J17" s="443">
        <f>IFERROR(VLOOKUP($A17,'PP DS Query'!$C$1:$R$1005,10,FALSE),0)</f>
        <v>895119417.23000002</v>
      </c>
      <c r="K17" s="525">
        <f>IFERROR(VLOOKUP($A17,'PP DS Query'!$C$1:$R$1005,11,FALSE),0)</f>
        <v>18.30580075</v>
      </c>
      <c r="L17" s="443">
        <f>IFERROR(VLOOKUP($A17,'PP DS Query'!$C$1:$R$1005,12,FALSE),0)</f>
        <v>493743440.75</v>
      </c>
      <c r="M17" s="445">
        <f>IFERROR(VLOOKUP($A17,'PP DS Query'!$C$1:$R$1005,13,FALSE),0)</f>
        <v>0.47045039</v>
      </c>
      <c r="N17" s="443">
        <f>IFERROR(VLOOKUP($A17,'PP DS Query'!$C$1:$R$1005,14,FALSE),0)</f>
        <v>12688972.17</v>
      </c>
      <c r="O17" s="446">
        <f>IFERROR(VLOOKUP($A17,'PP DS Query'!$C$1:$R$1005,4,FALSE),0)</f>
        <v>-0.02</v>
      </c>
      <c r="P17" s="443">
        <f>-IFERROR(VLOOKUP($A17,'PP DS Query'!$C$1:$R$1005,15,FALSE),0)</f>
        <v>539439.32999999996</v>
      </c>
      <c r="Q17" s="443">
        <f>IFERROR(VLOOKUP($A17,'PP DS Query'!$C$1:$R$1005,16,FALSE),0)</f>
        <v>10361332.77</v>
      </c>
      <c r="R17" s="48"/>
      <c r="U17" s="473">
        <f>SUM(U13:U16)</f>
        <v>0</v>
      </c>
      <c r="V17" s="473">
        <f>SUM(V13:V16)</f>
        <v>-26971966.289999999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1238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758</v>
      </c>
      <c r="B20" s="499">
        <f>IFERROR(VLOOKUP($A20,'PP DS Query'!$C$1:$R$1005,5,FALSE),0)</f>
        <v>2038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64588500.18</v>
      </c>
      <c r="G20" s="523">
        <f>IFERROR(VLOOKUP($A20,'PP DS Query'!$C$1:$R$1005,7,FALSE),0)</f>
        <v>14.993933030000001</v>
      </c>
      <c r="H20" s="358">
        <f>IFERROR(VLOOKUP($A20,'PP DS Query'!$C$1:$R$1005,8,FALSE),0)</f>
        <v>968435646.33000004</v>
      </c>
      <c r="I20" s="523">
        <f>IFERROR(VLOOKUP($A20,'PP DS Query'!$C$1:$R$1005,9,FALSE),0)</f>
        <v>33</v>
      </c>
      <c r="J20" s="358">
        <f>IFERROR(VLOOKUP($A20,'PP DS Query'!$C$1:$R$1005,10,FALSE),0)</f>
        <v>2131420505.9400001</v>
      </c>
      <c r="K20" s="523">
        <f>IFERROR(VLOOKUP($A20,'PP DS Query'!$C$1:$R$1005,11,FALSE),0)</f>
        <v>18.499887999999999</v>
      </c>
      <c r="L20" s="358">
        <f>IFERROR(VLOOKUP($A20,'PP DS Query'!$C$1:$R$1005,12,FALSE),0)</f>
        <v>1194880019.4200001</v>
      </c>
      <c r="M20" s="19">
        <f>IFERROR(VLOOKUP($A20,'PP DS Query'!$C$1:$R$1005,13,FALSE),0)</f>
        <v>0.46391473</v>
      </c>
      <c r="N20" s="358">
        <f>IFERROR(VLOOKUP($A20,'PP DS Query'!$C$1:$R$1005,14,FALSE),0)</f>
        <v>29963556.75</v>
      </c>
      <c r="O20" s="56">
        <f>IFERROR(VLOOKUP($A20,'PP DS Query'!$C$1:$R$1005,4,FALSE),0)</f>
        <v>-0.05</v>
      </c>
      <c r="P20" s="358">
        <f>-IFERROR(VLOOKUP($A20,'PP DS Query'!$C$1:$R$1005,15,FALSE),0)</f>
        <v>3229425.01</v>
      </c>
      <c r="Q20" s="358">
        <f>IFERROR(VLOOKUP($A20,'PP DS Query'!$C$1:$R$1005,16,FALSE),0)</f>
        <v>24105128.02</v>
      </c>
      <c r="R20" s="48"/>
      <c r="S20" s="472">
        <f>IFERROR(ROUND(LEFT(A20,7)*100,0),0)</f>
        <v>34232</v>
      </c>
      <c r="T20" s="472" t="s">
        <v>962</v>
      </c>
      <c r="U20" s="474">
        <f>IFERROR(VLOOKUP($S20,#REF!,6,FALSE),0)</f>
        <v>0</v>
      </c>
      <c r="V20" s="473">
        <f>U20-F20</f>
        <v>-64588500.18</v>
      </c>
    </row>
    <row r="21" spans="1:22" ht="15.95" customHeight="1" x14ac:dyDescent="0.2">
      <c r="A21" s="49" t="s">
        <v>759</v>
      </c>
      <c r="B21" s="499">
        <f>IFERROR(VLOOKUP($A21,'PP DS Query'!$C$1:$R$1005,5,FALSE),0)</f>
        <v>2038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32627636.399999999</v>
      </c>
      <c r="G21" s="523">
        <f>IFERROR(VLOOKUP($A21,'PP DS Query'!$C$1:$R$1005,7,FALSE),0)</f>
        <v>14.96756484</v>
      </c>
      <c r="H21" s="358">
        <f>IFERROR(VLOOKUP($A21,'PP DS Query'!$C$1:$R$1005,8,FALSE),0)</f>
        <v>488356263.25999999</v>
      </c>
      <c r="I21" s="523">
        <f>IFERROR(VLOOKUP($A21,'PP DS Query'!$C$1:$R$1005,9,FALSE),0)</f>
        <v>29.25</v>
      </c>
      <c r="J21" s="358">
        <f>IFERROR(VLOOKUP($A21,'PP DS Query'!$C$1:$R$1005,10,FALSE),0)</f>
        <v>954358364.70000005</v>
      </c>
      <c r="K21" s="523">
        <f>IFERROR(VLOOKUP($A21,'PP DS Query'!$C$1:$R$1005,11,FALSE),0)</f>
        <v>14.134084</v>
      </c>
      <c r="L21" s="358">
        <f>IFERROR(VLOOKUP($A21,'PP DS Query'!$C$1:$R$1005,12,FALSE),0)</f>
        <v>461161753.60000002</v>
      </c>
      <c r="M21" s="19">
        <f>IFERROR(VLOOKUP($A21,'PP DS Query'!$C$1:$R$1005,13,FALSE),0)</f>
        <v>0.54264190000000001</v>
      </c>
      <c r="N21" s="358">
        <f>IFERROR(VLOOKUP($A21,'PP DS Query'!$C$1:$R$1005,14,FALSE),0)</f>
        <v>17705122.620000001</v>
      </c>
      <c r="O21" s="56">
        <f>IFERROR(VLOOKUP($A21,'PP DS Query'!$C$1:$R$1005,4,FALSE),0)</f>
        <v>-0.05</v>
      </c>
      <c r="P21" s="358">
        <f>-IFERROR(VLOOKUP($A21,'PP DS Query'!$C$1:$R$1005,15,FALSE),0)</f>
        <v>1631381.82</v>
      </c>
      <c r="Q21" s="358">
        <f>IFERROR(VLOOKUP($A21,'PP DS Query'!$C$1:$R$1005,16,FALSE),0)</f>
        <v>14243444.16</v>
      </c>
      <c r="R21" s="48"/>
      <c r="S21" s="472">
        <f t="shared" ref="S21:S23" si="2">IFERROR(ROUND(LEFT(A21,7)*100,0),0)</f>
        <v>34232</v>
      </c>
      <c r="T21" s="472" t="s">
        <v>963</v>
      </c>
      <c r="U21" s="474">
        <f>IFERROR(VLOOKUP($S21,#REF!,7,FALSE),0)</f>
        <v>0</v>
      </c>
      <c r="V21" s="473">
        <f t="shared" ref="V21:V23" si="3">U21-F21</f>
        <v>-32627636.399999999</v>
      </c>
    </row>
    <row r="22" spans="1:22" s="40" customFormat="1" ht="15.95" customHeight="1" x14ac:dyDescent="0.2">
      <c r="A22" s="60" t="s">
        <v>760</v>
      </c>
      <c r="B22" s="499">
        <f>IFERROR(VLOOKUP($A22,'PP DS Query'!$C$1:$R$1005,5,FALSE),0)</f>
        <v>2038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1483345.19</v>
      </c>
      <c r="G22" s="523">
        <f>IFERROR(VLOOKUP($A22,'PP DS Query'!$C$1:$R$1005,7,FALSE),0)</f>
        <v>12.11626798</v>
      </c>
      <c r="H22" s="358">
        <f>IFERROR(VLOOKUP($A22,'PP DS Query'!$C$1:$R$1005,8,FALSE),0)</f>
        <v>17972607.82</v>
      </c>
      <c r="I22" s="523">
        <f>IFERROR(VLOOKUP($A22,'PP DS Query'!$C$1:$R$1005,9,FALSE),0)</f>
        <v>20</v>
      </c>
      <c r="J22" s="358">
        <f>IFERROR(VLOOKUP($A22,'PP DS Query'!$C$1:$R$1005,10,FALSE),0)</f>
        <v>29666903.800000001</v>
      </c>
      <c r="K22" s="523">
        <f>IFERROR(VLOOKUP($A22,'PP DS Query'!$C$1:$R$1005,11,FALSE),0)</f>
        <v>8.7197659999999999</v>
      </c>
      <c r="L22" s="358">
        <f>IFERROR(VLOOKUP($A22,'PP DS Query'!$C$1:$R$1005,12,FALSE),0)</f>
        <v>12934422.949999999</v>
      </c>
      <c r="M22" s="19">
        <f>IFERROR(VLOOKUP($A22,'PP DS Query'!$C$1:$R$1005,13,FALSE),0)</f>
        <v>0.59221228000000004</v>
      </c>
      <c r="N22" s="358">
        <f>IFERROR(VLOOKUP($A22,'PP DS Query'!$C$1:$R$1005,14,FALSE),0)</f>
        <v>878455.24</v>
      </c>
      <c r="O22" s="56">
        <f>IFERROR(VLOOKUP($A22,'PP DS Query'!$C$1:$R$1005,4,FALSE),0)</f>
        <v>-0.05</v>
      </c>
      <c r="P22" s="358">
        <f>-IFERROR(VLOOKUP($A22,'PP DS Query'!$C$1:$R$1005,15,FALSE),0)</f>
        <v>74167.259999999995</v>
      </c>
      <c r="Q22" s="358">
        <f>IFERROR(VLOOKUP($A22,'PP DS Query'!$C$1:$R$1005,16,FALSE),0)</f>
        <v>706701.01</v>
      </c>
      <c r="R22" s="48"/>
      <c r="S22" s="472">
        <f t="shared" si="2"/>
        <v>34232</v>
      </c>
      <c r="T22" s="472" t="s">
        <v>964</v>
      </c>
      <c r="U22" s="474">
        <f>IFERROR(VLOOKUP($S22,#REF!,8,FALSE),0)</f>
        <v>0</v>
      </c>
      <c r="V22" s="473">
        <f t="shared" si="3"/>
        <v>-1483345.19</v>
      </c>
    </row>
    <row r="23" spans="1:22" ht="15.95" customHeight="1" thickBot="1" x14ac:dyDescent="0.25">
      <c r="A23" s="398" t="s">
        <v>1038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34232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761</v>
      </c>
      <c r="B24" s="499">
        <f>IFERROR(VLOOKUP($A24,'PP DS Query'!$C$1:$R$1005,5,FALSE),0)</f>
        <v>2038</v>
      </c>
      <c r="C24" s="33"/>
      <c r="D24" s="34"/>
      <c r="E24" s="15"/>
      <c r="F24" s="443">
        <f>IFERROR(VLOOKUP($A24,'PP DS Query'!$C$1:$R$1005,6,FALSE),0)</f>
        <v>98699481.769999996</v>
      </c>
      <c r="G24" s="525">
        <f>IFERROR(VLOOKUP($A24,'PP DS Query'!$C$1:$R$1005,7,FALSE),0)</f>
        <v>14.941968190000001</v>
      </c>
      <c r="H24" s="443">
        <f>IFERROR(VLOOKUP($A24,'PP DS Query'!$C$1:$R$1005,8,FALSE),0)</f>
        <v>1474764517.4200001</v>
      </c>
      <c r="I24" s="525">
        <f>IFERROR(VLOOKUP($A24,'PP DS Query'!$C$1:$R$1005,9,FALSE),0)</f>
        <v>31.564965879999999</v>
      </c>
      <c r="J24" s="443">
        <f>IFERROR(VLOOKUP($A24,'PP DS Query'!$C$1:$R$1005,10,FALSE),0)</f>
        <v>3115445774.4400001</v>
      </c>
      <c r="K24" s="525">
        <f>IFERROR(VLOOKUP($A24,'PP DS Query'!$C$1:$R$1005,11,FALSE),0)</f>
        <v>16.909675369999999</v>
      </c>
      <c r="L24" s="443">
        <f>IFERROR(VLOOKUP($A24,'PP DS Query'!$C$1:$R$1005,12,FALSE),0)</f>
        <v>1668976195.97</v>
      </c>
      <c r="M24" s="445">
        <f>IFERROR(VLOOKUP($A24,'PP DS Query'!$C$1:$R$1005,13,FALSE),0)</f>
        <v>0.49186817999999999</v>
      </c>
      <c r="N24" s="443">
        <f>IFERROR(VLOOKUP($A24,'PP DS Query'!$C$1:$R$1005,14,FALSE),0)</f>
        <v>48547134.609999999</v>
      </c>
      <c r="O24" s="446">
        <f>IFERROR(VLOOKUP($A24,'PP DS Query'!$C$1:$R$1005,4,FALSE),0)</f>
        <v>-0.05</v>
      </c>
      <c r="P24" s="443">
        <f>-IFERROR(VLOOKUP($A24,'PP DS Query'!$C$1:$R$1005,15,FALSE),0)</f>
        <v>4934974.09</v>
      </c>
      <c r="Q24" s="443">
        <f>IFERROR(VLOOKUP($A24,'PP DS Query'!$C$1:$R$1005,16,FALSE),0)</f>
        <v>39055273.189999998</v>
      </c>
      <c r="R24" s="48"/>
      <c r="U24" s="473">
        <f>SUM(U20:U23)</f>
        <v>0</v>
      </c>
      <c r="V24" s="473">
        <f>SUM(V20:V23)</f>
        <v>-98699481.769999996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1239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784</v>
      </c>
      <c r="B27" s="499">
        <f>IFERROR(VLOOKUP($A27,'PP DS Query'!$C$1:$R$1005,5,FALSE),0)</f>
        <v>2038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90755946.840000004</v>
      </c>
      <c r="G27" s="523">
        <f>IFERROR(VLOOKUP($A27,'PP DS Query'!$C$1:$R$1005,7,FALSE),0)</f>
        <v>15.883307110000001</v>
      </c>
      <c r="H27" s="358">
        <f>IFERROR(VLOOKUP($A27,'PP DS Query'!$C$1:$R$1005,8,FALSE),0)</f>
        <v>1441504575.4100001</v>
      </c>
      <c r="I27" s="523">
        <f>IFERROR(VLOOKUP($A27,'PP DS Query'!$C$1:$R$1005,9,FALSE),0)</f>
        <v>32.43</v>
      </c>
      <c r="J27" s="358">
        <f>IFERROR(VLOOKUP($A27,'PP DS Query'!$C$1:$R$1005,10,FALSE),0)</f>
        <v>2943215356.02</v>
      </c>
      <c r="K27" s="523">
        <f>IFERROR(VLOOKUP($A27,'PP DS Query'!$C$1:$R$1005,11,FALSE),0)</f>
        <v>18.343941999999998</v>
      </c>
      <c r="L27" s="358">
        <f>IFERROR(VLOOKUP($A27,'PP DS Query'!$C$1:$R$1005,12,FALSE),0)</f>
        <v>1664821824.99</v>
      </c>
      <c r="M27" s="19">
        <f>IFERROR(VLOOKUP($A27,'PP DS Query'!$C$1:$R$1005,13,FALSE),0)</f>
        <v>0.48270552999999999</v>
      </c>
      <c r="N27" s="358">
        <f>IFERROR(VLOOKUP($A27,'PP DS Query'!$C$1:$R$1005,14,FALSE),0)</f>
        <v>43808397.539999999</v>
      </c>
      <c r="O27" s="56">
        <f>IFERROR(VLOOKUP($A27,'PP DS Query'!$C$1:$R$1005,4,FALSE),0)</f>
        <v>-7.0000000000000007E-2</v>
      </c>
      <c r="P27" s="358">
        <f>-IFERROR(VLOOKUP($A27,'PP DS Query'!$C$1:$R$1005,15,FALSE),0)</f>
        <v>6352916.2800000003</v>
      </c>
      <c r="Q27" s="358">
        <f>IFERROR(VLOOKUP($A27,'PP DS Query'!$C$1:$R$1005,16,FALSE),0)</f>
        <v>19932024.370000001</v>
      </c>
      <c r="R27" s="48"/>
      <c r="S27" s="472">
        <f>IFERROR(ROUND(LEFT(A27,7)*100,0),0)</f>
        <v>34332</v>
      </c>
      <c r="T27" s="472" t="s">
        <v>962</v>
      </c>
      <c r="U27" s="474">
        <f>IFERROR(VLOOKUP($S27,#REF!,6,FALSE),0)</f>
        <v>0</v>
      </c>
      <c r="V27" s="473">
        <f>U27-F27</f>
        <v>-90755946.840000004</v>
      </c>
    </row>
    <row r="28" spans="1:22" ht="15.95" customHeight="1" x14ac:dyDescent="0.2">
      <c r="A28" s="49" t="s">
        <v>785</v>
      </c>
      <c r="B28" s="499">
        <f>IFERROR(VLOOKUP($A28,'PP DS Query'!$C$1:$R$1005,5,FALSE),0)</f>
        <v>2038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123580437.05</v>
      </c>
      <c r="G28" s="523">
        <f>IFERROR(VLOOKUP($A28,'PP DS Query'!$C$1:$R$1005,7,FALSE),0)</f>
        <v>16.69538571</v>
      </c>
      <c r="H28" s="358">
        <f>IFERROR(VLOOKUP($A28,'PP DS Query'!$C$1:$R$1005,8,FALSE),0)</f>
        <v>2063223063.0899999</v>
      </c>
      <c r="I28" s="523">
        <f>IFERROR(VLOOKUP($A28,'PP DS Query'!$C$1:$R$1005,9,FALSE),0)</f>
        <v>28.91</v>
      </c>
      <c r="J28" s="358">
        <f>IFERROR(VLOOKUP($A28,'PP DS Query'!$C$1:$R$1005,10,FALSE),0)</f>
        <v>3572710435.1199999</v>
      </c>
      <c r="K28" s="523">
        <f>IFERROR(VLOOKUP($A28,'PP DS Query'!$C$1:$R$1005,11,FALSE),0)</f>
        <v>13.286844</v>
      </c>
      <c r="L28" s="358">
        <f>IFERROR(VLOOKUP($A28,'PP DS Query'!$C$1:$R$1005,12,FALSE),0)</f>
        <v>1641993988.54</v>
      </c>
      <c r="M28" s="19">
        <f>IFERROR(VLOOKUP($A28,'PP DS Query'!$C$1:$R$1005,13,FALSE),0)</f>
        <v>0.58683110999999999</v>
      </c>
      <c r="N28" s="358">
        <f>IFERROR(VLOOKUP($A28,'PP DS Query'!$C$1:$R$1005,14,FALSE),0)</f>
        <v>72520844.969999999</v>
      </c>
      <c r="O28" s="56">
        <f>IFERROR(VLOOKUP($A28,'PP DS Query'!$C$1:$R$1005,4,FALSE),0)</f>
        <v>-7.0000000000000007E-2</v>
      </c>
      <c r="P28" s="358">
        <f>-IFERROR(VLOOKUP($A28,'PP DS Query'!$C$1:$R$1005,15,FALSE),0)</f>
        <v>8650630.5899999999</v>
      </c>
      <c r="Q28" s="358">
        <f>IFERROR(VLOOKUP($A28,'PP DS Query'!$C$1:$R$1005,16,FALSE),0)</f>
        <v>32995665.899999999</v>
      </c>
      <c r="R28" s="48"/>
      <c r="S28" s="472">
        <f t="shared" ref="S28:S30" si="4">IFERROR(ROUND(LEFT(A28,7)*100,0),0)</f>
        <v>34332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-123580437.05</v>
      </c>
    </row>
    <row r="29" spans="1:22" s="40" customFormat="1" ht="15.95" customHeight="1" x14ac:dyDescent="0.2">
      <c r="A29" s="60" t="s">
        <v>786</v>
      </c>
      <c r="B29" s="499">
        <f>IFERROR(VLOOKUP($A29,'PP DS Query'!$C$1:$R$1005,5,FALSE),0)</f>
        <v>2038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5031171.97</v>
      </c>
      <c r="G29" s="523">
        <f>IFERROR(VLOOKUP($A29,'PP DS Query'!$C$1:$R$1005,7,FALSE),0)</f>
        <v>10.288109159999999</v>
      </c>
      <c r="H29" s="358">
        <f>IFERROR(VLOOKUP($A29,'PP DS Query'!$C$1:$R$1005,8,FALSE),0)</f>
        <v>51761246.409999996</v>
      </c>
      <c r="I29" s="523">
        <f>IFERROR(VLOOKUP($A29,'PP DS Query'!$C$1:$R$1005,9,FALSE),0)</f>
        <v>19.88</v>
      </c>
      <c r="J29" s="358">
        <f>IFERROR(VLOOKUP($A29,'PP DS Query'!$C$1:$R$1005,10,FALSE),0)</f>
        <v>100019698.76000001</v>
      </c>
      <c r="K29" s="523">
        <f>IFERROR(VLOOKUP($A29,'PP DS Query'!$C$1:$R$1005,11,FALSE),0)</f>
        <v>10.266061000000001</v>
      </c>
      <c r="L29" s="358">
        <f>IFERROR(VLOOKUP($A29,'PP DS Query'!$C$1:$R$1005,12,FALSE),0)</f>
        <v>51650318.350000001</v>
      </c>
      <c r="M29" s="19">
        <f>IFERROR(VLOOKUP($A29,'PP DS Query'!$C$1:$R$1005,13,FALSE),0)</f>
        <v>0.51950534999999998</v>
      </c>
      <c r="N29" s="358">
        <f>IFERROR(VLOOKUP($A29,'PP DS Query'!$C$1:$R$1005,14,FALSE),0)</f>
        <v>2613720.75</v>
      </c>
      <c r="O29" s="56">
        <f>IFERROR(VLOOKUP($A29,'PP DS Query'!$C$1:$R$1005,4,FALSE),0)</f>
        <v>-7.0000000000000007E-2</v>
      </c>
      <c r="P29" s="358">
        <f>-IFERROR(VLOOKUP($A29,'PP DS Query'!$C$1:$R$1005,15,FALSE),0)</f>
        <v>352182.04</v>
      </c>
      <c r="Q29" s="358">
        <f>IFERROR(VLOOKUP($A29,'PP DS Query'!$C$1:$R$1005,16,FALSE),0)</f>
        <v>1189195.42</v>
      </c>
      <c r="R29" s="48"/>
      <c r="S29" s="472">
        <f t="shared" si="4"/>
        <v>34332</v>
      </c>
      <c r="T29" s="472" t="s">
        <v>964</v>
      </c>
      <c r="U29" s="474">
        <f>IFERROR(VLOOKUP($S29,#REF!,8,FALSE),0)</f>
        <v>0</v>
      </c>
      <c r="V29" s="473">
        <f t="shared" si="5"/>
        <v>-5031171.97</v>
      </c>
    </row>
    <row r="30" spans="1:22" ht="15.95" customHeight="1" thickBot="1" x14ac:dyDescent="0.25">
      <c r="A30" s="49" t="s">
        <v>783</v>
      </c>
      <c r="B30" s="499">
        <f>IFERROR(VLOOKUP($A30,'PP DS Query'!$C$1:$R$1005,5,FALSE),0)</f>
        <v>2038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67203222.519999996</v>
      </c>
      <c r="G30" s="524">
        <f>IFERROR(VLOOKUP($A30,'PP DS Query'!$C$1:$R$1005,7,FALSE),0)</f>
        <v>4.22548163</v>
      </c>
      <c r="H30" s="250">
        <f>IFERROR(VLOOKUP($A30,'PP DS Query'!$C$1:$R$1005,8,FALSE),0)</f>
        <v>283965982.19999999</v>
      </c>
      <c r="I30" s="524">
        <f>IFERROR(VLOOKUP($A30,'PP DS Query'!$C$1:$R$1005,9,FALSE),0)</f>
        <v>12</v>
      </c>
      <c r="J30" s="250">
        <f>IFERROR(VLOOKUP($A30,'PP DS Query'!$C$1:$R$1005,10,FALSE),0)</f>
        <v>806438670.24000001</v>
      </c>
      <c r="K30" s="524">
        <f>IFERROR(VLOOKUP($A30,'PP DS Query'!$C$1:$R$1005,11,FALSE),0)</f>
        <v>7.7745179999999996</v>
      </c>
      <c r="L30" s="250">
        <f>IFERROR(VLOOKUP($A30,'PP DS Query'!$C$1:$R$1005,12,FALSE),0)</f>
        <v>522472663.13999999</v>
      </c>
      <c r="M30" s="21">
        <f>IFERROR(VLOOKUP($A30,'PP DS Query'!$C$1:$R$1005,13,FALSE),0)</f>
        <v>0.37677210999999999</v>
      </c>
      <c r="N30" s="250">
        <f>IFERROR(VLOOKUP($A30,'PP DS Query'!$C$1:$R$1005,14,FALSE),0)</f>
        <v>25320300.079999998</v>
      </c>
      <c r="O30" s="57">
        <f>IFERROR(VLOOKUP($A30,'PP DS Query'!$C$1:$R$1005,4,FALSE),0)</f>
        <v>-7.0000000000000007E-2</v>
      </c>
      <c r="P30" s="250">
        <f>-IFERROR(VLOOKUP($A30,'PP DS Query'!$C$1:$R$1005,15,FALSE),0)</f>
        <v>4704225.58</v>
      </c>
      <c r="Q30" s="250">
        <f>IFERROR(VLOOKUP($A30,'PP DS Query'!$C$1:$R$1005,16,FALSE),0)</f>
        <v>11520276.17</v>
      </c>
      <c r="R30" s="48"/>
      <c r="S30" s="472">
        <f t="shared" si="4"/>
        <v>34332</v>
      </c>
      <c r="T30" s="472" t="s">
        <v>961</v>
      </c>
      <c r="U30" s="475">
        <f>IFERROR(VLOOKUP($S30,#REF!,9,FALSE),0)</f>
        <v>0</v>
      </c>
      <c r="V30" s="476">
        <f t="shared" si="5"/>
        <v>-67203222.519999996</v>
      </c>
    </row>
    <row r="31" spans="1:22" ht="15.95" customHeight="1" x14ac:dyDescent="0.2">
      <c r="A31" s="49" t="s">
        <v>787</v>
      </c>
      <c r="B31" s="499">
        <f>IFERROR(VLOOKUP($A31,'PP DS Query'!$C$1:$R$1005,5,FALSE),0)</f>
        <v>2038</v>
      </c>
      <c r="C31" s="33"/>
      <c r="D31" s="34"/>
      <c r="E31" s="15"/>
      <c r="F31" s="443">
        <f>IFERROR(VLOOKUP($A31,'PP DS Query'!$C$1:$R$1005,6,FALSE),0)</f>
        <v>286570778.38</v>
      </c>
      <c r="G31" s="525">
        <f>IFERROR(VLOOKUP($A31,'PP DS Query'!$C$1:$R$1005,7,FALSE),0)</f>
        <v>13.40141828</v>
      </c>
      <c r="H31" s="443">
        <f>IFERROR(VLOOKUP($A31,'PP DS Query'!$C$1:$R$1005,8,FALSE),0)</f>
        <v>3840454867.1100001</v>
      </c>
      <c r="I31" s="525">
        <f>IFERROR(VLOOKUP($A31,'PP DS Query'!$C$1:$R$1005,9,FALSE),0)</f>
        <v>25.900701399999999</v>
      </c>
      <c r="J31" s="443">
        <f>IFERROR(VLOOKUP($A31,'PP DS Query'!$C$1:$R$1005,10,FALSE),0)</f>
        <v>7422384160.1400003</v>
      </c>
      <c r="K31" s="525">
        <f>IFERROR(VLOOKUP($A31,'PP DS Query'!$C$1:$R$1005,11,FALSE),0)</f>
        <v>13.54268854</v>
      </c>
      <c r="L31" s="443">
        <f>IFERROR(VLOOKUP($A31,'PP DS Query'!$C$1:$R$1005,12,FALSE),0)</f>
        <v>3880938795.0100002</v>
      </c>
      <c r="M31" s="445">
        <f>IFERROR(VLOOKUP($A31,'PP DS Query'!$C$1:$R$1005,13,FALSE),0)</f>
        <v>0.50341232999999996</v>
      </c>
      <c r="N31" s="443">
        <f>IFERROR(VLOOKUP($A31,'PP DS Query'!$C$1:$R$1005,14,FALSE),0)</f>
        <v>144263263.34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20059954.489999998</v>
      </c>
      <c r="Q31" s="443">
        <f>IFERROR(VLOOKUP($A31,'PP DS Query'!$C$1:$R$1005,16,FALSE),0)</f>
        <v>65637161.859999999</v>
      </c>
      <c r="R31" s="48"/>
      <c r="U31" s="473">
        <f>SUM(U27:U30)</f>
        <v>0</v>
      </c>
      <c r="V31" s="473">
        <f>SUM(V27:V30)</f>
        <v>-286570778.38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1240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808</v>
      </c>
      <c r="B34" s="499">
        <f>IFERROR(VLOOKUP($A34,'PP DS Query'!$C$1:$R$1005,5,FALSE),0)</f>
        <v>2038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14297564.4</v>
      </c>
      <c r="G34" s="523">
        <f>IFERROR(VLOOKUP($A34,'PP DS Query'!$C$1:$R$1005,7,FALSE),0)</f>
        <v>16.92205925</v>
      </c>
      <c r="H34" s="358">
        <f>IFERROR(VLOOKUP($A34,'PP DS Query'!$C$1:$R$1005,8,FALSE),0)</f>
        <v>241944231.96000001</v>
      </c>
      <c r="I34" s="523">
        <f>IFERROR(VLOOKUP($A34,'PP DS Query'!$C$1:$R$1005,9,FALSE),0)</f>
        <v>33.78</v>
      </c>
      <c r="J34" s="358">
        <f>IFERROR(VLOOKUP($A34,'PP DS Query'!$C$1:$R$1005,10,FALSE),0)</f>
        <v>482971725.43000001</v>
      </c>
      <c r="K34" s="523">
        <f>IFERROR(VLOOKUP($A34,'PP DS Query'!$C$1:$R$1005,11,FALSE),0)</f>
        <v>18.439644999999999</v>
      </c>
      <c r="L34" s="358">
        <f>IFERROR(VLOOKUP($A34,'PP DS Query'!$C$1:$R$1005,12,FALSE),0)</f>
        <v>263642011.90000001</v>
      </c>
      <c r="M34" s="19">
        <f>IFERROR(VLOOKUP($A34,'PP DS Query'!$C$1:$R$1005,13,FALSE),0)</f>
        <v>0.50158208000000004</v>
      </c>
      <c r="N34" s="358">
        <f>IFERROR(VLOOKUP($A34,'PP DS Query'!$C$1:$R$1005,14,FALSE),0)</f>
        <v>7171402.04</v>
      </c>
      <c r="O34" s="56">
        <f>IFERROR(VLOOKUP($A34,'PP DS Query'!$C$1:$R$1005,4,FALSE),0)</f>
        <v>-0.05</v>
      </c>
      <c r="P34" s="358">
        <f>-IFERROR(VLOOKUP($A34,'PP DS Query'!$C$1:$R$1005,15,FALSE),0)</f>
        <v>714878.22</v>
      </c>
      <c r="Q34" s="358">
        <f>IFERROR(VLOOKUP($A34,'PP DS Query'!$C$1:$R$1005,16,FALSE),0)</f>
        <v>5803159.1600000001</v>
      </c>
      <c r="R34" s="48"/>
      <c r="S34" s="472">
        <f>IFERROR(ROUND(LEFT(A34,7)*100,0),0)</f>
        <v>34532</v>
      </c>
      <c r="T34" s="472" t="s">
        <v>962</v>
      </c>
      <c r="U34" s="474">
        <f>IFERROR(VLOOKUP($S34,#REF!,6,FALSE),0)</f>
        <v>0</v>
      </c>
      <c r="V34" s="473">
        <f>U34-F34</f>
        <v>-14297564.4</v>
      </c>
    </row>
    <row r="35" spans="1:22" ht="15.95" customHeight="1" x14ac:dyDescent="0.2">
      <c r="A35" s="49" t="s">
        <v>809</v>
      </c>
      <c r="B35" s="499">
        <f>IFERROR(VLOOKUP($A35,'PP DS Query'!$C$1:$R$1005,5,FALSE),0)</f>
        <v>2038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27067438.300000001</v>
      </c>
      <c r="G35" s="523">
        <f>IFERROR(VLOOKUP($A35,'PP DS Query'!$C$1:$R$1005,7,FALSE),0)</f>
        <v>13.629250020000001</v>
      </c>
      <c r="H35" s="358">
        <f>IFERROR(VLOOKUP($A35,'PP DS Query'!$C$1:$R$1005,8,FALSE),0)</f>
        <v>368908884.10000002</v>
      </c>
      <c r="I35" s="523">
        <f>IFERROR(VLOOKUP($A35,'PP DS Query'!$C$1:$R$1005,9,FALSE),0)</f>
        <v>27.66</v>
      </c>
      <c r="J35" s="358">
        <f>IFERROR(VLOOKUP($A35,'PP DS Query'!$C$1:$R$1005,10,FALSE),0)</f>
        <v>748685343.38</v>
      </c>
      <c r="K35" s="523">
        <f>IFERROR(VLOOKUP($A35,'PP DS Query'!$C$1:$R$1005,11,FALSE),0)</f>
        <v>14.783559</v>
      </c>
      <c r="L35" s="358">
        <f>IFERROR(VLOOKUP($A35,'PP DS Query'!$C$1:$R$1005,12,FALSE),0)</f>
        <v>400153071.08999997</v>
      </c>
      <c r="M35" s="19">
        <f>IFERROR(VLOOKUP($A35,'PP DS Query'!$C$1:$R$1005,13,FALSE),0)</f>
        <v>0.49126459</v>
      </c>
      <c r="N35" s="358">
        <f>IFERROR(VLOOKUP($A35,'PP DS Query'!$C$1:$R$1005,14,FALSE),0)</f>
        <v>13297273.890000001</v>
      </c>
      <c r="O35" s="56">
        <f>IFERROR(VLOOKUP($A35,'PP DS Query'!$C$1:$R$1005,4,FALSE),0)</f>
        <v>-0.05</v>
      </c>
      <c r="P35" s="358">
        <f>-IFERROR(VLOOKUP($A35,'PP DS Query'!$C$1:$R$1005,15,FALSE),0)</f>
        <v>1353371.92</v>
      </c>
      <c r="Q35" s="358">
        <f>IFERROR(VLOOKUP($A35,'PP DS Query'!$C$1:$R$1005,16,FALSE),0)</f>
        <v>10760266.460000001</v>
      </c>
      <c r="R35" s="48"/>
      <c r="S35" s="472">
        <f t="shared" ref="S35:S37" si="6">IFERROR(ROUND(LEFT(A35,7)*100,0),0)</f>
        <v>34532</v>
      </c>
      <c r="T35" s="472" t="s">
        <v>963</v>
      </c>
      <c r="U35" s="474">
        <f>IFERROR(VLOOKUP($S35,#REF!,7,FALSE),0)</f>
        <v>0</v>
      </c>
      <c r="V35" s="473">
        <f t="shared" ref="V35:V37" si="7">U35-F35</f>
        <v>-27067438.300000001</v>
      </c>
    </row>
    <row r="36" spans="1:22" s="40" customFormat="1" ht="15.95" customHeight="1" x14ac:dyDescent="0.2">
      <c r="A36" s="60" t="s">
        <v>810</v>
      </c>
      <c r="B36" s="499">
        <f>IFERROR(VLOOKUP($A36,'PP DS Query'!$C$1:$R$1005,5,FALSE),0)</f>
        <v>2038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2588037.83</v>
      </c>
      <c r="G36" s="523">
        <f>IFERROR(VLOOKUP($A36,'PP DS Query'!$C$1:$R$1005,7,FALSE),0)</f>
        <v>10.804969570000001</v>
      </c>
      <c r="H36" s="358">
        <f>IFERROR(VLOOKUP($A36,'PP DS Query'!$C$1:$R$1005,8,FALSE),0)</f>
        <v>27963670</v>
      </c>
      <c r="I36" s="523">
        <f>IFERROR(VLOOKUP($A36,'PP DS Query'!$C$1:$R$1005,9,FALSE),0)</f>
        <v>19.77</v>
      </c>
      <c r="J36" s="358">
        <f>IFERROR(VLOOKUP($A36,'PP DS Query'!$C$1:$R$1005,10,FALSE),0)</f>
        <v>51165507.899999999</v>
      </c>
      <c r="K36" s="523">
        <f>IFERROR(VLOOKUP($A36,'PP DS Query'!$C$1:$R$1005,11,FALSE),0)</f>
        <v>9.7952659999999998</v>
      </c>
      <c r="L36" s="358">
        <f>IFERROR(VLOOKUP($A36,'PP DS Query'!$C$1:$R$1005,12,FALSE),0)</f>
        <v>25350518.960000001</v>
      </c>
      <c r="M36" s="19">
        <f>IFERROR(VLOOKUP($A36,'PP DS Query'!$C$1:$R$1005,13,FALSE),0)</f>
        <v>0.52972408999999998</v>
      </c>
      <c r="N36" s="358">
        <f>IFERROR(VLOOKUP($A36,'PP DS Query'!$C$1:$R$1005,14,FALSE),0)</f>
        <v>1370945.99</v>
      </c>
      <c r="O36" s="56">
        <f>IFERROR(VLOOKUP($A36,'PP DS Query'!$C$1:$R$1005,4,FALSE),0)</f>
        <v>-0.05</v>
      </c>
      <c r="P36" s="358">
        <f>-IFERROR(VLOOKUP($A36,'PP DS Query'!$C$1:$R$1005,15,FALSE),0)</f>
        <v>129401.89</v>
      </c>
      <c r="Q36" s="358">
        <f>IFERROR(VLOOKUP($A36,'PP DS Query'!$C$1:$R$1005,16,FALSE),0)</f>
        <v>1109381.0900000001</v>
      </c>
      <c r="R36" s="48"/>
      <c r="S36" s="472">
        <f t="shared" si="6"/>
        <v>34532</v>
      </c>
      <c r="T36" s="472" t="s">
        <v>964</v>
      </c>
      <c r="U36" s="474">
        <f>IFERROR(VLOOKUP($S36,#REF!,8,FALSE),0)</f>
        <v>0</v>
      </c>
      <c r="V36" s="473">
        <f t="shared" si="7"/>
        <v>-2588037.83</v>
      </c>
    </row>
    <row r="37" spans="1:22" ht="15.95" customHeight="1" thickBot="1" x14ac:dyDescent="0.25">
      <c r="A37" s="398" t="s">
        <v>923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34532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811</v>
      </c>
      <c r="B38" s="499">
        <f>IFERROR(VLOOKUP($A38,'PP DS Query'!$C$1:$R$1005,5,FALSE),0)</f>
        <v>2038</v>
      </c>
      <c r="C38" s="33"/>
      <c r="D38" s="34"/>
      <c r="E38" s="15"/>
      <c r="F38" s="443">
        <f>IFERROR(VLOOKUP($A38,'PP DS Query'!$C$1:$R$1005,6,FALSE),0)</f>
        <v>43953040.530000001</v>
      </c>
      <c r="G38" s="525">
        <f>IFERROR(VLOOKUP($A38,'PP DS Query'!$C$1:$R$1005,7,FALSE),0)</f>
        <v>14.534074970000001</v>
      </c>
      <c r="H38" s="443">
        <f>IFERROR(VLOOKUP($A38,'PP DS Query'!$C$1:$R$1005,8,FALSE),0)</f>
        <v>638816786.05999994</v>
      </c>
      <c r="I38" s="525">
        <f>IFERROR(VLOOKUP($A38,'PP DS Query'!$C$1:$R$1005,9,FALSE),0)</f>
        <v>29.186207849999999</v>
      </c>
      <c r="J38" s="443">
        <f>IFERROR(VLOOKUP($A38,'PP DS Query'!$C$1:$R$1005,10,FALSE),0)</f>
        <v>1282822576.71</v>
      </c>
      <c r="K38" s="525">
        <f>IFERROR(VLOOKUP($A38,'PP DS Query'!$C$1:$R$1005,11,FALSE),0)</f>
        <v>15.67913377</v>
      </c>
      <c r="L38" s="443">
        <f>IFERROR(VLOOKUP($A38,'PP DS Query'!$C$1:$R$1005,12,FALSE),0)</f>
        <v>689145601.95000005</v>
      </c>
      <c r="M38" s="445">
        <f>IFERROR(VLOOKUP($A38,'PP DS Query'!$C$1:$R$1005,13,FALSE),0)</f>
        <v>0.49688535</v>
      </c>
      <c r="N38" s="443">
        <f>IFERROR(VLOOKUP($A38,'PP DS Query'!$C$1:$R$1005,14,FALSE),0)</f>
        <v>21839621.920000002</v>
      </c>
      <c r="O38" s="446">
        <f>IFERROR(VLOOKUP($A38,'PP DS Query'!$C$1:$R$1005,4,FALSE),0)</f>
        <v>-0.05</v>
      </c>
      <c r="P38" s="443">
        <f>-IFERROR(VLOOKUP($A38,'PP DS Query'!$C$1:$R$1005,15,FALSE),0)</f>
        <v>2197652.0299999998</v>
      </c>
      <c r="Q38" s="443">
        <f>IFERROR(VLOOKUP($A38,'PP DS Query'!$C$1:$R$1005,16,FALSE),0)</f>
        <v>17672806.710000001</v>
      </c>
      <c r="R38" s="48"/>
      <c r="U38" s="473">
        <f>SUM(U34:U37)</f>
        <v>0</v>
      </c>
      <c r="V38" s="473">
        <f>SUM(V34:V37)</f>
        <v>-43953040.530000001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1241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830</v>
      </c>
      <c r="B41" s="499">
        <f>IFERROR(VLOOKUP($A41,'PP DS Query'!$C$1:$R$1005,5,FALSE),0)</f>
        <v>2038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1410759</v>
      </c>
      <c r="G41" s="523">
        <f>IFERROR(VLOOKUP($A41,'PP DS Query'!$C$1:$R$1005,7,FALSE),0)</f>
        <v>16.365415840000001</v>
      </c>
      <c r="H41" s="358">
        <f>IFERROR(VLOOKUP($A41,'PP DS Query'!$C$1:$R$1005,8,FALSE),0)</f>
        <v>23087657.68</v>
      </c>
      <c r="I41" s="523">
        <f>IFERROR(VLOOKUP($A41,'PP DS Query'!$C$1:$R$1005,9,FALSE),0)</f>
        <v>33.83</v>
      </c>
      <c r="J41" s="358">
        <f>IFERROR(VLOOKUP($A41,'PP DS Query'!$C$1:$R$1005,10,FALSE),0)</f>
        <v>47725976.969999999</v>
      </c>
      <c r="K41" s="523">
        <f>IFERROR(VLOOKUP($A41,'PP DS Query'!$C$1:$R$1005,11,FALSE),0)</f>
        <v>18.451460000000001</v>
      </c>
      <c r="L41" s="358">
        <f>IFERROR(VLOOKUP($A41,'PP DS Query'!$C$1:$R$1005,12,FALSE),0)</f>
        <v>26030563.260000002</v>
      </c>
      <c r="M41" s="19">
        <f>IFERROR(VLOOKUP($A41,'PP DS Query'!$C$1:$R$1005,13,FALSE),0)</f>
        <v>0.47801455999999998</v>
      </c>
      <c r="N41" s="358">
        <f>IFERROR(VLOOKUP($A41,'PP DS Query'!$C$1:$R$1005,14,FALSE),0)</f>
        <v>674363.34</v>
      </c>
      <c r="O41" s="56">
        <f>IFERROR(VLOOKUP($A41,'PP DS Query'!$C$1:$R$1005,4,FALSE),0)</f>
        <v>-0.02</v>
      </c>
      <c r="P41" s="358">
        <f>-IFERROR(VLOOKUP($A41,'PP DS Query'!$C$1:$R$1005,15,FALSE),0)</f>
        <v>28215.18</v>
      </c>
      <c r="Q41" s="358">
        <f>IFERROR(VLOOKUP($A41,'PP DS Query'!$C$1:$R$1005,16,FALSE),0)</f>
        <v>592510.75</v>
      </c>
      <c r="R41" s="48"/>
      <c r="S41" s="472">
        <f>IFERROR(ROUND(LEFT(A41,7)*100,0),0)</f>
        <v>34632</v>
      </c>
      <c r="T41" s="472" t="s">
        <v>962</v>
      </c>
      <c r="U41" s="474">
        <f>IFERROR(VLOOKUP($S41,#REF!,6,FALSE),0)</f>
        <v>0</v>
      </c>
      <c r="V41" s="473">
        <f>U41-F41</f>
        <v>-1410759</v>
      </c>
    </row>
    <row r="42" spans="1:22" ht="15.95" customHeight="1" x14ac:dyDescent="0.2">
      <c r="A42" s="49" t="s">
        <v>831</v>
      </c>
      <c r="B42" s="499">
        <f>IFERROR(VLOOKUP($A42,'PP DS Query'!$C$1:$R$1005,5,FALSE),0)</f>
        <v>2038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44833.35</v>
      </c>
      <c r="G42" s="523">
        <f>IFERROR(VLOOKUP($A42,'PP DS Query'!$C$1:$R$1005,7,FALSE),0)</f>
        <v>41.726617019999999</v>
      </c>
      <c r="H42" s="358">
        <f>IFERROR(VLOOKUP($A42,'PP DS Query'!$C$1:$R$1005,8,FALSE),0)</f>
        <v>1870744.03</v>
      </c>
      <c r="I42" s="523">
        <f>IFERROR(VLOOKUP($A42,'PP DS Query'!$C$1:$R$1005,9,FALSE),0)</f>
        <v>28.76</v>
      </c>
      <c r="J42" s="358">
        <f>IFERROR(VLOOKUP($A42,'PP DS Query'!$C$1:$R$1005,10,FALSE),0)</f>
        <v>1289407.1499999999</v>
      </c>
      <c r="K42" s="523">
        <f>IFERROR(VLOOKUP($A42,'PP DS Query'!$C$1:$R$1005,11,FALSE),0)</f>
        <v>3.2341250000000001</v>
      </c>
      <c r="L42" s="358">
        <f>IFERROR(VLOOKUP($A42,'PP DS Query'!$C$1:$R$1005,12,FALSE),0)</f>
        <v>144996.66</v>
      </c>
      <c r="M42" s="19">
        <f>IFERROR(VLOOKUP($A42,'PP DS Query'!$C$1:$R$1005,13,FALSE),0)</f>
        <v>0.90529974000000002</v>
      </c>
      <c r="N42" s="358">
        <f>IFERROR(VLOOKUP($A42,'PP DS Query'!$C$1:$R$1005,14,FALSE),0)</f>
        <v>40587.620000000003</v>
      </c>
      <c r="O42" s="56">
        <f>IFERROR(VLOOKUP($A42,'PP DS Query'!$C$1:$R$1005,4,FALSE),0)</f>
        <v>-0.02</v>
      </c>
      <c r="P42" s="358">
        <f>-IFERROR(VLOOKUP($A42,'PP DS Query'!$C$1:$R$1005,15,FALSE),0)</f>
        <v>896.67</v>
      </c>
      <c r="Q42" s="358">
        <f>IFERROR(VLOOKUP($A42,'PP DS Query'!$C$1:$R$1005,16,FALSE),0)</f>
        <v>35661.19</v>
      </c>
      <c r="R42" s="48"/>
      <c r="S42" s="472">
        <f t="shared" ref="S42:S44" si="8">IFERROR(ROUND(LEFT(A42,7)*100,0),0)</f>
        <v>34632</v>
      </c>
      <c r="T42" s="472" t="s">
        <v>963</v>
      </c>
      <c r="U42" s="474">
        <f>IFERROR(VLOOKUP($S42,#REF!,7,FALSE),0)</f>
        <v>0</v>
      </c>
      <c r="V42" s="473">
        <f t="shared" ref="V42:V44" si="9">U42-F42</f>
        <v>-44833.35</v>
      </c>
    </row>
    <row r="43" spans="1:22" s="40" customFormat="1" ht="15.95" customHeight="1" x14ac:dyDescent="0.2">
      <c r="A43" s="396" t="s">
        <v>924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34632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925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34632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832</v>
      </c>
      <c r="B45" s="499">
        <f>IFERROR(VLOOKUP($A45,'PP DS Query'!$C$1:$R$1005,5,FALSE),0)</f>
        <v>2038</v>
      </c>
      <c r="C45" s="33"/>
      <c r="D45" s="34"/>
      <c r="E45" s="15"/>
      <c r="F45" s="443">
        <f>IFERROR(VLOOKUP($A45,'PP DS Query'!$C$1:$R$1005,6,FALSE),0)</f>
        <v>1455592.35</v>
      </c>
      <c r="G45" s="525">
        <f>IFERROR(VLOOKUP($A45,'PP DS Query'!$C$1:$R$1005,7,FALSE),0)</f>
        <v>17.146560099999999</v>
      </c>
      <c r="H45" s="443">
        <f>IFERROR(VLOOKUP($A45,'PP DS Query'!$C$1:$R$1005,8,FALSE),0)</f>
        <v>24958401.710000001</v>
      </c>
      <c r="I45" s="525">
        <f>IFERROR(VLOOKUP($A45,'PP DS Query'!$C$1:$R$1005,9,FALSE),0)</f>
        <v>33.673840149999997</v>
      </c>
      <c r="J45" s="443">
        <f>IFERROR(VLOOKUP($A45,'PP DS Query'!$C$1:$R$1005,10,FALSE),0)</f>
        <v>49015384.119999997</v>
      </c>
      <c r="K45" s="525">
        <f>IFERROR(VLOOKUP($A45,'PP DS Query'!$C$1:$R$1005,11,FALSE),0)</f>
        <v>17.98275452</v>
      </c>
      <c r="L45" s="443">
        <f>IFERROR(VLOOKUP($A45,'PP DS Query'!$C$1:$R$1005,12,FALSE),0)</f>
        <v>26175559.920000002</v>
      </c>
      <c r="M45" s="445">
        <f>IFERROR(VLOOKUP($A45,'PP DS Query'!$C$1:$R$1005,13,FALSE),0)</f>
        <v>0.49117527</v>
      </c>
      <c r="N45" s="443">
        <f>IFERROR(VLOOKUP($A45,'PP DS Query'!$C$1:$R$1005,14,FALSE),0)</f>
        <v>714950.96</v>
      </c>
      <c r="O45" s="446">
        <f>IFERROR(VLOOKUP($A45,'PP DS Query'!$C$1:$R$1005,4,FALSE),0)</f>
        <v>-0.02</v>
      </c>
      <c r="P45" s="443">
        <f>-IFERROR(VLOOKUP($A45,'PP DS Query'!$C$1:$R$1005,15,FALSE),0)</f>
        <v>29111.85</v>
      </c>
      <c r="Q45" s="443">
        <f>IFERROR(VLOOKUP($A45,'PP DS Query'!$C$1:$R$1005,16,FALSE),0)</f>
        <v>628171.93999999994</v>
      </c>
      <c r="R45" s="48"/>
      <c r="U45" s="473">
        <f>SUM(U41:U44)</f>
        <v>0</v>
      </c>
      <c r="V45" s="473">
        <f>SUM(V41:V44)</f>
        <v>-1455592.35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Unit #2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197585684.11000001</v>
      </c>
      <c r="G49" s="523">
        <f>IF($F49=0,0,H49/$F49)</f>
        <v>15.716444024462779</v>
      </c>
      <c r="H49" s="358">
        <f t="shared" ref="H49:H52" si="10">H13+H20+H27+H34+H41</f>
        <v>3105344344.3499999</v>
      </c>
      <c r="I49" s="523">
        <f>IF($F49=0,0,J49/$F49)</f>
        <v>32.848895881781708</v>
      </c>
      <c r="J49" s="358">
        <f>J13+J20+J27+J34+J41</f>
        <v>6490471565.0600004</v>
      </c>
      <c r="K49" s="523">
        <f>IF($F49=0,0,L49/$F49)</f>
        <v>18.404258179380708</v>
      </c>
      <c r="L49" s="358">
        <f>L13+L20+L27+L34+L41</f>
        <v>3636417942.9100003</v>
      </c>
      <c r="M49" s="19">
        <f>IF($F49=0,0,N49/$F49)</f>
        <v>0.47652774629958494</v>
      </c>
      <c r="N49" s="358">
        <f t="shared" ref="N49:P52" si="11">N13+N20+N27+N34+N41</f>
        <v>94155060.750000015</v>
      </c>
      <c r="O49" s="56">
        <f>-IF($F49=0,0,P49/$F49)</f>
        <v>-5.4943722309133441E-2</v>
      </c>
      <c r="P49" s="358">
        <f t="shared" si="11"/>
        <v>10856092.960000001</v>
      </c>
      <c r="Q49" s="358">
        <f t="shared" ref="Q49" si="12">Q13+Q20+Q27+Q34+Q41</f>
        <v>60670338.879999995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183717816.80000001</v>
      </c>
      <c r="G50" s="523">
        <f>IF($F50=0,0,H50/$F50)</f>
        <v>15.928361750704191</v>
      </c>
      <c r="H50" s="358">
        <f t="shared" si="10"/>
        <v>2926323846.04</v>
      </c>
      <c r="I50" s="523">
        <f>IF($F50=0,0,J50/$F50)</f>
        <v>28.773438749463736</v>
      </c>
      <c r="J50" s="358">
        <f>J14+J21+J28+J35+J42</f>
        <v>5286193348.8800001</v>
      </c>
      <c r="K50" s="523">
        <f>IF($F50=0,0,L50/$F50)</f>
        <v>13.661709913265199</v>
      </c>
      <c r="L50" s="358">
        <f>L14+L21+L28+L35+L42</f>
        <v>2509899519.02</v>
      </c>
      <c r="M50" s="19">
        <f>IF($F50=0,0,N50/$F50)</f>
        <v>0.56437460141862517</v>
      </c>
      <c r="N50" s="358">
        <f t="shared" si="11"/>
        <v>103685669.63000001</v>
      </c>
      <c r="O50" s="56">
        <f>-IF($F50=0,0,P50/$F50)</f>
        <v>-6.3381062505637173E-2</v>
      </c>
      <c r="P50" s="358">
        <f t="shared" si="11"/>
        <v>11644230.43</v>
      </c>
      <c r="Q50" s="358">
        <f t="shared" ref="Q50" si="13">Q14+Q21+Q28+Q35+Q42</f>
        <v>58134528.059999995</v>
      </c>
      <c r="R50" s="48"/>
    </row>
    <row r="51" spans="1:18" s="40" customFormat="1" ht="15.95" customHeight="1" x14ac:dyDescent="0.2">
      <c r="A51" s="60"/>
      <c r="B51" s="60"/>
      <c r="C51" s="33">
        <v>20</v>
      </c>
      <c r="D51" s="52" t="s">
        <v>22</v>
      </c>
      <c r="E51" s="360" t="s">
        <v>407</v>
      </c>
      <c r="F51" s="358">
        <f>F15+F22+F29+F36+F43</f>
        <v>9144135.8900000006</v>
      </c>
      <c r="G51" s="523">
        <f>IF($F51=0,0,H51/$F51)</f>
        <v>10.759102047859001</v>
      </c>
      <c r="H51" s="358">
        <f t="shared" si="10"/>
        <v>98382691.179999992</v>
      </c>
      <c r="I51" s="523">
        <f>IF($F51=0,0,J51/$F51)</f>
        <v>19.868878879926619</v>
      </c>
      <c r="J51" s="358">
        <f>J15+J22+J29+J36+J43</f>
        <v>181683728.46000001</v>
      </c>
      <c r="K51" s="523">
        <f>IF($F51=0,0,L51/$F51)</f>
        <v>9.8630936400049478</v>
      </c>
      <c r="L51" s="358">
        <f>L15+L22+L29+L36+L43</f>
        <v>90189468.539999992</v>
      </c>
      <c r="M51" s="19">
        <f>IF($F51=0,0,N51/$F51)</f>
        <v>0.53508747014038516</v>
      </c>
      <c r="N51" s="358">
        <f t="shared" si="11"/>
        <v>4892912.54</v>
      </c>
      <c r="O51" s="56">
        <f>-IF($F51=0,0,P51/$F51)</f>
        <v>-6.0867731702093059E-2</v>
      </c>
      <c r="P51" s="358">
        <f t="shared" si="11"/>
        <v>556582.80999999994</v>
      </c>
      <c r="Q51" s="358">
        <f t="shared" ref="Q51" si="14">Q15+Q22+Q29+Q36+Q43</f>
        <v>3029603.3600000003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67203222.519999996</v>
      </c>
      <c r="G52" s="524">
        <f>IF($F52=0,0,H52/$F52)</f>
        <v>4.2254816294782644</v>
      </c>
      <c r="H52" s="250">
        <f t="shared" si="10"/>
        <v>283965982.19999999</v>
      </c>
      <c r="I52" s="524">
        <f>IF($F52=0,0,J52/$F52)</f>
        <v>12</v>
      </c>
      <c r="J52" s="250">
        <f>J16+J23+J30+J37+J44</f>
        <v>806438670.24000001</v>
      </c>
      <c r="K52" s="524">
        <f>IF($F52=0,0,L52/$F52)</f>
        <v>7.7745180000037895</v>
      </c>
      <c r="L52" s="250">
        <f>L16+L23+L30+L37+L44</f>
        <v>522472663.13999999</v>
      </c>
      <c r="M52" s="21">
        <f>IF($F52=0,0,N52/$F52)</f>
        <v>0.37677211196925203</v>
      </c>
      <c r="N52" s="250">
        <f t="shared" si="11"/>
        <v>25320300.079999998</v>
      </c>
      <c r="O52" s="57">
        <f>-IF($F52=0,0,P52/$F52)</f>
        <v>-7.0000000053568864E-2</v>
      </c>
      <c r="P52" s="250">
        <f t="shared" si="11"/>
        <v>4704225.58</v>
      </c>
      <c r="Q52" s="250">
        <f t="shared" ref="Q52" si="15">Q16+Q23+Q30+Q37+Q44</f>
        <v>11520276.17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457650859.31999999</v>
      </c>
      <c r="G53" s="525">
        <f>IF($F53=0,0,H53/$F53)</f>
        <v>14.015087556702634</v>
      </c>
      <c r="H53" s="443">
        <f t="shared" ref="H53" si="16">SUM(H49:H52)</f>
        <v>6414016863.7699995</v>
      </c>
      <c r="I53" s="525">
        <f>IF($F53=0,0,J53/$F53)</f>
        <v>27.89197715395213</v>
      </c>
      <c r="J53" s="443">
        <f>SUM(J49:J52)</f>
        <v>12764787312.639999</v>
      </c>
      <c r="K53" s="525">
        <f>IF($F53=0,0,L53/$F53)</f>
        <v>14.768855899566807</v>
      </c>
      <c r="L53" s="443">
        <f>SUM(L49:L52)</f>
        <v>6758979593.6100006</v>
      </c>
      <c r="M53" s="445">
        <f>IF($F53=0,0,N53/$F53)</f>
        <v>0.49831424623315185</v>
      </c>
      <c r="N53" s="443">
        <f t="shared" ref="N53:P53" si="17">SUM(N49:N52)</f>
        <v>228053943</v>
      </c>
      <c r="O53" s="446">
        <f>-IF($F53=0,0,P53/$F53)</f>
        <v>-6.0660066980424435E-2</v>
      </c>
      <c r="P53" s="443">
        <f t="shared" si="17"/>
        <v>27761131.780000001</v>
      </c>
      <c r="Q53" s="443">
        <f t="shared" ref="Q53" si="18">SUM(Q49:Q52)</f>
        <v>133354746.47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34132</v>
      </c>
      <c r="F56" s="352">
        <f>IFERROR(VLOOKUP(E56,'2019 B-7'!C:P,14,FALSE),0)</f>
        <v>26971966.289999995</v>
      </c>
      <c r="G56" s="353">
        <f>F56-F17</f>
        <v>0</v>
      </c>
      <c r="P56" s="260">
        <f>E56</f>
        <v>34132</v>
      </c>
      <c r="Q56" s="352">
        <f>IFERROR(VLOOKUP(P56,'2019 B-9'!C:R,16,FALSE),0)</f>
        <v>10361332.76999999</v>
      </c>
      <c r="R56" s="353">
        <f>Q56-Q17</f>
        <v>0</v>
      </c>
    </row>
    <row r="57" spans="1:18" x14ac:dyDescent="0.2">
      <c r="E57" s="260">
        <v>34232</v>
      </c>
      <c r="F57" s="352">
        <f>IFERROR(VLOOKUP(E57,'2019 B-7'!C:P,14,FALSE),0)</f>
        <v>98699481.770000011</v>
      </c>
      <c r="G57" s="353">
        <f>F57-F24</f>
        <v>0</v>
      </c>
      <c r="P57" s="260">
        <f t="shared" ref="P57:P60" si="19">E57</f>
        <v>34232</v>
      </c>
      <c r="Q57" s="352">
        <f>IFERROR(VLOOKUP(P57,'2019 B-9'!C:R,16,FALSE),0)</f>
        <v>39055273.190000013</v>
      </c>
      <c r="R57" s="353">
        <f>Q57-Q24</f>
        <v>0</v>
      </c>
    </row>
    <row r="58" spans="1:18" x14ac:dyDescent="0.2">
      <c r="E58" s="260">
        <v>34332</v>
      </c>
      <c r="F58" s="352">
        <f>IFERROR(VLOOKUP(E58,'2019 B-7'!C:P,14,FALSE),0)</f>
        <v>286570778.38000011</v>
      </c>
      <c r="G58" s="353">
        <f>F58-F31</f>
        <v>0</v>
      </c>
      <c r="P58" s="260">
        <f t="shared" si="19"/>
        <v>34332</v>
      </c>
      <c r="Q58" s="352">
        <f>IFERROR(VLOOKUP(P58,'2019 B-9'!C:R,16,FALSE),0)</f>
        <v>65637161.859999985</v>
      </c>
      <c r="R58" s="353">
        <f>Q58-Q31</f>
        <v>0</v>
      </c>
    </row>
    <row r="59" spans="1:18" x14ac:dyDescent="0.2">
      <c r="E59" s="260">
        <v>34532</v>
      </c>
      <c r="F59" s="352">
        <f>IFERROR(VLOOKUP(E59,'2019 B-7'!C:P,14,FALSE),0)</f>
        <v>43953040.530000001</v>
      </c>
      <c r="G59" s="353">
        <f>F59-F38</f>
        <v>0</v>
      </c>
      <c r="P59" s="260">
        <f t="shared" si="19"/>
        <v>34532</v>
      </c>
      <c r="Q59" s="352">
        <f>IFERROR(VLOOKUP(P59,'2019 B-9'!C:R,16,FALSE),0)</f>
        <v>17672806.709999997</v>
      </c>
      <c r="R59" s="353">
        <f>Q59-Q38</f>
        <v>0</v>
      </c>
    </row>
    <row r="60" spans="1:18" x14ac:dyDescent="0.2">
      <c r="E60" s="260">
        <v>34632</v>
      </c>
      <c r="F60" s="352">
        <f>IFERROR(VLOOKUP(E60,'2019 B-7'!C:P,14,FALSE),0)</f>
        <v>1455592.35</v>
      </c>
      <c r="G60" s="353">
        <f>F60-F45</f>
        <v>0</v>
      </c>
      <c r="P60" s="260">
        <f t="shared" si="19"/>
        <v>34632</v>
      </c>
      <c r="Q60" s="352">
        <f>IFERROR(VLOOKUP(P60,'2019 B-9'!C:R,16,FALSE),0)</f>
        <v>628171.93999999925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457650859.32000017</v>
      </c>
      <c r="G61" s="354">
        <f>SUM(G56:G60)</f>
        <v>0</v>
      </c>
      <c r="P61" s="349" t="s">
        <v>40</v>
      </c>
      <c r="Q61" s="354">
        <f>SUM(Q56:Q60)</f>
        <v>133354746.46999998</v>
      </c>
      <c r="R61" s="354">
        <f>SUM(R56:R60)</f>
        <v>0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0</v>
      </c>
    </row>
    <row r="63" spans="1:18" x14ac:dyDescent="0.2">
      <c r="E63" s="29"/>
      <c r="G63" s="18"/>
    </row>
    <row r="64" spans="1:18" x14ac:dyDescent="0.2">
      <c r="E64" s="29"/>
      <c r="G64" s="18"/>
    </row>
    <row r="65" spans="5:8" x14ac:dyDescent="0.2">
      <c r="E65" s="29"/>
      <c r="G65" s="18"/>
    </row>
    <row r="66" spans="5:8" x14ac:dyDescent="0.2">
      <c r="E66" s="50"/>
      <c r="H66" s="18"/>
    </row>
    <row r="67" spans="5:8" x14ac:dyDescent="0.2">
      <c r="E67" s="50"/>
      <c r="H67" s="18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tabColor theme="7" tint="-0.249977111117893"/>
    <pageSetUpPr fitToPage="1"/>
  </sheetPr>
  <dimension ref="A1:V73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85</v>
      </c>
      <c r="D6" s="71"/>
      <c r="E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1242</v>
      </c>
      <c r="E12" s="50"/>
      <c r="P12" s="18"/>
      <c r="Q12" s="18"/>
      <c r="R12" s="48"/>
    </row>
    <row r="13" spans="1:22" ht="15.95" customHeight="1" x14ac:dyDescent="0.2">
      <c r="A13" s="49" t="s">
        <v>608</v>
      </c>
      <c r="B13" s="499">
        <f>IFERROR(VLOOKUP($A13,'PP DS Query'!$C$1:$R$1005,5,FALSE),0)</f>
        <v>2049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656349.29</v>
      </c>
      <c r="G13" s="22">
        <f>IFERROR(VLOOKUP($A13,'PP DS Query'!$C$1:$R$1005,7,FALSE),0)</f>
        <v>9.8465859800000004</v>
      </c>
      <c r="H13" s="358">
        <f>IFERROR(VLOOKUP($A13,'PP DS Query'!$C$1:$R$1005,8,FALSE),0)</f>
        <v>6462799.7199999997</v>
      </c>
      <c r="I13" s="22">
        <f>IFERROR(VLOOKUP($A13,'PP DS Query'!$C$1:$R$1005,9,FALSE),0)</f>
        <v>39.31</v>
      </c>
      <c r="J13" s="358">
        <f>IFERROR(VLOOKUP($A13,'PP DS Query'!$C$1:$R$1005,10,FALSE),0)</f>
        <v>25801090.59</v>
      </c>
      <c r="K13" s="22">
        <f>IFERROR(VLOOKUP($A13,'PP DS Query'!$C$1:$R$1005,11,FALSE),0)</f>
        <v>29.5</v>
      </c>
      <c r="L13" s="358">
        <f>IFERROR(VLOOKUP($A13,'PP DS Query'!$C$1:$R$1005,12,FALSE),0)</f>
        <v>19362304.059999999</v>
      </c>
      <c r="M13" s="19">
        <f>IFERROR(VLOOKUP($A13,'PP DS Query'!$C$1:$R$1005,13,FALSE),0)</f>
        <v>0.25446014</v>
      </c>
      <c r="N13" s="358">
        <f>IFERROR(VLOOKUP($A13,'PP DS Query'!$C$1:$R$1005,14,FALSE),0)</f>
        <v>167014.73000000001</v>
      </c>
      <c r="O13" s="56">
        <f>IFERROR(VLOOKUP($A13,'PP DS Query'!$C$1:$R$1005,4,FALSE),0)</f>
        <v>-0.02</v>
      </c>
      <c r="P13" s="358">
        <f>-IFERROR(VLOOKUP($A13,'PP DS Query'!$C$1:$R$1005,15,FALSE),0)</f>
        <v>13126.99</v>
      </c>
      <c r="Q13" s="358">
        <f>IFERROR(VLOOKUP($A13,'PP DS Query'!$C$1:$R$1005,16,FALSE),0)</f>
        <v>-27875.81</v>
      </c>
      <c r="R13" s="48"/>
      <c r="S13" s="472">
        <f>IFERROR(ROUND(LEFT(A13,7)*100,0),0)</f>
        <v>34133</v>
      </c>
      <c r="T13" s="472" t="s">
        <v>962</v>
      </c>
      <c r="U13" s="474">
        <f>IFERROR(VLOOKUP($S13,#REF!,6,FALSE),0)</f>
        <v>0</v>
      </c>
      <c r="V13" s="473">
        <f>U13-F13</f>
        <v>-656349.29</v>
      </c>
    </row>
    <row r="14" spans="1:22" ht="15.95" customHeight="1" x14ac:dyDescent="0.2">
      <c r="A14" s="49" t="s">
        <v>609</v>
      </c>
      <c r="B14" s="499">
        <f>IFERROR(VLOOKUP($A14,'PP DS Query'!$C$1:$R$1005,5,FALSE),0)</f>
        <v>0</v>
      </c>
      <c r="C14" s="33">
        <f>IFERROR(VLOOKUP($A14,'PP DS Query'!$C$1:$R$1005,3,FALSE),0)</f>
        <v>0</v>
      </c>
      <c r="D14" s="34" t="s">
        <v>22</v>
      </c>
      <c r="E14" s="360">
        <f>IFERROR(VLOOKUP($A14,'PP DS Query'!$C$1:$R$1005,2,FALSE),0)</f>
        <v>0</v>
      </c>
      <c r="F14" s="358">
        <f>IFERROR(VLOOKUP($A14,'PP DS Query'!$C$1:$R$1005,6,FALSE),0)</f>
        <v>0</v>
      </c>
      <c r="G14" s="22">
        <f>IFERROR(VLOOKUP($A14,'PP DS Query'!$C$1:$R$1005,7,FALSE),0)</f>
        <v>0</v>
      </c>
      <c r="H14" s="358">
        <f>IFERROR(VLOOKUP($A14,'PP DS Query'!$C$1:$R$1005,8,FALSE),0)</f>
        <v>0</v>
      </c>
      <c r="I14" s="22">
        <f>IFERROR(VLOOKUP($A14,'PP DS Query'!$C$1:$R$1005,9,FALSE),0)</f>
        <v>0</v>
      </c>
      <c r="J14" s="358">
        <f>IFERROR(VLOOKUP($A14,'PP DS Query'!$C$1:$R$1005,10,FALSE),0)</f>
        <v>0</v>
      </c>
      <c r="K14" s="22">
        <f>IFERROR(VLOOKUP($A14,'PP DS Query'!$C$1:$R$1005,11,FALSE),0)</f>
        <v>0</v>
      </c>
      <c r="L14" s="358">
        <f>IFERROR(VLOOKUP($A14,'PP DS Query'!$C$1:$R$1005,12,FALSE),0)</f>
        <v>0</v>
      </c>
      <c r="M14" s="19">
        <f>IFERROR(VLOOKUP($A14,'PP DS Query'!$C$1:$R$1005,13,FALSE),0)</f>
        <v>0</v>
      </c>
      <c r="N14" s="358">
        <f>IFERROR(VLOOKUP($A14,'PP DS Query'!$C$1:$R$1005,14,FALSE),0)</f>
        <v>0</v>
      </c>
      <c r="O14" s="56">
        <f>IFERROR(VLOOKUP($A14,'PP DS Query'!$C$1:$R$1005,4,FALSE),0)</f>
        <v>0</v>
      </c>
      <c r="P14" s="358">
        <f>-IFERROR(VLOOKUP($A14,'PP DS Query'!$C$1:$R$1005,15,FALSE),0)</f>
        <v>0</v>
      </c>
      <c r="Q14" s="358">
        <f>IFERROR(VLOOKUP($A14,'PP DS Query'!$C$1:$R$1005,16,FALSE),0)</f>
        <v>0</v>
      </c>
      <c r="R14" s="48"/>
      <c r="S14" s="472">
        <f t="shared" ref="S14:S16" si="0">IFERROR(ROUND(LEFT(A14,7)*100,0),0)</f>
        <v>34133</v>
      </c>
      <c r="T14" s="472" t="s">
        <v>963</v>
      </c>
      <c r="U14" s="474">
        <f>IFERROR(VLOOKUP($S14,#REF!,7,FALSE),0)</f>
        <v>0</v>
      </c>
      <c r="V14" s="473">
        <f t="shared" ref="V14:V16" si="1">U14-F14</f>
        <v>0</v>
      </c>
    </row>
    <row r="15" spans="1:22" ht="15.95" customHeight="1" x14ac:dyDescent="0.2">
      <c r="A15" s="396" t="s">
        <v>919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22">
        <f>IFERROR(VLOOKUP($A15,'PP DS Query'!$C$1:$R$1005,7,FALSE),0)</f>
        <v>0</v>
      </c>
      <c r="H15" s="358">
        <f>IFERROR(VLOOKUP($A15,'PP DS Query'!$C$1:$R$1005,8,FALSE),0)</f>
        <v>0</v>
      </c>
      <c r="I15" s="22">
        <f>IFERROR(VLOOKUP($A15,'PP DS Query'!$C$1:$R$1005,9,FALSE),0)</f>
        <v>0</v>
      </c>
      <c r="J15" s="358">
        <f>IFERROR(VLOOKUP($A15,'PP DS Query'!$C$1:$R$1005,10,FALSE),0)</f>
        <v>0</v>
      </c>
      <c r="K15" s="22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34133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1127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20">
        <f>IFERROR(VLOOKUP($A16,'PP DS Query'!$C$1:$R$1005,7,FALSE),0)</f>
        <v>0</v>
      </c>
      <c r="H16" s="250">
        <f>IFERROR(VLOOKUP($A16,'PP DS Query'!$C$1:$R$1005,8,FALSE),0)</f>
        <v>0</v>
      </c>
      <c r="I16" s="20">
        <f>IFERROR(VLOOKUP($A16,'PP DS Query'!$C$1:$R$1005,9,FALSE),0)</f>
        <v>0</v>
      </c>
      <c r="J16" s="250">
        <f>IFERROR(VLOOKUP($A16,'PP DS Query'!$C$1:$R$1005,10,FALSE),0)</f>
        <v>0</v>
      </c>
      <c r="K16" s="20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34133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610</v>
      </c>
      <c r="B17" s="499">
        <f>IFERROR(VLOOKUP($A17,'PP DS Query'!$C$1:$R$1005,5,FALSE),0)</f>
        <v>2049</v>
      </c>
      <c r="C17" s="33"/>
      <c r="D17" s="34"/>
      <c r="E17" s="15"/>
      <c r="F17" s="443">
        <f>IFERROR(VLOOKUP($A17,'PP DS Query'!$C$1:$R$1005,6,FALSE),0)</f>
        <v>656349.29</v>
      </c>
      <c r="G17" s="444">
        <f>IFERROR(VLOOKUP($A17,'PP DS Query'!$C$1:$R$1005,7,FALSE),0)</f>
        <v>9.8465859800000004</v>
      </c>
      <c r="H17" s="443">
        <f>IFERROR(VLOOKUP($A17,'PP DS Query'!$C$1:$R$1005,8,FALSE),0)</f>
        <v>6462799.7199999997</v>
      </c>
      <c r="I17" s="444">
        <f>IFERROR(VLOOKUP($A17,'PP DS Query'!$C$1:$R$1005,9,FALSE),0)</f>
        <v>39.31</v>
      </c>
      <c r="J17" s="443">
        <f>IFERROR(VLOOKUP($A17,'PP DS Query'!$C$1:$R$1005,10,FALSE),0)</f>
        <v>25801090.59</v>
      </c>
      <c r="K17" s="444">
        <f>IFERROR(VLOOKUP($A17,'PP DS Query'!$C$1:$R$1005,11,FALSE),0)</f>
        <v>29.5</v>
      </c>
      <c r="L17" s="443">
        <f>IFERROR(VLOOKUP($A17,'PP DS Query'!$C$1:$R$1005,12,FALSE),0)</f>
        <v>19362304.059999999</v>
      </c>
      <c r="M17" s="445">
        <f>IFERROR(VLOOKUP($A17,'PP DS Query'!$C$1:$R$1005,13,FALSE),0)</f>
        <v>0.25446014</v>
      </c>
      <c r="N17" s="443">
        <f>IFERROR(VLOOKUP($A17,'PP DS Query'!$C$1:$R$1005,14,FALSE),0)</f>
        <v>167014.73000000001</v>
      </c>
      <c r="O17" s="446">
        <f>IFERROR(VLOOKUP($A17,'PP DS Query'!$C$1:$R$1005,4,FALSE),0)</f>
        <v>-0.02</v>
      </c>
      <c r="P17" s="443">
        <f>-IFERROR(VLOOKUP($A17,'PP DS Query'!$C$1:$R$1005,15,FALSE),0)</f>
        <v>13126.99</v>
      </c>
      <c r="Q17" s="443">
        <f>IFERROR(VLOOKUP($A17,'PP DS Query'!$C$1:$R$1005,16,FALSE),0)</f>
        <v>-27875.81</v>
      </c>
      <c r="R17" s="48"/>
      <c r="U17" s="473">
        <f>SUM(U13:U16)</f>
        <v>0</v>
      </c>
      <c r="V17" s="473">
        <f>SUM(V13:V16)</f>
        <v>-656349.29</v>
      </c>
    </row>
    <row r="18" spans="1:22" ht="15.95" customHeight="1" x14ac:dyDescent="0.2">
      <c r="A18" s="49"/>
      <c r="B18" s="49"/>
      <c r="C18" s="15"/>
      <c r="E18" s="360"/>
      <c r="G18" s="22"/>
      <c r="I18" s="22"/>
      <c r="K18" s="22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1243</v>
      </c>
      <c r="E19" s="360"/>
      <c r="G19" s="22"/>
      <c r="I19" s="22"/>
      <c r="K19" s="22"/>
      <c r="O19" s="59"/>
      <c r="P19" s="18"/>
      <c r="Q19" s="18"/>
      <c r="R19" s="48"/>
    </row>
    <row r="20" spans="1:22" ht="15.95" customHeight="1" x14ac:dyDescent="0.2">
      <c r="A20" s="49" t="s">
        <v>762</v>
      </c>
      <c r="B20" s="499">
        <f>IFERROR(VLOOKUP($A20,'PP DS Query'!$C$1:$R$1005,5,FALSE),0)</f>
        <v>2049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2252400.6</v>
      </c>
      <c r="G20" s="22">
        <f>IFERROR(VLOOKUP($A20,'PP DS Query'!$C$1:$R$1005,7,FALSE),0)</f>
        <v>10.0858908</v>
      </c>
      <c r="H20" s="358">
        <f>IFERROR(VLOOKUP($A20,'PP DS Query'!$C$1:$R$1005,8,FALSE),0)</f>
        <v>22717466.48</v>
      </c>
      <c r="I20" s="22">
        <f>IFERROR(VLOOKUP($A20,'PP DS Query'!$C$1:$R$1005,9,FALSE),0)</f>
        <v>39.479999999999997</v>
      </c>
      <c r="J20" s="358">
        <f>IFERROR(VLOOKUP($A20,'PP DS Query'!$C$1:$R$1005,10,FALSE),0)</f>
        <v>88924775.689999998</v>
      </c>
      <c r="K20" s="22">
        <f>IFERROR(VLOOKUP($A20,'PP DS Query'!$C$1:$R$1005,11,FALSE),0)</f>
        <v>29.5</v>
      </c>
      <c r="L20" s="358">
        <f>IFERROR(VLOOKUP($A20,'PP DS Query'!$C$1:$R$1005,12,FALSE),0)</f>
        <v>66445817.700000003</v>
      </c>
      <c r="M20" s="19">
        <f>IFERROR(VLOOKUP($A20,'PP DS Query'!$C$1:$R$1005,13,FALSE),0)</f>
        <v>0.26548748999999999</v>
      </c>
      <c r="N20" s="358">
        <f>IFERROR(VLOOKUP($A20,'PP DS Query'!$C$1:$R$1005,14,FALSE),0)</f>
        <v>597984.18000000005</v>
      </c>
      <c r="O20" s="56">
        <f>IFERROR(VLOOKUP($A20,'PP DS Query'!$C$1:$R$1005,4,FALSE),0)</f>
        <v>-0.05</v>
      </c>
      <c r="P20" s="358">
        <f>-IFERROR(VLOOKUP($A20,'PP DS Query'!$C$1:$R$1005,15,FALSE),0)</f>
        <v>112620.03</v>
      </c>
      <c r="Q20" s="358">
        <f>IFERROR(VLOOKUP($A20,'PP DS Query'!$C$1:$R$1005,16,FALSE),0)</f>
        <v>489505.97</v>
      </c>
      <c r="R20" s="48"/>
      <c r="S20" s="472">
        <f>IFERROR(ROUND(LEFT(A20,7)*100,0),0)</f>
        <v>34233</v>
      </c>
      <c r="T20" s="472" t="s">
        <v>962</v>
      </c>
      <c r="U20" s="474">
        <f>IFERROR(VLOOKUP($S20,#REF!,6,FALSE),0)</f>
        <v>0</v>
      </c>
      <c r="V20" s="473">
        <f>U20-F20</f>
        <v>-2252400.6</v>
      </c>
    </row>
    <row r="21" spans="1:22" ht="15.95" customHeight="1" x14ac:dyDescent="0.2">
      <c r="A21" s="49" t="s">
        <v>763</v>
      </c>
      <c r="B21" s="499">
        <f>IFERROR(VLOOKUP($A21,'PP DS Query'!$C$1:$R$1005,5,FALSE),0)</f>
        <v>2049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737638.72</v>
      </c>
      <c r="G21" s="22">
        <f>IFERROR(VLOOKUP($A21,'PP DS Query'!$C$1:$R$1005,7,FALSE),0)</f>
        <v>10.149588570000001</v>
      </c>
      <c r="H21" s="358">
        <f>IFERROR(VLOOKUP($A21,'PP DS Query'!$C$1:$R$1005,8,FALSE),0)</f>
        <v>7486729.5199999996</v>
      </c>
      <c r="I21" s="22">
        <f>IFERROR(VLOOKUP($A21,'PP DS Query'!$C$1:$R$1005,9,FALSE),0)</f>
        <v>29.99</v>
      </c>
      <c r="J21" s="358">
        <f>IFERROR(VLOOKUP($A21,'PP DS Query'!$C$1:$R$1005,10,FALSE),0)</f>
        <v>22121785.210000001</v>
      </c>
      <c r="K21" s="22">
        <f>IFERROR(VLOOKUP($A21,'PP DS Query'!$C$1:$R$1005,11,FALSE),0)</f>
        <v>19.775386000000001</v>
      </c>
      <c r="L21" s="358">
        <f>IFERROR(VLOOKUP($A21,'PP DS Query'!$C$1:$R$1005,12,FALSE),0)</f>
        <v>14587090.42</v>
      </c>
      <c r="M21" s="19">
        <f>IFERROR(VLOOKUP($A21,'PP DS Query'!$C$1:$R$1005,13,FALSE),0)</f>
        <v>0.35770626</v>
      </c>
      <c r="N21" s="358">
        <f>IFERROR(VLOOKUP($A21,'PP DS Query'!$C$1:$R$1005,14,FALSE),0)</f>
        <v>263857.99</v>
      </c>
      <c r="O21" s="56">
        <f>IFERROR(VLOOKUP($A21,'PP DS Query'!$C$1:$R$1005,4,FALSE),0)</f>
        <v>-0.05</v>
      </c>
      <c r="P21" s="358">
        <f>-IFERROR(VLOOKUP($A21,'PP DS Query'!$C$1:$R$1005,15,FALSE),0)</f>
        <v>36881.94</v>
      </c>
      <c r="Q21" s="358">
        <f>IFERROR(VLOOKUP($A21,'PP DS Query'!$C$1:$R$1005,16,FALSE),0)</f>
        <v>215992.44</v>
      </c>
      <c r="R21" s="48"/>
      <c r="S21" s="472">
        <f t="shared" ref="S21:S23" si="2">IFERROR(ROUND(LEFT(A21,7)*100,0),0)</f>
        <v>34233</v>
      </c>
      <c r="T21" s="472" t="s">
        <v>963</v>
      </c>
      <c r="U21" s="474">
        <f>IFERROR(VLOOKUP($S21,#REF!,7,FALSE),0)</f>
        <v>0</v>
      </c>
      <c r="V21" s="473">
        <f t="shared" ref="V21:V23" si="3">U21-F21</f>
        <v>-737638.72</v>
      </c>
    </row>
    <row r="22" spans="1:22" ht="15.95" customHeight="1" x14ac:dyDescent="0.2">
      <c r="A22" s="49" t="s">
        <v>764</v>
      </c>
      <c r="B22" s="499">
        <f>IFERROR(VLOOKUP($A22,'PP DS Query'!$C$1:$R$1005,5,FALSE),0)</f>
        <v>2049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399650.25</v>
      </c>
      <c r="G22" s="22">
        <f>IFERROR(VLOOKUP($A22,'PP DS Query'!$C$1:$R$1005,7,FALSE),0)</f>
        <v>10.04479858</v>
      </c>
      <c r="H22" s="358">
        <f>IFERROR(VLOOKUP($A22,'PP DS Query'!$C$1:$R$1005,8,FALSE),0)</f>
        <v>4014406.27</v>
      </c>
      <c r="I22" s="22">
        <f>IFERROR(VLOOKUP($A22,'PP DS Query'!$C$1:$R$1005,9,FALSE),0)</f>
        <v>20</v>
      </c>
      <c r="J22" s="358">
        <f>IFERROR(VLOOKUP($A22,'PP DS Query'!$C$1:$R$1005,10,FALSE),0)</f>
        <v>7993005</v>
      </c>
      <c r="K22" s="22">
        <f>IFERROR(VLOOKUP($A22,'PP DS Query'!$C$1:$R$1005,11,FALSE),0)</f>
        <v>10.2081</v>
      </c>
      <c r="L22" s="358">
        <f>IFERROR(VLOOKUP($A22,'PP DS Query'!$C$1:$R$1005,12,FALSE),0)</f>
        <v>4079669.72</v>
      </c>
      <c r="M22" s="19">
        <f>IFERROR(VLOOKUP($A22,'PP DS Query'!$C$1:$R$1005,13,FALSE),0)</f>
        <v>0.51407473999999997</v>
      </c>
      <c r="N22" s="358">
        <f>IFERROR(VLOOKUP($A22,'PP DS Query'!$C$1:$R$1005,14,FALSE),0)</f>
        <v>205450.1</v>
      </c>
      <c r="O22" s="56">
        <f>IFERROR(VLOOKUP($A22,'PP DS Query'!$C$1:$R$1005,4,FALSE),0)</f>
        <v>-0.05</v>
      </c>
      <c r="P22" s="358">
        <f>-IFERROR(VLOOKUP($A22,'PP DS Query'!$C$1:$R$1005,15,FALSE),0)</f>
        <v>19982.509999999998</v>
      </c>
      <c r="Q22" s="358">
        <f>IFERROR(VLOOKUP($A22,'PP DS Query'!$C$1:$R$1005,16,FALSE),0)</f>
        <v>168180.11</v>
      </c>
      <c r="R22" s="48"/>
      <c r="S22" s="472">
        <f t="shared" si="2"/>
        <v>34233</v>
      </c>
      <c r="T22" s="472" t="s">
        <v>964</v>
      </c>
      <c r="U22" s="474">
        <f>IFERROR(VLOOKUP($S22,#REF!,8,FALSE),0)</f>
        <v>0</v>
      </c>
      <c r="V22" s="473">
        <f t="shared" si="3"/>
        <v>-399650.25</v>
      </c>
    </row>
    <row r="23" spans="1:22" ht="15.95" customHeight="1" thickBot="1" x14ac:dyDescent="0.25">
      <c r="A23" s="397" t="s">
        <v>1128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20">
        <f>IFERROR(VLOOKUP($A23,'PP DS Query'!$C$1:$R$1005,7,FALSE),0)</f>
        <v>0</v>
      </c>
      <c r="H23" s="250">
        <f>IFERROR(VLOOKUP($A23,'PP DS Query'!$C$1:$R$1005,8,FALSE),0)</f>
        <v>0</v>
      </c>
      <c r="I23" s="20">
        <f>IFERROR(VLOOKUP($A23,'PP DS Query'!$C$1:$R$1005,9,FALSE),0)</f>
        <v>0</v>
      </c>
      <c r="J23" s="250">
        <f>IFERROR(VLOOKUP($A23,'PP DS Query'!$C$1:$R$1005,10,FALSE),0)</f>
        <v>0</v>
      </c>
      <c r="K23" s="20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34233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765</v>
      </c>
      <c r="B24" s="499">
        <f>IFERROR(VLOOKUP($A24,'PP DS Query'!$C$1:$R$1005,5,FALSE),0)</f>
        <v>2049</v>
      </c>
      <c r="C24" s="33"/>
      <c r="D24" s="34"/>
      <c r="E24" s="15"/>
      <c r="F24" s="443">
        <f>IFERROR(VLOOKUP($A24,'PP DS Query'!$C$1:$R$1005,6,FALSE),0)</f>
        <v>3389689.57</v>
      </c>
      <c r="G24" s="444">
        <f>IFERROR(VLOOKUP($A24,'PP DS Query'!$C$1:$R$1005,7,FALSE),0)</f>
        <v>10.09490738</v>
      </c>
      <c r="H24" s="443">
        <f>IFERROR(VLOOKUP($A24,'PP DS Query'!$C$1:$R$1005,8,FALSE),0)</f>
        <v>34218602.270000003</v>
      </c>
      <c r="I24" s="444">
        <f>IFERROR(VLOOKUP($A24,'PP DS Query'!$C$1:$R$1005,9,FALSE),0)</f>
        <v>35.118132039999999</v>
      </c>
      <c r="J24" s="443">
        <f>IFERROR(VLOOKUP($A24,'PP DS Query'!$C$1:$R$1005,10,FALSE),0)</f>
        <v>119039565.90000001</v>
      </c>
      <c r="K24" s="444">
        <f>IFERROR(VLOOKUP($A24,'PP DS Query'!$C$1:$R$1005,11,FALSE),0)</f>
        <v>25.109254419999999</v>
      </c>
      <c r="L24" s="443">
        <f>IFERROR(VLOOKUP($A24,'PP DS Query'!$C$1:$R$1005,12,FALSE),0)</f>
        <v>85112577.829999998</v>
      </c>
      <c r="M24" s="445">
        <f>IFERROR(VLOOKUP($A24,'PP DS Query'!$C$1:$R$1005,13,FALSE),0)</f>
        <v>0.31486430999999998</v>
      </c>
      <c r="N24" s="443">
        <f>IFERROR(VLOOKUP($A24,'PP DS Query'!$C$1:$R$1005,14,FALSE),0)</f>
        <v>1067292.27</v>
      </c>
      <c r="O24" s="446">
        <f>IFERROR(VLOOKUP($A24,'PP DS Query'!$C$1:$R$1005,4,FALSE),0)</f>
        <v>-0.05</v>
      </c>
      <c r="P24" s="443">
        <f>-IFERROR(VLOOKUP($A24,'PP DS Query'!$C$1:$R$1005,15,FALSE),0)</f>
        <v>169484.48</v>
      </c>
      <c r="Q24" s="443">
        <f>IFERROR(VLOOKUP($A24,'PP DS Query'!$C$1:$R$1005,16,FALSE),0)</f>
        <v>873678.52</v>
      </c>
      <c r="R24" s="48"/>
      <c r="U24" s="473">
        <f>SUM(U20:U23)</f>
        <v>0</v>
      </c>
      <c r="V24" s="473">
        <f>SUM(V20:V23)</f>
        <v>-3389689.5700000003</v>
      </c>
    </row>
    <row r="25" spans="1:22" ht="15.95" customHeight="1" x14ac:dyDescent="0.2">
      <c r="A25" s="49"/>
      <c r="B25" s="49"/>
      <c r="C25" s="15"/>
      <c r="E25" s="360"/>
      <c r="G25" s="22"/>
      <c r="I25" s="22"/>
      <c r="K25" s="22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1244</v>
      </c>
      <c r="E26" s="360"/>
      <c r="G26" s="22"/>
      <c r="I26" s="22"/>
      <c r="K26" s="22"/>
      <c r="O26" s="59"/>
      <c r="P26" s="29"/>
      <c r="Q26" s="29"/>
      <c r="R26" s="48"/>
    </row>
    <row r="27" spans="1:22" ht="15.95" customHeight="1" x14ac:dyDescent="0.2">
      <c r="A27" s="49" t="s">
        <v>788</v>
      </c>
      <c r="B27" s="499">
        <f>IFERROR(VLOOKUP($A27,'PP DS Query'!$C$1:$R$1005,5,FALSE),0)</f>
        <v>2049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1157445.32</v>
      </c>
      <c r="G27" s="22">
        <f>IFERROR(VLOOKUP($A27,'PP DS Query'!$C$1:$R$1005,7,FALSE),0)</f>
        <v>9.1642599499999999</v>
      </c>
      <c r="H27" s="358">
        <f>IFERROR(VLOOKUP($A27,'PP DS Query'!$C$1:$R$1005,8,FALSE),0)</f>
        <v>10607129.789999999</v>
      </c>
      <c r="I27" s="22">
        <f>IFERROR(VLOOKUP($A27,'PP DS Query'!$C$1:$R$1005,9,FALSE),0)</f>
        <v>38.4</v>
      </c>
      <c r="J27" s="358">
        <f>IFERROR(VLOOKUP($A27,'PP DS Query'!$C$1:$R$1005,10,FALSE),0)</f>
        <v>44445900.289999999</v>
      </c>
      <c r="K27" s="22">
        <f>IFERROR(VLOOKUP($A27,'PP DS Query'!$C$1:$R$1005,11,FALSE),0)</f>
        <v>29.5</v>
      </c>
      <c r="L27" s="358">
        <f>IFERROR(VLOOKUP($A27,'PP DS Query'!$C$1:$R$1005,12,FALSE),0)</f>
        <v>34144636.939999998</v>
      </c>
      <c r="M27" s="19">
        <f>IFERROR(VLOOKUP($A27,'PP DS Query'!$C$1:$R$1005,13,FALSE),0)</f>
        <v>0.24799926</v>
      </c>
      <c r="N27" s="358">
        <f>IFERROR(VLOOKUP($A27,'PP DS Query'!$C$1:$R$1005,14,FALSE),0)</f>
        <v>287045.58</v>
      </c>
      <c r="O27" s="56">
        <f>IFERROR(VLOOKUP($A27,'PP DS Query'!$C$1:$R$1005,4,FALSE),0)</f>
        <v>-7.0000000000000007E-2</v>
      </c>
      <c r="P27" s="358">
        <f>-IFERROR(VLOOKUP($A27,'PP DS Query'!$C$1:$R$1005,15,FALSE),0)</f>
        <v>81021.17</v>
      </c>
      <c r="Q27" s="358">
        <f>IFERROR(VLOOKUP($A27,'PP DS Query'!$C$1:$R$1005,16,FALSE),0)</f>
        <v>349914.63</v>
      </c>
      <c r="R27" s="48"/>
      <c r="S27" s="472">
        <f>IFERROR(ROUND(LEFT(A27,7)*100,0),0)</f>
        <v>34333</v>
      </c>
      <c r="T27" s="472" t="s">
        <v>962</v>
      </c>
      <c r="U27" s="474">
        <f>IFERROR(VLOOKUP($S27,#REF!,6,FALSE),0)</f>
        <v>0</v>
      </c>
      <c r="V27" s="473">
        <f>U27-F27</f>
        <v>-1157445.32</v>
      </c>
    </row>
    <row r="28" spans="1:22" ht="15.95" customHeight="1" x14ac:dyDescent="0.2">
      <c r="A28" s="49" t="s">
        <v>789</v>
      </c>
      <c r="B28" s="499">
        <f>IFERROR(VLOOKUP($A28,'PP DS Query'!$C$1:$R$1005,5,FALSE),0)</f>
        <v>2049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13576224.02</v>
      </c>
      <c r="G28" s="22">
        <f>IFERROR(VLOOKUP($A28,'PP DS Query'!$C$1:$R$1005,7,FALSE),0)</f>
        <v>10.466486120000001</v>
      </c>
      <c r="H28" s="358">
        <f>IFERROR(VLOOKUP($A28,'PP DS Query'!$C$1:$R$1005,8,FALSE),0)</f>
        <v>142095360.22999999</v>
      </c>
      <c r="I28" s="22">
        <f>IFERROR(VLOOKUP($A28,'PP DS Query'!$C$1:$R$1005,9,FALSE),0)</f>
        <v>30</v>
      </c>
      <c r="J28" s="358">
        <f>IFERROR(VLOOKUP($A28,'PP DS Query'!$C$1:$R$1005,10,FALSE),0)</f>
        <v>407286720.60000002</v>
      </c>
      <c r="K28" s="22">
        <f>IFERROR(VLOOKUP($A28,'PP DS Query'!$C$1:$R$1005,11,FALSE),0)</f>
        <v>19.485554</v>
      </c>
      <c r="L28" s="358">
        <f>IFERROR(VLOOKUP($A28,'PP DS Query'!$C$1:$R$1005,12,FALSE),0)</f>
        <v>264540246.25999999</v>
      </c>
      <c r="M28" s="19">
        <f>IFERROR(VLOOKUP($A28,'PP DS Query'!$C$1:$R$1005,13,FALSE),0)</f>
        <v>0.37500762999999998</v>
      </c>
      <c r="N28" s="358">
        <f>IFERROR(VLOOKUP($A28,'PP DS Query'!$C$1:$R$1005,14,FALSE),0)</f>
        <v>5091187.62</v>
      </c>
      <c r="O28" s="56">
        <f>IFERROR(VLOOKUP($A28,'PP DS Query'!$C$1:$R$1005,4,FALSE),0)</f>
        <v>-7.0000000000000007E-2</v>
      </c>
      <c r="P28" s="358">
        <f>-IFERROR(VLOOKUP($A28,'PP DS Query'!$C$1:$R$1005,15,FALSE),0)</f>
        <v>950335.68</v>
      </c>
      <c r="Q28" s="358">
        <f>IFERROR(VLOOKUP($A28,'PP DS Query'!$C$1:$R$1005,16,FALSE),0)</f>
        <v>6206265.3799999999</v>
      </c>
      <c r="R28" s="48"/>
      <c r="S28" s="472">
        <f t="shared" ref="S28:S30" si="4">IFERROR(ROUND(LEFT(A28,7)*100,0),0)</f>
        <v>34333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-13576224.02</v>
      </c>
    </row>
    <row r="29" spans="1:22" ht="15.95" customHeight="1" x14ac:dyDescent="0.2">
      <c r="A29" s="49" t="s">
        <v>790</v>
      </c>
      <c r="B29" s="499">
        <f>IFERROR(VLOOKUP($A29,'PP DS Query'!$C$1:$R$1005,5,FALSE),0)</f>
        <v>2049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665350.71</v>
      </c>
      <c r="G29" s="22">
        <f>IFERROR(VLOOKUP($A29,'PP DS Query'!$C$1:$R$1005,7,FALSE),0)</f>
        <v>9.0533330799999998</v>
      </c>
      <c r="H29" s="358">
        <f>IFERROR(VLOOKUP($A29,'PP DS Query'!$C$1:$R$1005,8,FALSE),0)</f>
        <v>6023641.5999999996</v>
      </c>
      <c r="I29" s="22">
        <f>IFERROR(VLOOKUP($A29,'PP DS Query'!$C$1:$R$1005,9,FALSE),0)</f>
        <v>20</v>
      </c>
      <c r="J29" s="358">
        <f>IFERROR(VLOOKUP($A29,'PP DS Query'!$C$1:$R$1005,10,FALSE),0)</f>
        <v>13307014.199999999</v>
      </c>
      <c r="K29" s="22">
        <f>IFERROR(VLOOKUP($A29,'PP DS Query'!$C$1:$R$1005,11,FALSE),0)</f>
        <v>11.146444000000001</v>
      </c>
      <c r="L29" s="358">
        <f>IFERROR(VLOOKUP($A29,'PP DS Query'!$C$1:$R$1005,12,FALSE),0)</f>
        <v>7416294.4299999997</v>
      </c>
      <c r="M29" s="19">
        <f>IFERROR(VLOOKUP($A29,'PP DS Query'!$C$1:$R$1005,13,FALSE),0)</f>
        <v>0.47366525999999998</v>
      </c>
      <c r="N29" s="358">
        <f>IFERROR(VLOOKUP($A29,'PP DS Query'!$C$1:$R$1005,14,FALSE),0)</f>
        <v>315153.52</v>
      </c>
      <c r="O29" s="56">
        <f>IFERROR(VLOOKUP($A29,'PP DS Query'!$C$1:$R$1005,4,FALSE),0)</f>
        <v>-7.0000000000000007E-2</v>
      </c>
      <c r="P29" s="358">
        <f>-IFERROR(VLOOKUP($A29,'PP DS Query'!$C$1:$R$1005,15,FALSE),0)</f>
        <v>46574.55</v>
      </c>
      <c r="Q29" s="358">
        <f>IFERROR(VLOOKUP($A29,'PP DS Query'!$C$1:$R$1005,16,FALSE),0)</f>
        <v>384178.81</v>
      </c>
      <c r="R29" s="48"/>
      <c r="S29" s="472">
        <f t="shared" si="4"/>
        <v>34333</v>
      </c>
      <c r="T29" s="472" t="s">
        <v>964</v>
      </c>
      <c r="U29" s="474">
        <f>IFERROR(VLOOKUP($S29,#REF!,8,FALSE),0)</f>
        <v>0</v>
      </c>
      <c r="V29" s="473">
        <f t="shared" si="5"/>
        <v>-665350.71</v>
      </c>
    </row>
    <row r="30" spans="1:22" ht="15.95" customHeight="1" thickBot="1" x14ac:dyDescent="0.25">
      <c r="A30" s="397" t="s">
        <v>1039</v>
      </c>
      <c r="B30" s="499">
        <f>IFERROR(VLOOKUP($A30,'PP DS Query'!$C$1:$R$1005,5,FALSE),0)</f>
        <v>2049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23151.21</v>
      </c>
      <c r="G30" s="20">
        <f>IFERROR(VLOOKUP($A30,'PP DS Query'!$C$1:$R$1005,7,FALSE),0)</f>
        <v>0.5</v>
      </c>
      <c r="H30" s="250">
        <f>IFERROR(VLOOKUP($A30,'PP DS Query'!$C$1:$R$1005,8,FALSE),0)</f>
        <v>11575.61</v>
      </c>
      <c r="I30" s="20">
        <f>IFERROR(VLOOKUP($A30,'PP DS Query'!$C$1:$R$1005,9,FALSE),0)</f>
        <v>12</v>
      </c>
      <c r="J30" s="250">
        <f>IFERROR(VLOOKUP($A30,'PP DS Query'!$C$1:$R$1005,10,FALSE),0)</f>
        <v>277814.52</v>
      </c>
      <c r="K30" s="20">
        <f>IFERROR(VLOOKUP($A30,'PP DS Query'!$C$1:$R$1005,11,FALSE),0)</f>
        <v>11.5</v>
      </c>
      <c r="L30" s="250">
        <f>IFERROR(VLOOKUP($A30,'PP DS Query'!$C$1:$R$1005,12,FALSE),0)</f>
        <v>266238.92</v>
      </c>
      <c r="M30" s="21">
        <f>IFERROR(VLOOKUP($A30,'PP DS Query'!$C$1:$R$1005,13,FALSE),0)</f>
        <v>4.4583409999999997E-2</v>
      </c>
      <c r="N30" s="250">
        <f>IFERROR(VLOOKUP($A30,'PP DS Query'!$C$1:$R$1005,14,FALSE),0)</f>
        <v>1032.1600000000001</v>
      </c>
      <c r="O30" s="57">
        <f>IFERROR(VLOOKUP($A30,'PP DS Query'!$C$1:$R$1005,4,FALSE),0)</f>
        <v>-7.0000000000000007E-2</v>
      </c>
      <c r="P30" s="250">
        <f>-IFERROR(VLOOKUP($A30,'PP DS Query'!$C$1:$R$1005,15,FALSE),0)</f>
        <v>1620.58</v>
      </c>
      <c r="Q30" s="250">
        <f>IFERROR(VLOOKUP($A30,'PP DS Query'!$C$1:$R$1005,16,FALSE),0)</f>
        <v>1258.22</v>
      </c>
      <c r="R30" s="48"/>
      <c r="S30" s="472">
        <f t="shared" si="4"/>
        <v>34333</v>
      </c>
      <c r="T30" s="472" t="s">
        <v>961</v>
      </c>
      <c r="U30" s="475">
        <f>IFERROR(VLOOKUP($S30,#REF!,9,FALSE),0)</f>
        <v>0</v>
      </c>
      <c r="V30" s="476">
        <f t="shared" si="5"/>
        <v>-23151.21</v>
      </c>
    </row>
    <row r="31" spans="1:22" ht="15.95" customHeight="1" x14ac:dyDescent="0.2">
      <c r="A31" s="49" t="s">
        <v>791</v>
      </c>
      <c r="B31" s="499">
        <f>IFERROR(VLOOKUP($A31,'PP DS Query'!$C$1:$R$1005,5,FALSE),0)</f>
        <v>2049</v>
      </c>
      <c r="C31" s="33"/>
      <c r="D31" s="34"/>
      <c r="E31" s="15"/>
      <c r="F31" s="443">
        <f>IFERROR(VLOOKUP($A31,'PP DS Query'!$C$1:$R$1005,6,FALSE),0)</f>
        <v>15422171.26</v>
      </c>
      <c r="G31" s="444">
        <f>IFERROR(VLOOKUP($A31,'PP DS Query'!$C$1:$R$1005,7,FALSE),0)</f>
        <v>10.292824830000001</v>
      </c>
      <c r="H31" s="443">
        <f>IFERROR(VLOOKUP($A31,'PP DS Query'!$C$1:$R$1005,8,FALSE),0)</f>
        <v>158737707.22</v>
      </c>
      <c r="I31" s="444">
        <f>IFERROR(VLOOKUP($A31,'PP DS Query'!$C$1:$R$1005,9,FALSE),0)</f>
        <v>30.171980439999999</v>
      </c>
      <c r="J31" s="443">
        <f>IFERROR(VLOOKUP($A31,'PP DS Query'!$C$1:$R$1005,10,FALSE),0)</f>
        <v>465317449.61000001</v>
      </c>
      <c r="K31" s="444">
        <f>IFERROR(VLOOKUP($A31,'PP DS Query'!$C$1:$R$1005,11,FALSE),0)</f>
        <v>19.865388039999999</v>
      </c>
      <c r="L31" s="443">
        <f>IFERROR(VLOOKUP($A31,'PP DS Query'!$C$1:$R$1005,12,FALSE),0)</f>
        <v>306367416.54000002</v>
      </c>
      <c r="M31" s="445">
        <f>IFERROR(VLOOKUP($A31,'PP DS Query'!$C$1:$R$1005,13,FALSE),0)</f>
        <v>0.36923587000000002</v>
      </c>
      <c r="N31" s="443">
        <f>IFERROR(VLOOKUP($A31,'PP DS Query'!$C$1:$R$1005,14,FALSE),0)</f>
        <v>5694418.8799999999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1079551.99</v>
      </c>
      <c r="Q31" s="443">
        <f>IFERROR(VLOOKUP($A31,'PP DS Query'!$C$1:$R$1005,16,FALSE),0)</f>
        <v>6941617.04</v>
      </c>
      <c r="R31" s="48"/>
      <c r="U31" s="473">
        <f>SUM(U27:U30)</f>
        <v>0</v>
      </c>
      <c r="V31" s="473">
        <f>SUM(V27:V30)</f>
        <v>-15422171.260000002</v>
      </c>
    </row>
    <row r="32" spans="1:22" ht="15.95" customHeight="1" x14ac:dyDescent="0.2">
      <c r="A32" s="49"/>
      <c r="B32" s="49"/>
      <c r="C32" s="15"/>
      <c r="E32" s="360"/>
      <c r="G32" s="22"/>
      <c r="I32" s="22"/>
      <c r="K32" s="22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1245</v>
      </c>
      <c r="E33" s="360"/>
      <c r="G33" s="22"/>
      <c r="I33" s="22"/>
      <c r="K33" s="22"/>
      <c r="O33" s="59"/>
      <c r="P33" s="29"/>
      <c r="Q33" s="29"/>
      <c r="R33" s="48"/>
    </row>
    <row r="34" spans="1:22" ht="15.95" customHeight="1" x14ac:dyDescent="0.2">
      <c r="A34" s="49" t="s">
        <v>812</v>
      </c>
      <c r="B34" s="499">
        <f>IFERROR(VLOOKUP($A34,'PP DS Query'!$C$1:$R$1005,5,FALSE),0)</f>
        <v>2049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10152577.220000001</v>
      </c>
      <c r="G34" s="22">
        <f>IFERROR(VLOOKUP($A34,'PP DS Query'!$C$1:$R$1005,7,FALSE),0)</f>
        <v>10.496220429999999</v>
      </c>
      <c r="H34" s="358">
        <f>IFERROR(VLOOKUP($A34,'PP DS Query'!$C$1:$R$1005,8,FALSE),0)</f>
        <v>106563688.44</v>
      </c>
      <c r="I34" s="22">
        <f>IFERROR(VLOOKUP($A34,'PP DS Query'!$C$1:$R$1005,9,FALSE),0)</f>
        <v>40</v>
      </c>
      <c r="J34" s="358">
        <f>IFERROR(VLOOKUP($A34,'PP DS Query'!$C$1:$R$1005,10,FALSE),0)</f>
        <v>406103088.80000001</v>
      </c>
      <c r="K34" s="22">
        <f>IFERROR(VLOOKUP($A34,'PP DS Query'!$C$1:$R$1005,11,FALSE),0)</f>
        <v>29.5</v>
      </c>
      <c r="L34" s="358">
        <f>IFERROR(VLOOKUP($A34,'PP DS Query'!$C$1:$R$1005,12,FALSE),0)</f>
        <v>299501027.99000001</v>
      </c>
      <c r="M34" s="19">
        <f>IFERROR(VLOOKUP($A34,'PP DS Query'!$C$1:$R$1005,13,FALSE),0)</f>
        <v>0.27554590000000001</v>
      </c>
      <c r="N34" s="358">
        <f>IFERROR(VLOOKUP($A34,'PP DS Query'!$C$1:$R$1005,14,FALSE),0)</f>
        <v>2797501</v>
      </c>
      <c r="O34" s="56">
        <f>IFERROR(VLOOKUP($A34,'PP DS Query'!$C$1:$R$1005,4,FALSE),0)</f>
        <v>-0.05</v>
      </c>
      <c r="P34" s="358">
        <f>-IFERROR(VLOOKUP($A34,'PP DS Query'!$C$1:$R$1005,15,FALSE),0)</f>
        <v>507628.86</v>
      </c>
      <c r="Q34" s="358">
        <f>IFERROR(VLOOKUP($A34,'PP DS Query'!$C$1:$R$1005,16,FALSE),0)</f>
        <v>3273524.44</v>
      </c>
      <c r="R34" s="48"/>
      <c r="S34" s="472">
        <f>IFERROR(ROUND(LEFT(A34,7)*100,0),0)</f>
        <v>34533</v>
      </c>
      <c r="T34" s="472" t="s">
        <v>962</v>
      </c>
      <c r="U34" s="474">
        <f>IFERROR(VLOOKUP($S34,#REF!,6,FALSE),0)</f>
        <v>0</v>
      </c>
      <c r="V34" s="473">
        <f>U34-F34</f>
        <v>-10152577.220000001</v>
      </c>
    </row>
    <row r="35" spans="1:22" ht="15.95" customHeight="1" x14ac:dyDescent="0.2">
      <c r="A35" s="49" t="s">
        <v>813</v>
      </c>
      <c r="B35" s="499">
        <f>IFERROR(VLOOKUP($A35,'PP DS Query'!$C$1:$R$1005,5,FALSE),0)</f>
        <v>2049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3745912.26</v>
      </c>
      <c r="G35" s="22">
        <f>IFERROR(VLOOKUP($A35,'PP DS Query'!$C$1:$R$1005,7,FALSE),0)</f>
        <v>5.9460330700000004</v>
      </c>
      <c r="H35" s="358">
        <f>IFERROR(VLOOKUP($A35,'PP DS Query'!$C$1:$R$1005,8,FALSE),0)</f>
        <v>22273318.170000002</v>
      </c>
      <c r="I35" s="22">
        <f>IFERROR(VLOOKUP($A35,'PP DS Query'!$C$1:$R$1005,9,FALSE),0)</f>
        <v>29.29</v>
      </c>
      <c r="J35" s="358">
        <f>IFERROR(VLOOKUP($A35,'PP DS Query'!$C$1:$R$1005,10,FALSE),0)</f>
        <v>109717770.09999999</v>
      </c>
      <c r="K35" s="22">
        <f>IFERROR(VLOOKUP($A35,'PP DS Query'!$C$1:$R$1005,11,FALSE),0)</f>
        <v>23.292283000000001</v>
      </c>
      <c r="L35" s="358">
        <f>IFERROR(VLOOKUP($A35,'PP DS Query'!$C$1:$R$1005,12,FALSE),0)</f>
        <v>87250848.450000003</v>
      </c>
      <c r="M35" s="19">
        <f>IFERROR(VLOOKUP($A35,'PP DS Query'!$C$1:$R$1005,13,FALSE),0)</f>
        <v>0.21513173999999999</v>
      </c>
      <c r="N35" s="358">
        <f>IFERROR(VLOOKUP($A35,'PP DS Query'!$C$1:$R$1005,14,FALSE),0)</f>
        <v>805864.61</v>
      </c>
      <c r="O35" s="56">
        <f>IFERROR(VLOOKUP($A35,'PP DS Query'!$C$1:$R$1005,4,FALSE),0)</f>
        <v>-0.05</v>
      </c>
      <c r="P35" s="358">
        <f>-IFERROR(VLOOKUP($A35,'PP DS Query'!$C$1:$R$1005,15,FALSE),0)</f>
        <v>187295.61</v>
      </c>
      <c r="Q35" s="358">
        <f>IFERROR(VLOOKUP($A35,'PP DS Query'!$C$1:$R$1005,16,FALSE),0)</f>
        <v>942990.73</v>
      </c>
      <c r="R35" s="48"/>
      <c r="S35" s="472">
        <f t="shared" ref="S35:S37" si="6">IFERROR(ROUND(LEFT(A35,7)*100,0),0)</f>
        <v>34533</v>
      </c>
      <c r="T35" s="472" t="s">
        <v>963</v>
      </c>
      <c r="U35" s="474">
        <f>IFERROR(VLOOKUP($S35,#REF!,7,FALSE),0)</f>
        <v>0</v>
      </c>
      <c r="V35" s="473">
        <f t="shared" ref="V35:V37" si="7">U35-F35</f>
        <v>-3745912.26</v>
      </c>
    </row>
    <row r="36" spans="1:22" ht="15.95" customHeight="1" x14ac:dyDescent="0.2">
      <c r="A36" s="49" t="s">
        <v>814</v>
      </c>
      <c r="B36" s="499">
        <f>IFERROR(VLOOKUP($A36,'PP DS Query'!$C$1:$R$1005,5,FALSE),0)</f>
        <v>2049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67847.259999999995</v>
      </c>
      <c r="G36" s="22">
        <f>IFERROR(VLOOKUP($A36,'PP DS Query'!$C$1:$R$1005,7,FALSE),0)</f>
        <v>5.2530812600000001</v>
      </c>
      <c r="H36" s="358">
        <f>IFERROR(VLOOKUP($A36,'PP DS Query'!$C$1:$R$1005,8,FALSE),0)</f>
        <v>356407.17</v>
      </c>
      <c r="I36" s="22">
        <f>IFERROR(VLOOKUP($A36,'PP DS Query'!$C$1:$R$1005,9,FALSE),0)</f>
        <v>20</v>
      </c>
      <c r="J36" s="358">
        <f>IFERROR(VLOOKUP($A36,'PP DS Query'!$C$1:$R$1005,10,FALSE),0)</f>
        <v>1356945.2</v>
      </c>
      <c r="K36" s="22">
        <f>IFERROR(VLOOKUP($A36,'PP DS Query'!$C$1:$R$1005,11,FALSE),0)</f>
        <v>14.852499</v>
      </c>
      <c r="L36" s="358">
        <f>IFERROR(VLOOKUP($A36,'PP DS Query'!$C$1:$R$1005,12,FALSE),0)</f>
        <v>1007701.36</v>
      </c>
      <c r="M36" s="19">
        <f>IFERROR(VLOOKUP($A36,'PP DS Query'!$C$1:$R$1005,13,FALSE),0)</f>
        <v>0.27024377999999999</v>
      </c>
      <c r="N36" s="358">
        <f>IFERROR(VLOOKUP($A36,'PP DS Query'!$C$1:$R$1005,14,FALSE),0)</f>
        <v>18335.3</v>
      </c>
      <c r="O36" s="56">
        <f>IFERROR(VLOOKUP($A36,'PP DS Query'!$C$1:$R$1005,4,FALSE),0)</f>
        <v>-0.05</v>
      </c>
      <c r="P36" s="358">
        <f>-IFERROR(VLOOKUP($A36,'PP DS Query'!$C$1:$R$1005,15,FALSE),0)</f>
        <v>3392.36</v>
      </c>
      <c r="Q36" s="358">
        <f>IFERROR(VLOOKUP($A36,'PP DS Query'!$C$1:$R$1005,16,FALSE),0)</f>
        <v>21455.24</v>
      </c>
      <c r="R36" s="48"/>
      <c r="S36" s="472">
        <f t="shared" si="6"/>
        <v>34533</v>
      </c>
      <c r="T36" s="472" t="s">
        <v>964</v>
      </c>
      <c r="U36" s="474">
        <f>IFERROR(VLOOKUP($S36,#REF!,8,FALSE),0)</f>
        <v>0</v>
      </c>
      <c r="V36" s="473">
        <f t="shared" si="7"/>
        <v>-67847.259999999995</v>
      </c>
    </row>
    <row r="37" spans="1:22" ht="15.95" customHeight="1" thickBot="1" x14ac:dyDescent="0.25">
      <c r="A37" s="397" t="s">
        <v>1129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20">
        <f>IFERROR(VLOOKUP($A37,'PP DS Query'!$C$1:$R$1005,7,FALSE),0)</f>
        <v>0</v>
      </c>
      <c r="H37" s="250">
        <f>IFERROR(VLOOKUP($A37,'PP DS Query'!$C$1:$R$1005,8,FALSE),0)</f>
        <v>0</v>
      </c>
      <c r="I37" s="20">
        <f>IFERROR(VLOOKUP($A37,'PP DS Query'!$C$1:$R$1005,9,FALSE),0)</f>
        <v>0</v>
      </c>
      <c r="J37" s="250">
        <f>IFERROR(VLOOKUP($A37,'PP DS Query'!$C$1:$R$1005,10,FALSE),0)</f>
        <v>0</v>
      </c>
      <c r="K37" s="20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34533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815</v>
      </c>
      <c r="B38" s="499">
        <f>IFERROR(VLOOKUP($A38,'PP DS Query'!$C$1:$R$1005,5,FALSE),0)</f>
        <v>2049</v>
      </c>
      <c r="C38" s="33"/>
      <c r="D38" s="34"/>
      <c r="E38" s="15"/>
      <c r="F38" s="443">
        <f>IFERROR(VLOOKUP($A38,'PP DS Query'!$C$1:$R$1005,6,FALSE),0)</f>
        <v>13966336.74</v>
      </c>
      <c r="G38" s="444">
        <f>IFERROR(VLOOKUP($A38,'PP DS Query'!$C$1:$R$1005,7,FALSE),0)</f>
        <v>9.2503436099999998</v>
      </c>
      <c r="H38" s="443">
        <f>IFERROR(VLOOKUP($A38,'PP DS Query'!$C$1:$R$1005,8,FALSE),0)</f>
        <v>129193413.78</v>
      </c>
      <c r="I38" s="444">
        <f>IFERROR(VLOOKUP($A38,'PP DS Query'!$C$1:$R$1005,9,FALSE),0)</f>
        <v>37.030311789999999</v>
      </c>
      <c r="J38" s="443">
        <f>IFERROR(VLOOKUP($A38,'PP DS Query'!$C$1:$R$1005,10,FALSE),0)</f>
        <v>517177804.10000002</v>
      </c>
      <c r="K38" s="444">
        <f>IFERROR(VLOOKUP($A38,'PP DS Query'!$C$1:$R$1005,11,FALSE),0)</f>
        <v>27.763871439999999</v>
      </c>
      <c r="L38" s="443">
        <f>IFERROR(VLOOKUP($A38,'PP DS Query'!$C$1:$R$1005,12,FALSE),0)</f>
        <v>387759577.80000001</v>
      </c>
      <c r="M38" s="445">
        <f>IFERROR(VLOOKUP($A38,'PP DS Query'!$C$1:$R$1005,13,FALSE),0)</f>
        <v>0.25931644999999998</v>
      </c>
      <c r="N38" s="443">
        <f>IFERROR(VLOOKUP($A38,'PP DS Query'!$C$1:$R$1005,14,FALSE),0)</f>
        <v>3621700.91</v>
      </c>
      <c r="O38" s="446">
        <f>IFERROR(VLOOKUP($A38,'PP DS Query'!$C$1:$R$1005,4,FALSE),0)</f>
        <v>-0.05</v>
      </c>
      <c r="P38" s="443">
        <f>-IFERROR(VLOOKUP($A38,'PP DS Query'!$C$1:$R$1005,15,FALSE),0)</f>
        <v>698316.84</v>
      </c>
      <c r="Q38" s="443">
        <f>IFERROR(VLOOKUP($A38,'PP DS Query'!$C$1:$R$1005,16,FALSE),0)</f>
        <v>4237970.41</v>
      </c>
      <c r="R38" s="48"/>
      <c r="U38" s="473">
        <f>SUM(U34:U37)</f>
        <v>0</v>
      </c>
      <c r="V38" s="473">
        <f>SUM(V34:V37)</f>
        <v>-13966336.74</v>
      </c>
    </row>
    <row r="39" spans="1:22" ht="15.95" customHeight="1" x14ac:dyDescent="0.2">
      <c r="A39" s="49"/>
      <c r="B39" s="49"/>
      <c r="C39" s="15"/>
      <c r="E39" s="360"/>
      <c r="G39" s="22"/>
      <c r="I39" s="22"/>
      <c r="K39" s="22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1246</v>
      </c>
      <c r="E40" s="360"/>
      <c r="G40" s="22"/>
      <c r="I40" s="22"/>
      <c r="K40" s="22"/>
      <c r="O40" s="59"/>
      <c r="P40" s="29"/>
      <c r="Q40" s="29"/>
      <c r="R40" s="48"/>
    </row>
    <row r="41" spans="1:22" ht="15.95" customHeight="1" x14ac:dyDescent="0.2">
      <c r="A41" s="396" t="s">
        <v>920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22">
        <f>IFERROR(VLOOKUP($A41,'PP DS Query'!$C$1:$R$1005,7,FALSE),0)</f>
        <v>0</v>
      </c>
      <c r="H41" s="358">
        <f>IFERROR(VLOOKUP($A41,'PP DS Query'!$C$1:$R$1005,8,FALSE),0)</f>
        <v>0</v>
      </c>
      <c r="I41" s="22">
        <f>IFERROR(VLOOKUP($A41,'PP DS Query'!$C$1:$R$1005,9,FALSE),0)</f>
        <v>0</v>
      </c>
      <c r="J41" s="358">
        <f>IFERROR(VLOOKUP($A41,'PP DS Query'!$C$1:$R$1005,10,FALSE),0)</f>
        <v>0</v>
      </c>
      <c r="K41" s="22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34633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49" t="s">
        <v>833</v>
      </c>
      <c r="B42" s="499">
        <f>IFERROR(VLOOKUP($A42,'PP DS Query'!$C$1:$R$1005,5,FALSE),0)</f>
        <v>2049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904.61</v>
      </c>
      <c r="G42" s="22">
        <f>IFERROR(VLOOKUP($A42,'PP DS Query'!$C$1:$R$1005,7,FALSE),0)</f>
        <v>10.5</v>
      </c>
      <c r="H42" s="358">
        <f>IFERROR(VLOOKUP($A42,'PP DS Query'!$C$1:$R$1005,8,FALSE),0)</f>
        <v>9498.41</v>
      </c>
      <c r="I42" s="22">
        <f>IFERROR(VLOOKUP($A42,'PP DS Query'!$C$1:$R$1005,9,FALSE),0)</f>
        <v>30</v>
      </c>
      <c r="J42" s="358">
        <f>IFERROR(VLOOKUP($A42,'PP DS Query'!$C$1:$R$1005,10,FALSE),0)</f>
        <v>27138.3</v>
      </c>
      <c r="K42" s="22">
        <f>IFERROR(VLOOKUP($A42,'PP DS Query'!$C$1:$R$1005,11,FALSE),0)</f>
        <v>19.454546000000001</v>
      </c>
      <c r="L42" s="358">
        <f>IFERROR(VLOOKUP($A42,'PP DS Query'!$C$1:$R$1005,12,FALSE),0)</f>
        <v>17598.78</v>
      </c>
      <c r="M42" s="19">
        <f>IFERROR(VLOOKUP($A42,'PP DS Query'!$C$1:$R$1005,13,FALSE),0)</f>
        <v>0.35854124999999998</v>
      </c>
      <c r="N42" s="358">
        <f>IFERROR(VLOOKUP($A42,'PP DS Query'!$C$1:$R$1005,14,FALSE),0)</f>
        <v>324.33999999999997</v>
      </c>
      <c r="O42" s="56">
        <f>IFERROR(VLOOKUP($A42,'PP DS Query'!$C$1:$R$1005,4,FALSE),0)</f>
        <v>-0.02</v>
      </c>
      <c r="P42" s="358">
        <f>-IFERROR(VLOOKUP($A42,'PP DS Query'!$C$1:$R$1005,15,FALSE),0)</f>
        <v>18.09</v>
      </c>
      <c r="Q42" s="358">
        <f>IFERROR(VLOOKUP($A42,'PP DS Query'!$C$1:$R$1005,16,FALSE),0)</f>
        <v>322.32</v>
      </c>
      <c r="R42" s="48"/>
      <c r="S42" s="472">
        <f t="shared" ref="S42:S44" si="8">IFERROR(ROUND(LEFT(A42,7)*100,0),0)</f>
        <v>34633</v>
      </c>
      <c r="T42" s="472" t="s">
        <v>963</v>
      </c>
      <c r="U42" s="474">
        <f>IFERROR(VLOOKUP($S42,#REF!,7,FALSE),0)</f>
        <v>0</v>
      </c>
      <c r="V42" s="473">
        <f t="shared" ref="V42:V44" si="9">U42-F42</f>
        <v>-904.61</v>
      </c>
    </row>
    <row r="43" spans="1:22" ht="15.95" customHeight="1" x14ac:dyDescent="0.2">
      <c r="A43" s="396" t="s">
        <v>921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22">
        <f>IFERROR(VLOOKUP($A43,'PP DS Query'!$C$1:$R$1005,7,FALSE),0)</f>
        <v>0</v>
      </c>
      <c r="H43" s="358">
        <f>IFERROR(VLOOKUP($A43,'PP DS Query'!$C$1:$R$1005,8,FALSE),0)</f>
        <v>0</v>
      </c>
      <c r="I43" s="22">
        <f>IFERROR(VLOOKUP($A43,'PP DS Query'!$C$1:$R$1005,9,FALSE),0)</f>
        <v>0</v>
      </c>
      <c r="J43" s="358">
        <f>IFERROR(VLOOKUP($A43,'PP DS Query'!$C$1:$R$1005,10,FALSE),0)</f>
        <v>0</v>
      </c>
      <c r="K43" s="22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34633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1130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20">
        <f>IFERROR(VLOOKUP($A44,'PP DS Query'!$C$1:$R$1005,7,FALSE),0)</f>
        <v>0</v>
      </c>
      <c r="H44" s="250">
        <f>IFERROR(VLOOKUP($A44,'PP DS Query'!$C$1:$R$1005,8,FALSE),0)</f>
        <v>0</v>
      </c>
      <c r="I44" s="20">
        <f>IFERROR(VLOOKUP($A44,'PP DS Query'!$C$1:$R$1005,9,FALSE),0)</f>
        <v>0</v>
      </c>
      <c r="J44" s="250">
        <f>IFERROR(VLOOKUP($A44,'PP DS Query'!$C$1:$R$1005,10,FALSE),0)</f>
        <v>0</v>
      </c>
      <c r="K44" s="20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34633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834</v>
      </c>
      <c r="B45" s="499">
        <f>IFERROR(VLOOKUP($A45,'PP DS Query'!$C$1:$R$1005,5,FALSE),0)</f>
        <v>2049</v>
      </c>
      <c r="C45" s="33"/>
      <c r="D45" s="34"/>
      <c r="E45" s="15"/>
      <c r="F45" s="443">
        <f>IFERROR(VLOOKUP($A45,'PP DS Query'!$C$1:$R$1005,6,FALSE),0)</f>
        <v>904.61</v>
      </c>
      <c r="G45" s="444">
        <f>IFERROR(VLOOKUP($A45,'PP DS Query'!$C$1:$R$1005,7,FALSE),0)</f>
        <v>10.5</v>
      </c>
      <c r="H45" s="443">
        <f>IFERROR(VLOOKUP($A45,'PP DS Query'!$C$1:$R$1005,8,FALSE),0)</f>
        <v>9498.41</v>
      </c>
      <c r="I45" s="444">
        <f>IFERROR(VLOOKUP($A45,'PP DS Query'!$C$1:$R$1005,9,FALSE),0)</f>
        <v>30</v>
      </c>
      <c r="J45" s="443">
        <f>IFERROR(VLOOKUP($A45,'PP DS Query'!$C$1:$R$1005,10,FALSE),0)</f>
        <v>27138.3</v>
      </c>
      <c r="K45" s="444">
        <f>IFERROR(VLOOKUP($A45,'PP DS Query'!$C$1:$R$1005,11,FALSE),0)</f>
        <v>19.454546000000001</v>
      </c>
      <c r="L45" s="443">
        <f>IFERROR(VLOOKUP($A45,'PP DS Query'!$C$1:$R$1005,12,FALSE),0)</f>
        <v>17598.78</v>
      </c>
      <c r="M45" s="445">
        <f>IFERROR(VLOOKUP($A45,'PP DS Query'!$C$1:$R$1005,13,FALSE),0)</f>
        <v>0.35854124999999998</v>
      </c>
      <c r="N45" s="443">
        <f>IFERROR(VLOOKUP($A45,'PP DS Query'!$C$1:$R$1005,14,FALSE),0)</f>
        <v>324.33999999999997</v>
      </c>
      <c r="O45" s="446">
        <f>IFERROR(VLOOKUP($A45,'PP DS Query'!$C$1:$R$1005,4,FALSE),0)</f>
        <v>-0.02</v>
      </c>
      <c r="P45" s="443">
        <f>-IFERROR(VLOOKUP($A45,'PP DS Query'!$C$1:$R$1005,15,FALSE),0)</f>
        <v>18.09</v>
      </c>
      <c r="Q45" s="443">
        <f>IFERROR(VLOOKUP($A45,'PP DS Query'!$C$1:$R$1005,16,FALSE),0)</f>
        <v>322.32</v>
      </c>
      <c r="R45" s="48"/>
      <c r="U45" s="473">
        <f>SUM(U41:U44)</f>
        <v>0</v>
      </c>
      <c r="V45" s="473">
        <f>SUM(V41:V44)</f>
        <v>-904.61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6"/>
      <c r="H46" s="30"/>
      <c r="I46" s="6"/>
      <c r="J46" s="30"/>
      <c r="K46" s="6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6"/>
      <c r="H47" s="30"/>
      <c r="I47" s="6"/>
      <c r="J47" s="30"/>
      <c r="K47" s="6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CT Unit #3</v>
      </c>
      <c r="D48" s="17"/>
      <c r="E48" s="360"/>
      <c r="F48" s="460" t="s">
        <v>1104</v>
      </c>
      <c r="G48" s="461" t="s">
        <v>1111</v>
      </c>
      <c r="H48" s="460" t="s">
        <v>1105</v>
      </c>
      <c r="I48" s="461" t="s">
        <v>1112</v>
      </c>
      <c r="J48" s="460" t="s">
        <v>1106</v>
      </c>
      <c r="K48" s="461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14218772.43</v>
      </c>
      <c r="G49" s="22">
        <f>IF($F49=0,0,H49/$F49)</f>
        <v>10.292807283504713</v>
      </c>
      <c r="H49" s="358">
        <f>H13+H20+H27+H34+H41</f>
        <v>146351084.43000001</v>
      </c>
      <c r="I49" s="22">
        <f>IF($F49=0,0,J49/$F49)</f>
        <v>39.755531509691657</v>
      </c>
      <c r="J49" s="358">
        <f>J13+J20+J27+J34+J41</f>
        <v>565274855.37</v>
      </c>
      <c r="K49" s="22">
        <f>IF($F49=0,0,L49/$F49)</f>
        <v>29.500000000351648</v>
      </c>
      <c r="L49" s="358">
        <f>L13+L20+L27+L34+L41</f>
        <v>419453786.69</v>
      </c>
      <c r="M49" s="19">
        <f>IF($F49=0,0,N49/$F49)</f>
        <v>0.27073683814489463</v>
      </c>
      <c r="N49" s="358">
        <f>N13+N20+N27+N34+N41</f>
        <v>3849545.49</v>
      </c>
      <c r="O49" s="56">
        <f>-IF($F49=0,0,P49/$F49)</f>
        <v>-5.0243229752570145E-2</v>
      </c>
      <c r="P49" s="358">
        <f>P13+P20+P27+P34+P41</f>
        <v>714397.05</v>
      </c>
      <c r="Q49" s="358">
        <f>Q13+Q20+Q27+Q34+Q41</f>
        <v>4085069.23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 t="shared" ref="F50:F51" si="10">F14+F21+F28+F35+F42</f>
        <v>18060679.609999999</v>
      </c>
      <c r="G50" s="22">
        <f t="shared" ref="G50:G51" si="11">IF($F50=0,0,H50/$F50)</f>
        <v>9.5159711617297233</v>
      </c>
      <c r="H50" s="358">
        <f t="shared" ref="H50:H51" si="12">H14+H21+H28+H35+H42</f>
        <v>171864906.33000001</v>
      </c>
      <c r="I50" s="22">
        <f t="shared" ref="I50:I51" si="13">IF($F50=0,0,J50/$F50)</f>
        <v>29.852332572882617</v>
      </c>
      <c r="J50" s="358">
        <f t="shared" ref="J50:J51" si="14">J14+J21+J28+J35+J42</f>
        <v>539153414.20999992</v>
      </c>
      <c r="K50" s="22">
        <f t="shared" ref="K50:K51" si="15">IF($F50=0,0,L50/$F50)</f>
        <v>20.286932265114245</v>
      </c>
      <c r="L50" s="358">
        <f t="shared" ref="L50:L51" si="16">L14+L21+L28+L35+L42</f>
        <v>366395783.90999997</v>
      </c>
      <c r="M50" s="19">
        <f t="shared" ref="M50:M51" si="17">IF($F50=0,0,N50/$F50)</f>
        <v>0.34114079276333503</v>
      </c>
      <c r="N50" s="358">
        <f t="shared" ref="N50:N51" si="18">N14+N21+N28+N35+N42</f>
        <v>6161234.5600000005</v>
      </c>
      <c r="O50" s="56">
        <f t="shared" ref="O50:O51" si="19">-IF($F50=0,0,P50/$F50)</f>
        <v>-6.5032509593364082E-2</v>
      </c>
      <c r="P50" s="358">
        <f t="shared" ref="P50:Q50" si="20">P14+P21+P28+P35+P42</f>
        <v>1174531.32</v>
      </c>
      <c r="Q50" s="358">
        <f t="shared" si="20"/>
        <v>7365570.870000001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442" t="s">
        <v>407</v>
      </c>
      <c r="F51" s="358">
        <f t="shared" si="10"/>
        <v>1132848.22</v>
      </c>
      <c r="G51" s="22">
        <f t="shared" si="11"/>
        <v>9.1755054706269465</v>
      </c>
      <c r="H51" s="358">
        <f t="shared" si="12"/>
        <v>10394455.039999999</v>
      </c>
      <c r="I51" s="22">
        <f t="shared" si="13"/>
        <v>20</v>
      </c>
      <c r="J51" s="358">
        <f t="shared" si="14"/>
        <v>22656964.399999999</v>
      </c>
      <c r="K51" s="22">
        <f t="shared" si="15"/>
        <v>11.037370487283813</v>
      </c>
      <c r="L51" s="358">
        <f t="shared" si="16"/>
        <v>12503665.51</v>
      </c>
      <c r="M51" s="19">
        <f t="shared" si="17"/>
        <v>0.47573797661967465</v>
      </c>
      <c r="N51" s="358">
        <f t="shared" si="18"/>
        <v>538938.92000000004</v>
      </c>
      <c r="O51" s="56">
        <f t="shared" si="19"/>
        <v>-6.1746506517881099E-2</v>
      </c>
      <c r="P51" s="358">
        <f t="shared" ref="P51:Q51" si="21">P15+P22+P29+P36+P43</f>
        <v>69949.42</v>
      </c>
      <c r="Q51" s="358">
        <f t="shared" si="21"/>
        <v>573814.15999999992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441" t="s">
        <v>359</v>
      </c>
      <c r="F52" s="250">
        <f>F16+F23+F30+F37+F44</f>
        <v>23151.21</v>
      </c>
      <c r="G52" s="20">
        <f>IF($F52=0,0,H52/$F52)</f>
        <v>0.50000021597143307</v>
      </c>
      <c r="H52" s="250">
        <f>H16+H23+H30+H37+H44</f>
        <v>11575.61</v>
      </c>
      <c r="I52" s="20">
        <f>IF($F52=0,0,J52/$F52)</f>
        <v>12.000000000000002</v>
      </c>
      <c r="J52" s="250">
        <f>J16+J23+J30+J37+J44</f>
        <v>277814.52</v>
      </c>
      <c r="K52" s="20">
        <f>IF($F52=0,0,L52/$F52)</f>
        <v>11.500000215971433</v>
      </c>
      <c r="L52" s="250">
        <f>L16+L23+L30+L37+L44</f>
        <v>266238.92</v>
      </c>
      <c r="M52" s="21">
        <f>IF($F52=0,0,N52/$F52)</f>
        <v>4.4583414862549305E-2</v>
      </c>
      <c r="N52" s="250">
        <f>N16+N23+N30+N37+N44</f>
        <v>1032.1600000000001</v>
      </c>
      <c r="O52" s="57">
        <f>-IF($F52=0,0,P52/$F52)</f>
        <v>-6.999979698685295E-2</v>
      </c>
      <c r="P52" s="250">
        <f>P16+P23+P30+P37+P44</f>
        <v>1620.58</v>
      </c>
      <c r="Q52" s="250">
        <f>Q16+Q23+Q30+Q37+Q44</f>
        <v>1258.22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33435451.469999999</v>
      </c>
      <c r="G53" s="444">
        <f>IF($F53=0,0,H53/$F53)</f>
        <v>9.828550444573974</v>
      </c>
      <c r="H53" s="443">
        <f>SUM(H49:H52)</f>
        <v>328622021.41000003</v>
      </c>
      <c r="I53" s="444">
        <f>IF($F53=0,0,J53/$F53)</f>
        <v>33.717596112363786</v>
      </c>
      <c r="J53" s="443">
        <f>SUM(J49:J52)</f>
        <v>1127363048.5</v>
      </c>
      <c r="K53" s="444">
        <f>IF($F53=0,0,L53/$F53)</f>
        <v>23.885410243273139</v>
      </c>
      <c r="L53" s="443">
        <f>SUM(L49:L52)</f>
        <v>798619475.02999985</v>
      </c>
      <c r="M53" s="445">
        <f>IF($F53=0,0,N53/$F53)</f>
        <v>0.31555581474551569</v>
      </c>
      <c r="N53" s="443">
        <f>SUM(N49:N52)</f>
        <v>10550751.130000001</v>
      </c>
      <c r="O53" s="446">
        <f>-IF($F53=0,0,P53/$F53)</f>
        <v>-5.8635319213771041E-2</v>
      </c>
      <c r="P53" s="443">
        <f>SUM(P49:P52)</f>
        <v>1960498.37</v>
      </c>
      <c r="Q53" s="443">
        <f>SUM(Q49:Q52)</f>
        <v>12025712.480000002</v>
      </c>
      <c r="R53" s="48"/>
    </row>
    <row r="54" spans="1:18" x14ac:dyDescent="0.2">
      <c r="A54" s="49"/>
      <c r="B54" s="49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34133</v>
      </c>
      <c r="F56" s="352">
        <f>IFERROR(VLOOKUP(E56,'2019 B-7'!C:P,14,FALSE),0)</f>
        <v>656349.29</v>
      </c>
      <c r="G56" s="353">
        <f>F56-F17</f>
        <v>0</v>
      </c>
      <c r="P56" s="260">
        <f>E56</f>
        <v>34133</v>
      </c>
      <c r="Q56" s="352">
        <f>IFERROR(VLOOKUP(P56,'2019 B-9'!C:R,16,FALSE),0)</f>
        <v>-27875.810000000245</v>
      </c>
      <c r="R56" s="353">
        <f>Q56-Q17</f>
        <v>-2.4374458007514477E-10</v>
      </c>
    </row>
    <row r="57" spans="1:18" x14ac:dyDescent="0.2">
      <c r="E57" s="260">
        <v>34233</v>
      </c>
      <c r="F57" s="352">
        <f>IFERROR(VLOOKUP(E57,'2019 B-7'!C:P,14,FALSE),0)</f>
        <v>3389689.5699999994</v>
      </c>
      <c r="G57" s="353">
        <f>F57-F24</f>
        <v>0</v>
      </c>
      <c r="P57" s="260">
        <f t="shared" ref="P57:P60" si="22">E57</f>
        <v>34233</v>
      </c>
      <c r="Q57" s="352">
        <f>IFERROR(VLOOKUP(P57,'2019 B-9'!C:R,16,FALSE),0)</f>
        <v>873678.52000000072</v>
      </c>
      <c r="R57" s="353">
        <f>Q57-Q24</f>
        <v>0</v>
      </c>
    </row>
    <row r="58" spans="1:18" x14ac:dyDescent="0.2">
      <c r="E58" s="260">
        <v>34333</v>
      </c>
      <c r="F58" s="352">
        <f>IFERROR(VLOOKUP(E58,'2019 B-7'!C:P,14,FALSE),0)</f>
        <v>15422171.260000002</v>
      </c>
      <c r="G58" s="353">
        <f>F58-F31</f>
        <v>0</v>
      </c>
      <c r="P58" s="260">
        <f t="shared" si="22"/>
        <v>34333</v>
      </c>
      <c r="Q58" s="352">
        <f>IFERROR(VLOOKUP(P58,'2019 B-9'!C:R,16,FALSE),0)</f>
        <v>6941617.0400000047</v>
      </c>
      <c r="R58" s="353">
        <f>Q58-Q31</f>
        <v>0</v>
      </c>
    </row>
    <row r="59" spans="1:18" x14ac:dyDescent="0.2">
      <c r="E59" s="260">
        <v>34533</v>
      </c>
      <c r="F59" s="352">
        <f>IFERROR(VLOOKUP(E59,'2019 B-7'!C:P,14,FALSE),0)</f>
        <v>13966336.740000002</v>
      </c>
      <c r="G59" s="353">
        <f>F59-F38</f>
        <v>0</v>
      </c>
      <c r="P59" s="260">
        <f t="shared" si="22"/>
        <v>34533</v>
      </c>
      <c r="Q59" s="352">
        <f>IFERROR(VLOOKUP(P59,'2019 B-9'!C:R,16,FALSE),0)</f>
        <v>4237970.4100000029</v>
      </c>
      <c r="R59" s="353">
        <f>Q59-Q38</f>
        <v>0</v>
      </c>
    </row>
    <row r="60" spans="1:18" x14ac:dyDescent="0.2">
      <c r="E60" s="260">
        <v>34633</v>
      </c>
      <c r="F60" s="352">
        <f>IFERROR(VLOOKUP(E60,'2019 B-7'!C:P,14,FALSE),0)</f>
        <v>904.61</v>
      </c>
      <c r="G60" s="353">
        <f>F60-F45</f>
        <v>0</v>
      </c>
      <c r="P60" s="260">
        <f t="shared" si="22"/>
        <v>34633</v>
      </c>
      <c r="Q60" s="352">
        <f>IFERROR(VLOOKUP(P60,'2019 B-9'!C:R,16,FALSE),0)</f>
        <v>322.32000000000022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33435451.470000003</v>
      </c>
      <c r="G61" s="354">
        <f>SUM(G56:G60)</f>
        <v>0</v>
      </c>
      <c r="P61" s="349" t="s">
        <v>40</v>
      </c>
      <c r="Q61" s="354">
        <f>SUM(Q56:Q60)</f>
        <v>12025712.480000008</v>
      </c>
      <c r="R61" s="354">
        <f>SUM(R56:R60)</f>
        <v>-2.4374458007514477E-10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-2.4374458007514477E-10</v>
      </c>
    </row>
    <row r="63" spans="1:18" x14ac:dyDescent="0.2">
      <c r="E63" s="29"/>
      <c r="G63" s="18"/>
    </row>
    <row r="64" spans="1:18" x14ac:dyDescent="0.2">
      <c r="E64" s="29"/>
      <c r="H64" s="18"/>
    </row>
    <row r="65" spans="5:8" x14ac:dyDescent="0.2">
      <c r="E65" s="50"/>
      <c r="H65" s="18"/>
    </row>
    <row r="66" spans="5:8" x14ac:dyDescent="0.2">
      <c r="E66" s="50"/>
      <c r="H66" s="18"/>
    </row>
    <row r="67" spans="5:8" x14ac:dyDescent="0.2">
      <c r="E67" s="50"/>
    </row>
    <row r="68" spans="5:8" x14ac:dyDescent="0.2">
      <c r="E68" s="50"/>
    </row>
    <row r="69" spans="5:8" x14ac:dyDescent="0.2">
      <c r="E69" s="50"/>
    </row>
    <row r="70" spans="5:8" x14ac:dyDescent="0.2">
      <c r="E70" s="50"/>
    </row>
    <row r="71" spans="5:8" x14ac:dyDescent="0.2">
      <c r="E71" s="50"/>
    </row>
    <row r="72" spans="5:8" x14ac:dyDescent="0.2">
      <c r="E72" s="50"/>
    </row>
    <row r="73" spans="5:8" x14ac:dyDescent="0.2">
      <c r="E73" s="50"/>
    </row>
  </sheetData>
  <phoneticPr fontId="31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>
    <tabColor theme="7" tint="-0.249977111117893"/>
    <pageSetUpPr fitToPage="1"/>
  </sheetPr>
  <dimension ref="A1:V73"/>
  <sheetViews>
    <sheetView view="pageBreakPreview" zoomScale="112" zoomScaleNormal="96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4.28515625" style="37" bestFit="1" customWidth="1"/>
    <col min="2" max="2" width="5.14062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.28515625" style="37" bestFit="1" customWidth="1"/>
    <col min="20" max="20" width="2.7109375" style="37" bestFit="1" customWidth="1"/>
    <col min="21" max="21" width="11.7109375" style="37" bestFit="1" customWidth="1"/>
    <col min="22" max="22" width="11.2851562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86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1247</v>
      </c>
      <c r="E12" s="50"/>
      <c r="P12" s="18"/>
      <c r="Q12" s="18"/>
      <c r="R12" s="48"/>
    </row>
    <row r="13" spans="1:22" ht="15.95" customHeight="1" x14ac:dyDescent="0.2">
      <c r="A13" s="49" t="s">
        <v>611</v>
      </c>
      <c r="B13" s="499">
        <f>IFERROR(VLOOKUP($A13,'PP DS Query'!$C$1:$R$1005,5,FALSE),0)</f>
        <v>2049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242333.96</v>
      </c>
      <c r="G13" s="523">
        <f>IFERROR(VLOOKUP($A13,'PP DS Query'!$C$1:$R$1005,7,FALSE),0)</f>
        <v>10.309234780000001</v>
      </c>
      <c r="H13" s="358">
        <f>IFERROR(VLOOKUP($A13,'PP DS Query'!$C$1:$R$1005,8,FALSE),0)</f>
        <v>2498277.69</v>
      </c>
      <c r="I13" s="523">
        <f>IFERROR(VLOOKUP($A13,'PP DS Query'!$C$1:$R$1005,9,FALSE),0)</f>
        <v>39.79</v>
      </c>
      <c r="J13" s="358">
        <f>IFERROR(VLOOKUP($A13,'PP DS Query'!$C$1:$R$1005,10,FALSE),0)</f>
        <v>9642468.2699999996</v>
      </c>
      <c r="K13" s="523">
        <f>IFERROR(VLOOKUP($A13,'PP DS Query'!$C$1:$R$1005,11,FALSE),0)</f>
        <v>29.5</v>
      </c>
      <c r="L13" s="358">
        <f>IFERROR(VLOOKUP($A13,'PP DS Query'!$C$1:$R$1005,12,FALSE),0)</f>
        <v>7148851.8200000003</v>
      </c>
      <c r="M13" s="19">
        <f>IFERROR(VLOOKUP($A13,'PP DS Query'!$C$1:$R$1005,13,FALSE),0)</f>
        <v>0.26387152000000003</v>
      </c>
      <c r="N13" s="358">
        <f>IFERROR(VLOOKUP($A13,'PP DS Query'!$C$1:$R$1005,14,FALSE),0)</f>
        <v>63945.03</v>
      </c>
      <c r="O13" s="56">
        <f>IFERROR(VLOOKUP($A13,'PP DS Query'!$C$1:$R$1005,4,FALSE),0)</f>
        <v>-0.02</v>
      </c>
      <c r="P13" s="358">
        <f>-IFERROR(VLOOKUP($A13,'PP DS Query'!$C$1:$R$1005,15,FALSE),0)</f>
        <v>4846.68</v>
      </c>
      <c r="Q13" s="358">
        <f>IFERROR(VLOOKUP($A13,'PP DS Query'!$C$1:$R$1005,16,FALSE),0)</f>
        <v>-122817.35</v>
      </c>
      <c r="R13" s="48"/>
      <c r="S13" s="472">
        <f>IFERROR(ROUND(LEFT(A13,7)*100,0),0)</f>
        <v>34134</v>
      </c>
      <c r="T13" s="472" t="s">
        <v>962</v>
      </c>
      <c r="U13" s="474">
        <f>IFERROR(VLOOKUP($S13,#REF!,6,FALSE),0)</f>
        <v>0</v>
      </c>
      <c r="V13" s="473">
        <f>U13-F13</f>
        <v>-242333.96</v>
      </c>
    </row>
    <row r="14" spans="1:22" ht="15.95" customHeight="1" x14ac:dyDescent="0.2">
      <c r="A14" s="49" t="s">
        <v>612</v>
      </c>
      <c r="B14" s="499">
        <f>IFERROR(VLOOKUP($A14,'PP DS Query'!$C$1:$R$1005,5,FALSE),0)</f>
        <v>0</v>
      </c>
      <c r="C14" s="33">
        <f>IFERROR(VLOOKUP($A14,'PP DS Query'!$C$1:$R$1005,3,FALSE),0)</f>
        <v>0</v>
      </c>
      <c r="D14" s="34" t="s">
        <v>22</v>
      </c>
      <c r="E14" s="360">
        <f>IFERROR(VLOOKUP($A14,'PP DS Query'!$C$1:$R$1005,2,FALSE),0)</f>
        <v>0</v>
      </c>
      <c r="F14" s="358">
        <f>IFERROR(VLOOKUP($A14,'PP DS Query'!$C$1:$R$1005,6,FALSE),0)</f>
        <v>0</v>
      </c>
      <c r="G14" s="523">
        <f>IFERROR(VLOOKUP($A14,'PP DS Query'!$C$1:$R$1005,7,FALSE),0)</f>
        <v>0</v>
      </c>
      <c r="H14" s="358">
        <f>IFERROR(VLOOKUP($A14,'PP DS Query'!$C$1:$R$1005,8,FALSE),0)</f>
        <v>0</v>
      </c>
      <c r="I14" s="523">
        <f>IFERROR(VLOOKUP($A14,'PP DS Query'!$C$1:$R$1005,9,FALSE),0)</f>
        <v>0</v>
      </c>
      <c r="J14" s="358">
        <f>IFERROR(VLOOKUP($A14,'PP DS Query'!$C$1:$R$1005,10,FALSE),0)</f>
        <v>0</v>
      </c>
      <c r="K14" s="523">
        <f>IFERROR(VLOOKUP($A14,'PP DS Query'!$C$1:$R$1005,11,FALSE),0)</f>
        <v>0</v>
      </c>
      <c r="L14" s="358">
        <f>IFERROR(VLOOKUP($A14,'PP DS Query'!$C$1:$R$1005,12,FALSE),0)</f>
        <v>0</v>
      </c>
      <c r="M14" s="19">
        <f>IFERROR(VLOOKUP($A14,'PP DS Query'!$C$1:$R$1005,13,FALSE),0)</f>
        <v>0</v>
      </c>
      <c r="N14" s="358">
        <f>IFERROR(VLOOKUP($A14,'PP DS Query'!$C$1:$R$1005,14,FALSE),0)</f>
        <v>0</v>
      </c>
      <c r="O14" s="56">
        <f>IFERROR(VLOOKUP($A14,'PP DS Query'!$C$1:$R$1005,4,FALSE),0)</f>
        <v>0</v>
      </c>
      <c r="P14" s="358">
        <f>-IFERROR(VLOOKUP($A14,'PP DS Query'!$C$1:$R$1005,15,FALSE),0)</f>
        <v>0</v>
      </c>
      <c r="Q14" s="358">
        <f>IFERROR(VLOOKUP($A14,'PP DS Query'!$C$1:$R$1005,16,FALSE),0)</f>
        <v>0</v>
      </c>
      <c r="R14" s="48"/>
      <c r="S14" s="472">
        <f t="shared" ref="S14:S16" si="0">IFERROR(ROUND(LEFT(A14,7)*100,0),0)</f>
        <v>34134</v>
      </c>
      <c r="T14" s="472" t="s">
        <v>963</v>
      </c>
      <c r="U14" s="474">
        <f>IFERROR(VLOOKUP($S14,#REF!,7,FALSE),0)</f>
        <v>0</v>
      </c>
      <c r="V14" s="473">
        <f t="shared" ref="V14:V16" si="1">U14-F14</f>
        <v>0</v>
      </c>
    </row>
    <row r="15" spans="1:22" ht="15.95" customHeight="1" x14ac:dyDescent="0.2">
      <c r="A15" s="396" t="s">
        <v>916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523">
        <f>IFERROR(VLOOKUP($A15,'PP DS Query'!$C$1:$R$1005,7,FALSE),0)</f>
        <v>0</v>
      </c>
      <c r="H15" s="358">
        <f>IFERROR(VLOOKUP($A15,'PP DS Query'!$C$1:$R$1005,8,FALSE),0)</f>
        <v>0</v>
      </c>
      <c r="I15" s="523">
        <f>IFERROR(VLOOKUP($A15,'PP DS Query'!$C$1:$R$1005,9,FALSE),0)</f>
        <v>0</v>
      </c>
      <c r="J15" s="358">
        <f>IFERROR(VLOOKUP($A15,'PP DS Query'!$C$1:$R$1005,10,FALSE),0)</f>
        <v>0</v>
      </c>
      <c r="K15" s="523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34134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1131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34134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613</v>
      </c>
      <c r="B17" s="499">
        <f>IFERROR(VLOOKUP($A17,'PP DS Query'!$C$1:$R$1005,5,FALSE),0)</f>
        <v>2049</v>
      </c>
      <c r="C17" s="33"/>
      <c r="D17" s="34"/>
      <c r="E17" s="15"/>
      <c r="F17" s="443">
        <f>IFERROR(VLOOKUP($A17,'PP DS Query'!$C$1:$R$1005,6,FALSE),0)</f>
        <v>242333.96</v>
      </c>
      <c r="G17" s="525">
        <f>IFERROR(VLOOKUP($A17,'PP DS Query'!$C$1:$R$1005,7,FALSE),0)</f>
        <v>10.309234780000001</v>
      </c>
      <c r="H17" s="443">
        <f>IFERROR(VLOOKUP($A17,'PP DS Query'!$C$1:$R$1005,8,FALSE),0)</f>
        <v>2498277.69</v>
      </c>
      <c r="I17" s="525">
        <f>IFERROR(VLOOKUP($A17,'PP DS Query'!$C$1:$R$1005,9,FALSE),0)</f>
        <v>39.79</v>
      </c>
      <c r="J17" s="443">
        <f>IFERROR(VLOOKUP($A17,'PP DS Query'!$C$1:$R$1005,10,FALSE),0)</f>
        <v>9642468.2699999996</v>
      </c>
      <c r="K17" s="525">
        <f>IFERROR(VLOOKUP($A17,'PP DS Query'!$C$1:$R$1005,11,FALSE),0)</f>
        <v>29.5</v>
      </c>
      <c r="L17" s="443">
        <f>IFERROR(VLOOKUP($A17,'PP DS Query'!$C$1:$R$1005,12,FALSE),0)</f>
        <v>7148851.8200000003</v>
      </c>
      <c r="M17" s="445">
        <f>IFERROR(VLOOKUP($A17,'PP DS Query'!$C$1:$R$1005,13,FALSE),0)</f>
        <v>0.26387152000000003</v>
      </c>
      <c r="N17" s="443">
        <f>IFERROR(VLOOKUP($A17,'PP DS Query'!$C$1:$R$1005,14,FALSE),0)</f>
        <v>63945.03</v>
      </c>
      <c r="O17" s="446">
        <f>IFERROR(VLOOKUP($A17,'PP DS Query'!$C$1:$R$1005,4,FALSE),0)</f>
        <v>-0.02</v>
      </c>
      <c r="P17" s="443">
        <f>-IFERROR(VLOOKUP($A17,'PP DS Query'!$C$1:$R$1005,15,FALSE),0)</f>
        <v>4846.68</v>
      </c>
      <c r="Q17" s="443">
        <f>IFERROR(VLOOKUP($A17,'PP DS Query'!$C$1:$R$1005,16,FALSE),0)</f>
        <v>-122817.35</v>
      </c>
      <c r="R17" s="48"/>
      <c r="U17" s="473">
        <f>SUM(U13:U16)</f>
        <v>0</v>
      </c>
      <c r="V17" s="473">
        <f>SUM(V13:V16)</f>
        <v>-242333.96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1248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766</v>
      </c>
      <c r="B20" s="499">
        <f>IFERROR(VLOOKUP($A20,'PP DS Query'!$C$1:$R$1005,5,FALSE),0)</f>
        <v>2049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2214031.27</v>
      </c>
      <c r="G20" s="523">
        <f>IFERROR(VLOOKUP($A20,'PP DS Query'!$C$1:$R$1005,7,FALSE),0)</f>
        <v>10.1274415</v>
      </c>
      <c r="H20" s="358">
        <f>IFERROR(VLOOKUP($A20,'PP DS Query'!$C$1:$R$1005,8,FALSE),0)</f>
        <v>22422472.18</v>
      </c>
      <c r="I20" s="523">
        <f>IFERROR(VLOOKUP($A20,'PP DS Query'!$C$1:$R$1005,9,FALSE),0)</f>
        <v>39.549999999999997</v>
      </c>
      <c r="J20" s="358">
        <f>IFERROR(VLOOKUP($A20,'PP DS Query'!$C$1:$R$1005,10,FALSE),0)</f>
        <v>87564936.730000004</v>
      </c>
      <c r="K20" s="523">
        <f>IFERROR(VLOOKUP($A20,'PP DS Query'!$C$1:$R$1005,11,FALSE),0)</f>
        <v>29.5</v>
      </c>
      <c r="L20" s="358">
        <f>IFERROR(VLOOKUP($A20,'PP DS Query'!$C$1:$R$1005,12,FALSE),0)</f>
        <v>65313922.469999999</v>
      </c>
      <c r="M20" s="19">
        <f>IFERROR(VLOOKUP($A20,'PP DS Query'!$C$1:$R$1005,13,FALSE),0)</f>
        <v>0.26672681999999998</v>
      </c>
      <c r="N20" s="358">
        <f>IFERROR(VLOOKUP($A20,'PP DS Query'!$C$1:$R$1005,14,FALSE),0)</f>
        <v>590541.53</v>
      </c>
      <c r="O20" s="56">
        <f>IFERROR(VLOOKUP($A20,'PP DS Query'!$C$1:$R$1005,4,FALSE),0)</f>
        <v>-0.05</v>
      </c>
      <c r="P20" s="358">
        <f>-IFERROR(VLOOKUP($A20,'PP DS Query'!$C$1:$R$1005,15,FALSE),0)</f>
        <v>110701.56</v>
      </c>
      <c r="Q20" s="358">
        <f>IFERROR(VLOOKUP($A20,'PP DS Query'!$C$1:$R$1005,16,FALSE),0)</f>
        <v>497212.09</v>
      </c>
      <c r="R20" s="48"/>
      <c r="S20" s="472">
        <f>IFERROR(ROUND(LEFT(A20,7)*100,0),0)</f>
        <v>34234</v>
      </c>
      <c r="T20" s="472" t="s">
        <v>962</v>
      </c>
      <c r="U20" s="474">
        <f>IFERROR(VLOOKUP($S20,#REF!,6,FALSE),0)</f>
        <v>0</v>
      </c>
      <c r="V20" s="473">
        <f>U20-F20</f>
        <v>-2214031.27</v>
      </c>
    </row>
    <row r="21" spans="1:22" ht="15.95" customHeight="1" x14ac:dyDescent="0.2">
      <c r="A21" s="49" t="s">
        <v>767</v>
      </c>
      <c r="B21" s="499">
        <f>IFERROR(VLOOKUP($A21,'PP DS Query'!$C$1:$R$1005,5,FALSE),0)</f>
        <v>2049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803468.65</v>
      </c>
      <c r="G21" s="523">
        <f>IFERROR(VLOOKUP($A21,'PP DS Query'!$C$1:$R$1005,7,FALSE),0)</f>
        <v>9.5376334000000007</v>
      </c>
      <c r="H21" s="358">
        <f>IFERROR(VLOOKUP($A21,'PP DS Query'!$C$1:$R$1005,8,FALSE),0)</f>
        <v>7663189.4400000004</v>
      </c>
      <c r="I21" s="523">
        <f>IFERROR(VLOOKUP($A21,'PP DS Query'!$C$1:$R$1005,9,FALSE),0)</f>
        <v>29.92</v>
      </c>
      <c r="J21" s="358">
        <f>IFERROR(VLOOKUP($A21,'PP DS Query'!$C$1:$R$1005,10,FALSE),0)</f>
        <v>24039782.010000002</v>
      </c>
      <c r="K21" s="523">
        <f>IFERROR(VLOOKUP($A21,'PP DS Query'!$C$1:$R$1005,11,FALSE),0)</f>
        <v>20.311198000000001</v>
      </c>
      <c r="L21" s="358">
        <f>IFERROR(VLOOKUP($A21,'PP DS Query'!$C$1:$R$1005,12,FALSE),0)</f>
        <v>16319410.84</v>
      </c>
      <c r="M21" s="19">
        <f>IFERROR(VLOOKUP($A21,'PP DS Query'!$C$1:$R$1005,13,FALSE),0)</f>
        <v>0.33724387</v>
      </c>
      <c r="N21" s="358">
        <f>IFERROR(VLOOKUP($A21,'PP DS Query'!$C$1:$R$1005,14,FALSE),0)</f>
        <v>270964.88</v>
      </c>
      <c r="O21" s="56">
        <f>IFERROR(VLOOKUP($A21,'PP DS Query'!$C$1:$R$1005,4,FALSE),0)</f>
        <v>-0.05</v>
      </c>
      <c r="P21" s="358">
        <f>-IFERROR(VLOOKUP($A21,'PP DS Query'!$C$1:$R$1005,15,FALSE),0)</f>
        <v>40173.43</v>
      </c>
      <c r="Q21" s="358">
        <f>IFERROR(VLOOKUP($A21,'PP DS Query'!$C$1:$R$1005,16,FALSE),0)</f>
        <v>228141.47</v>
      </c>
      <c r="R21" s="48"/>
      <c r="S21" s="472">
        <f t="shared" ref="S21:S23" si="2">IFERROR(ROUND(LEFT(A21,7)*100,0),0)</f>
        <v>34234</v>
      </c>
      <c r="T21" s="472" t="s">
        <v>963</v>
      </c>
      <c r="U21" s="474">
        <f>IFERROR(VLOOKUP($S21,#REF!,7,FALSE),0)</f>
        <v>0</v>
      </c>
      <c r="V21" s="473">
        <f t="shared" ref="V21:V23" si="3">U21-F21</f>
        <v>-803468.65</v>
      </c>
    </row>
    <row r="22" spans="1:22" ht="15.95" customHeight="1" x14ac:dyDescent="0.2">
      <c r="A22" s="49" t="s">
        <v>768</v>
      </c>
      <c r="B22" s="499">
        <f>IFERROR(VLOOKUP($A22,'PP DS Query'!$C$1:$R$1005,5,FALSE),0)</f>
        <v>2049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344586.84</v>
      </c>
      <c r="G22" s="523">
        <f>IFERROR(VLOOKUP($A22,'PP DS Query'!$C$1:$R$1005,7,FALSE),0)</f>
        <v>9.5021592199999994</v>
      </c>
      <c r="H22" s="358">
        <f>IFERROR(VLOOKUP($A22,'PP DS Query'!$C$1:$R$1005,8,FALSE),0)</f>
        <v>3274319.02</v>
      </c>
      <c r="I22" s="523">
        <f>IFERROR(VLOOKUP($A22,'PP DS Query'!$C$1:$R$1005,9,FALSE),0)</f>
        <v>20</v>
      </c>
      <c r="J22" s="358">
        <f>IFERROR(VLOOKUP($A22,'PP DS Query'!$C$1:$R$1005,10,FALSE),0)</f>
        <v>6891736.7999999998</v>
      </c>
      <c r="K22" s="523">
        <f>IFERROR(VLOOKUP($A22,'PP DS Query'!$C$1:$R$1005,11,FALSE),0)</f>
        <v>10.732236</v>
      </c>
      <c r="L22" s="358">
        <f>IFERROR(VLOOKUP($A22,'PP DS Query'!$C$1:$R$1005,12,FALSE),0)</f>
        <v>3698187.29</v>
      </c>
      <c r="M22" s="19">
        <f>IFERROR(VLOOKUP($A22,'PP DS Query'!$C$1:$R$1005,13,FALSE),0)</f>
        <v>0.48655764000000001</v>
      </c>
      <c r="N22" s="358">
        <f>IFERROR(VLOOKUP($A22,'PP DS Query'!$C$1:$R$1005,14,FALSE),0)</f>
        <v>167661.35999999999</v>
      </c>
      <c r="O22" s="56">
        <f>IFERROR(VLOOKUP($A22,'PP DS Query'!$C$1:$R$1005,4,FALSE),0)</f>
        <v>-0.05</v>
      </c>
      <c r="P22" s="358">
        <f>-IFERROR(VLOOKUP($A22,'PP DS Query'!$C$1:$R$1005,15,FALSE),0)</f>
        <v>17229.34</v>
      </c>
      <c r="Q22" s="358">
        <f>IFERROR(VLOOKUP($A22,'PP DS Query'!$C$1:$R$1005,16,FALSE),0)</f>
        <v>141164.09</v>
      </c>
      <c r="R22" s="48"/>
      <c r="S22" s="472">
        <f t="shared" si="2"/>
        <v>34234</v>
      </c>
      <c r="T22" s="472" t="s">
        <v>964</v>
      </c>
      <c r="U22" s="474">
        <f>IFERROR(VLOOKUP($S22,#REF!,8,FALSE),0)</f>
        <v>0</v>
      </c>
      <c r="V22" s="473">
        <f t="shared" si="3"/>
        <v>-344586.84</v>
      </c>
    </row>
    <row r="23" spans="1:22" ht="15.95" customHeight="1" thickBot="1" x14ac:dyDescent="0.25">
      <c r="A23" s="397" t="s">
        <v>1132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34234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769</v>
      </c>
      <c r="B24" s="499">
        <f>IFERROR(VLOOKUP($A24,'PP DS Query'!$C$1:$R$1005,5,FALSE),0)</f>
        <v>2049</v>
      </c>
      <c r="C24" s="33"/>
      <c r="D24" s="34"/>
      <c r="E24" s="15"/>
      <c r="F24" s="443">
        <f>IFERROR(VLOOKUP($A24,'PP DS Query'!$C$1:$R$1005,6,FALSE),0)</f>
        <v>3362086.76</v>
      </c>
      <c r="G24" s="525">
        <f>IFERROR(VLOOKUP($A24,'PP DS Query'!$C$1:$R$1005,7,FALSE),0)</f>
        <v>9.9224032599999994</v>
      </c>
      <c r="H24" s="443">
        <f>IFERROR(VLOOKUP($A24,'PP DS Query'!$C$1:$R$1005,8,FALSE),0)</f>
        <v>33359980.629999999</v>
      </c>
      <c r="I24" s="525">
        <f>IFERROR(VLOOKUP($A24,'PP DS Query'!$C$1:$R$1005,9,FALSE),0)</f>
        <v>35.244913050000001</v>
      </c>
      <c r="J24" s="443">
        <f>IFERROR(VLOOKUP($A24,'PP DS Query'!$C$1:$R$1005,10,FALSE),0)</f>
        <v>118496455.54000001</v>
      </c>
      <c r="K24" s="525">
        <f>IFERROR(VLOOKUP($A24,'PP DS Query'!$C$1:$R$1005,11,FALSE),0)</f>
        <v>25.380523069999999</v>
      </c>
      <c r="L24" s="443">
        <f>IFERROR(VLOOKUP($A24,'PP DS Query'!$C$1:$R$1005,12,FALSE),0)</f>
        <v>85331520.590000004</v>
      </c>
      <c r="M24" s="445">
        <f>IFERROR(VLOOKUP($A24,'PP DS Query'!$C$1:$R$1005,13,FALSE),0)</f>
        <v>0.30610981999999998</v>
      </c>
      <c r="N24" s="443">
        <f>IFERROR(VLOOKUP($A24,'PP DS Query'!$C$1:$R$1005,14,FALSE),0)</f>
        <v>1029167.77</v>
      </c>
      <c r="O24" s="446">
        <f>IFERROR(VLOOKUP($A24,'PP DS Query'!$C$1:$R$1005,4,FALSE),0)</f>
        <v>-0.05</v>
      </c>
      <c r="P24" s="443">
        <f>-IFERROR(VLOOKUP($A24,'PP DS Query'!$C$1:$R$1005,15,FALSE),0)</f>
        <v>168104.34</v>
      </c>
      <c r="Q24" s="443">
        <f>IFERROR(VLOOKUP($A24,'PP DS Query'!$C$1:$R$1005,16,FALSE),0)</f>
        <v>866517.65</v>
      </c>
      <c r="R24" s="48"/>
      <c r="U24" s="473">
        <f>SUM(U20:U23)</f>
        <v>0</v>
      </c>
      <c r="V24" s="473">
        <f>SUM(V20:V23)</f>
        <v>-3362086.76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1249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792</v>
      </c>
      <c r="B27" s="499">
        <f>IFERROR(VLOOKUP($A27,'PP DS Query'!$C$1:$R$1005,5,FALSE),0)</f>
        <v>2049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1101199.96</v>
      </c>
      <c r="G27" s="523">
        <f>IFERROR(VLOOKUP($A27,'PP DS Query'!$C$1:$R$1005,7,FALSE),0)</f>
        <v>9.4058038699999997</v>
      </c>
      <c r="H27" s="358">
        <f>IFERROR(VLOOKUP($A27,'PP DS Query'!$C$1:$R$1005,8,FALSE),0)</f>
        <v>10357670.85</v>
      </c>
      <c r="I27" s="523">
        <f>IFERROR(VLOOKUP($A27,'PP DS Query'!$C$1:$R$1005,9,FALSE),0)</f>
        <v>38.68</v>
      </c>
      <c r="J27" s="358">
        <f>IFERROR(VLOOKUP($A27,'PP DS Query'!$C$1:$R$1005,10,FALSE),0)</f>
        <v>42594414.450000003</v>
      </c>
      <c r="K27" s="523">
        <f>IFERROR(VLOOKUP($A27,'PP DS Query'!$C$1:$R$1005,11,FALSE),0)</f>
        <v>29.5</v>
      </c>
      <c r="L27" s="358">
        <f>IFERROR(VLOOKUP($A27,'PP DS Query'!$C$1:$R$1005,12,FALSE),0)</f>
        <v>32485398.82</v>
      </c>
      <c r="M27" s="19">
        <f>IFERROR(VLOOKUP($A27,'PP DS Query'!$C$1:$R$1005,13,FALSE),0)</f>
        <v>0.25394339999999999</v>
      </c>
      <c r="N27" s="358">
        <f>IFERROR(VLOOKUP($A27,'PP DS Query'!$C$1:$R$1005,14,FALSE),0)</f>
        <v>279642.46000000002</v>
      </c>
      <c r="O27" s="56">
        <f>IFERROR(VLOOKUP($A27,'PP DS Query'!$C$1:$R$1005,4,FALSE),0)</f>
        <v>-7.0000000000000007E-2</v>
      </c>
      <c r="P27" s="358">
        <f>-IFERROR(VLOOKUP($A27,'PP DS Query'!$C$1:$R$1005,15,FALSE),0)</f>
        <v>77084</v>
      </c>
      <c r="Q27" s="358">
        <f>IFERROR(VLOOKUP($A27,'PP DS Query'!$C$1:$R$1005,16,FALSE),0)</f>
        <v>340476.72</v>
      </c>
      <c r="R27" s="48"/>
      <c r="S27" s="472">
        <f>IFERROR(ROUND(LEFT(A27,7)*100,0),0)</f>
        <v>34334</v>
      </c>
      <c r="T27" s="472" t="s">
        <v>962</v>
      </c>
      <c r="U27" s="474">
        <f>IFERROR(VLOOKUP($S27,#REF!,6,FALSE),0)</f>
        <v>0</v>
      </c>
      <c r="V27" s="473">
        <f>U27-F27</f>
        <v>-1101199.96</v>
      </c>
    </row>
    <row r="28" spans="1:22" ht="15.95" customHeight="1" x14ac:dyDescent="0.2">
      <c r="A28" s="49" t="s">
        <v>793</v>
      </c>
      <c r="B28" s="499">
        <f>IFERROR(VLOOKUP($A28,'PP DS Query'!$C$1:$R$1005,5,FALSE),0)</f>
        <v>2049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13433863.689999999</v>
      </c>
      <c r="G28" s="523">
        <f>IFERROR(VLOOKUP($A28,'PP DS Query'!$C$1:$R$1005,7,FALSE),0)</f>
        <v>10.5</v>
      </c>
      <c r="H28" s="358">
        <f>IFERROR(VLOOKUP($A28,'PP DS Query'!$C$1:$R$1005,8,FALSE),0)</f>
        <v>141055568.75</v>
      </c>
      <c r="I28" s="523">
        <f>IFERROR(VLOOKUP($A28,'PP DS Query'!$C$1:$R$1005,9,FALSE),0)</f>
        <v>30</v>
      </c>
      <c r="J28" s="358">
        <f>IFERROR(VLOOKUP($A28,'PP DS Query'!$C$1:$R$1005,10,FALSE),0)</f>
        <v>403015910.69999999</v>
      </c>
      <c r="K28" s="523">
        <f>IFERROR(VLOOKUP($A28,'PP DS Query'!$C$1:$R$1005,11,FALSE),0)</f>
        <v>19.454546000000001</v>
      </c>
      <c r="L28" s="358">
        <f>IFERROR(VLOOKUP($A28,'PP DS Query'!$C$1:$R$1005,12,FALSE),0)</f>
        <v>261349719.11000001</v>
      </c>
      <c r="M28" s="19">
        <f>IFERROR(VLOOKUP($A28,'PP DS Query'!$C$1:$R$1005,13,FALSE),0)</f>
        <v>0.37612120999999998</v>
      </c>
      <c r="N28" s="358">
        <f>IFERROR(VLOOKUP($A28,'PP DS Query'!$C$1:$R$1005,14,FALSE),0)</f>
        <v>5052761.0599999996</v>
      </c>
      <c r="O28" s="56">
        <f>IFERROR(VLOOKUP($A28,'PP DS Query'!$C$1:$R$1005,4,FALSE),0)</f>
        <v>-7.0000000000000007E-2</v>
      </c>
      <c r="P28" s="358">
        <f>-IFERROR(VLOOKUP($A28,'PP DS Query'!$C$1:$R$1005,15,FALSE),0)</f>
        <v>940370.46</v>
      </c>
      <c r="Q28" s="358">
        <f>IFERROR(VLOOKUP($A28,'PP DS Query'!$C$1:$R$1005,16,FALSE),0)</f>
        <v>6151953.9299999997</v>
      </c>
      <c r="R28" s="48"/>
      <c r="S28" s="472">
        <f t="shared" ref="S28:S30" si="4">IFERROR(ROUND(LEFT(A28,7)*100,0),0)</f>
        <v>34334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-13433863.689999999</v>
      </c>
    </row>
    <row r="29" spans="1:22" ht="15.95" customHeight="1" x14ac:dyDescent="0.2">
      <c r="A29" s="49" t="s">
        <v>794</v>
      </c>
      <c r="B29" s="499">
        <f>IFERROR(VLOOKUP($A29,'PP DS Query'!$C$1:$R$1005,5,FALSE),0)</f>
        <v>2049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1284494.3899999999</v>
      </c>
      <c r="G29" s="523">
        <f>IFERROR(VLOOKUP($A29,'PP DS Query'!$C$1:$R$1005,7,FALSE),0)</f>
        <v>5.5627719100000004</v>
      </c>
      <c r="H29" s="358">
        <f>IFERROR(VLOOKUP($A29,'PP DS Query'!$C$1:$R$1005,8,FALSE),0)</f>
        <v>7145349.3200000003</v>
      </c>
      <c r="I29" s="523">
        <f>IFERROR(VLOOKUP($A29,'PP DS Query'!$C$1:$R$1005,9,FALSE),0)</f>
        <v>20</v>
      </c>
      <c r="J29" s="358">
        <f>IFERROR(VLOOKUP($A29,'PP DS Query'!$C$1:$R$1005,10,FALSE),0)</f>
        <v>25689887.800000001</v>
      </c>
      <c r="K29" s="523">
        <f>IFERROR(VLOOKUP($A29,'PP DS Query'!$C$1:$R$1005,11,FALSE),0)</f>
        <v>14.54265</v>
      </c>
      <c r="L29" s="358">
        <f>IFERROR(VLOOKUP($A29,'PP DS Query'!$C$1:$R$1005,12,FALSE),0)</f>
        <v>18679952.34</v>
      </c>
      <c r="M29" s="19">
        <f>IFERROR(VLOOKUP($A29,'PP DS Query'!$C$1:$R$1005,13,FALSE),0)</f>
        <v>0.29196823999999999</v>
      </c>
      <c r="N29" s="358">
        <f>IFERROR(VLOOKUP($A29,'PP DS Query'!$C$1:$R$1005,14,FALSE),0)</f>
        <v>375031.56</v>
      </c>
      <c r="O29" s="56">
        <f>IFERROR(VLOOKUP($A29,'PP DS Query'!$C$1:$R$1005,4,FALSE),0)</f>
        <v>-7.0000000000000007E-2</v>
      </c>
      <c r="P29" s="358">
        <f>-IFERROR(VLOOKUP($A29,'PP DS Query'!$C$1:$R$1005,15,FALSE),0)</f>
        <v>89914.61</v>
      </c>
      <c r="Q29" s="358">
        <f>IFERROR(VLOOKUP($A29,'PP DS Query'!$C$1:$R$1005,16,FALSE),0)</f>
        <v>456617.06</v>
      </c>
      <c r="R29" s="48"/>
      <c r="S29" s="472">
        <f t="shared" si="4"/>
        <v>34334</v>
      </c>
      <c r="T29" s="472" t="s">
        <v>964</v>
      </c>
      <c r="U29" s="474">
        <f>IFERROR(VLOOKUP($S29,#REF!,8,FALSE),0)</f>
        <v>0</v>
      </c>
      <c r="V29" s="473">
        <f t="shared" si="5"/>
        <v>-1284494.3899999999</v>
      </c>
    </row>
    <row r="30" spans="1:22" ht="15.95" customHeight="1" thickBot="1" x14ac:dyDescent="0.25">
      <c r="A30" s="397" t="s">
        <v>1040</v>
      </c>
      <c r="B30" s="499">
        <f>IFERROR(VLOOKUP($A30,'PP DS Query'!$C$1:$R$1005,5,FALSE),0)</f>
        <v>2049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20362.189999999999</v>
      </c>
      <c r="G30" s="524">
        <f>IFERROR(VLOOKUP($A30,'PP DS Query'!$C$1:$R$1005,7,FALSE),0)</f>
        <v>0.5</v>
      </c>
      <c r="H30" s="250">
        <f>IFERROR(VLOOKUP($A30,'PP DS Query'!$C$1:$R$1005,8,FALSE),0)</f>
        <v>10181.1</v>
      </c>
      <c r="I30" s="524">
        <f>IFERROR(VLOOKUP($A30,'PP DS Query'!$C$1:$R$1005,9,FALSE),0)</f>
        <v>12</v>
      </c>
      <c r="J30" s="250">
        <f>IFERROR(VLOOKUP($A30,'PP DS Query'!$C$1:$R$1005,10,FALSE),0)</f>
        <v>244346.28</v>
      </c>
      <c r="K30" s="524">
        <f>IFERROR(VLOOKUP($A30,'PP DS Query'!$C$1:$R$1005,11,FALSE),0)</f>
        <v>11.5</v>
      </c>
      <c r="L30" s="250">
        <f>IFERROR(VLOOKUP($A30,'PP DS Query'!$C$1:$R$1005,12,FALSE),0)</f>
        <v>234165.19</v>
      </c>
      <c r="M30" s="21">
        <f>IFERROR(VLOOKUP($A30,'PP DS Query'!$C$1:$R$1005,13,FALSE),0)</f>
        <v>4.4583119999999997E-2</v>
      </c>
      <c r="N30" s="250">
        <f>IFERROR(VLOOKUP($A30,'PP DS Query'!$C$1:$R$1005,14,FALSE),0)</f>
        <v>907.81</v>
      </c>
      <c r="O30" s="57">
        <f>IFERROR(VLOOKUP($A30,'PP DS Query'!$C$1:$R$1005,4,FALSE),0)</f>
        <v>-7.0000000000000007E-2</v>
      </c>
      <c r="P30" s="250">
        <f>-IFERROR(VLOOKUP($A30,'PP DS Query'!$C$1:$R$1005,15,FALSE),0)</f>
        <v>1425.35</v>
      </c>
      <c r="Q30" s="250">
        <f>IFERROR(VLOOKUP($A30,'PP DS Query'!$C$1:$R$1005,16,FALSE),0)</f>
        <v>1105.3</v>
      </c>
      <c r="R30" s="48"/>
      <c r="S30" s="472">
        <f t="shared" si="4"/>
        <v>34334</v>
      </c>
      <c r="T30" s="472" t="s">
        <v>961</v>
      </c>
      <c r="U30" s="475">
        <f>IFERROR(VLOOKUP($S30,#REF!,9,FALSE),0)</f>
        <v>0</v>
      </c>
      <c r="V30" s="476">
        <f t="shared" si="5"/>
        <v>-20362.189999999999</v>
      </c>
    </row>
    <row r="31" spans="1:22" ht="15.95" customHeight="1" x14ac:dyDescent="0.2">
      <c r="A31" s="49" t="s">
        <v>795</v>
      </c>
      <c r="B31" s="499">
        <f>IFERROR(VLOOKUP($A31,'PP DS Query'!$C$1:$R$1005,5,FALSE),0)</f>
        <v>2049</v>
      </c>
      <c r="C31" s="33"/>
      <c r="D31" s="34"/>
      <c r="E31" s="15"/>
      <c r="F31" s="443">
        <f>IFERROR(VLOOKUP($A31,'PP DS Query'!$C$1:$R$1005,6,FALSE),0)</f>
        <v>15839920.23</v>
      </c>
      <c r="G31" s="525">
        <f>IFERROR(VLOOKUP($A31,'PP DS Query'!$C$1:$R$1005,7,FALSE),0)</f>
        <v>10.01070509</v>
      </c>
      <c r="H31" s="443">
        <f>IFERROR(VLOOKUP($A31,'PP DS Query'!$C$1:$R$1005,8,FALSE),0)</f>
        <v>158568770.00999999</v>
      </c>
      <c r="I31" s="525">
        <f>IFERROR(VLOOKUP($A31,'PP DS Query'!$C$1:$R$1005,9,FALSE),0)</f>
        <v>29.76937714</v>
      </c>
      <c r="J31" s="443">
        <f>IFERROR(VLOOKUP($A31,'PP DS Query'!$C$1:$R$1005,10,FALSE),0)</f>
        <v>471544559.23000002</v>
      </c>
      <c r="K31" s="525">
        <f>IFERROR(VLOOKUP($A31,'PP DS Query'!$C$1:$R$1005,11,FALSE),0)</f>
        <v>19.744369349999999</v>
      </c>
      <c r="L31" s="443">
        <f>IFERROR(VLOOKUP($A31,'PP DS Query'!$C$1:$R$1005,12,FALSE),0)</f>
        <v>312749235.45999998</v>
      </c>
      <c r="M31" s="445">
        <f>IFERROR(VLOOKUP($A31,'PP DS Query'!$C$1:$R$1005,13,FALSE),0)</f>
        <v>0.360377</v>
      </c>
      <c r="N31" s="443">
        <f>IFERROR(VLOOKUP($A31,'PP DS Query'!$C$1:$R$1005,14,FALSE),0)</f>
        <v>5708342.8899999997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1108794.42</v>
      </c>
      <c r="Q31" s="443">
        <f>IFERROR(VLOOKUP($A31,'PP DS Query'!$C$1:$R$1005,16,FALSE),0)</f>
        <v>6950153.0099999998</v>
      </c>
      <c r="R31" s="48"/>
      <c r="U31" s="473">
        <f>SUM(U27:U30)</f>
        <v>0</v>
      </c>
      <c r="V31" s="473">
        <f>SUM(V27:V30)</f>
        <v>-15839920.229999999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1250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816</v>
      </c>
      <c r="B34" s="499">
        <f>IFERROR(VLOOKUP($A34,'PP DS Query'!$C$1:$R$1005,5,FALSE),0)</f>
        <v>2049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2074046.41</v>
      </c>
      <c r="G34" s="523">
        <f>IFERROR(VLOOKUP($A34,'PP DS Query'!$C$1:$R$1005,7,FALSE),0)</f>
        <v>10.48149875</v>
      </c>
      <c r="H34" s="358">
        <f>IFERROR(VLOOKUP($A34,'PP DS Query'!$C$1:$R$1005,8,FALSE),0)</f>
        <v>21739114.850000001</v>
      </c>
      <c r="I34" s="523">
        <f>IFERROR(VLOOKUP($A34,'PP DS Query'!$C$1:$R$1005,9,FALSE),0)</f>
        <v>39.979999999999997</v>
      </c>
      <c r="J34" s="358">
        <f>IFERROR(VLOOKUP($A34,'PP DS Query'!$C$1:$R$1005,10,FALSE),0)</f>
        <v>82920375.469999999</v>
      </c>
      <c r="K34" s="523">
        <f>IFERROR(VLOOKUP($A34,'PP DS Query'!$C$1:$R$1005,11,FALSE),0)</f>
        <v>29.5</v>
      </c>
      <c r="L34" s="358">
        <f>IFERROR(VLOOKUP($A34,'PP DS Query'!$C$1:$R$1005,12,FALSE),0)</f>
        <v>61184369.100000001</v>
      </c>
      <c r="M34" s="19">
        <f>IFERROR(VLOOKUP($A34,'PP DS Query'!$C$1:$R$1005,13,FALSE),0)</f>
        <v>0.27523778999999998</v>
      </c>
      <c r="N34" s="358">
        <f>IFERROR(VLOOKUP($A34,'PP DS Query'!$C$1:$R$1005,14,FALSE),0)</f>
        <v>570855.93999999994</v>
      </c>
      <c r="O34" s="56">
        <f>IFERROR(VLOOKUP($A34,'PP DS Query'!$C$1:$R$1005,4,FALSE),0)</f>
        <v>-0.05</v>
      </c>
      <c r="P34" s="358">
        <f>-IFERROR(VLOOKUP($A34,'PP DS Query'!$C$1:$R$1005,15,FALSE),0)</f>
        <v>103702.32</v>
      </c>
      <c r="Q34" s="358">
        <f>IFERROR(VLOOKUP($A34,'PP DS Query'!$C$1:$R$1005,16,FALSE),0)</f>
        <v>622002.59</v>
      </c>
      <c r="R34" s="48"/>
      <c r="S34" s="472">
        <f>IFERROR(ROUND(LEFT(A34,7)*100,0),0)</f>
        <v>34534</v>
      </c>
      <c r="T34" s="472" t="s">
        <v>962</v>
      </c>
      <c r="U34" s="474">
        <f>IFERROR(VLOOKUP($S34,#REF!,6,FALSE),0)</f>
        <v>0</v>
      </c>
      <c r="V34" s="473">
        <f>U34-F34</f>
        <v>-2074046.41</v>
      </c>
    </row>
    <row r="35" spans="1:22" ht="15.95" customHeight="1" x14ac:dyDescent="0.2">
      <c r="A35" s="49" t="s">
        <v>817</v>
      </c>
      <c r="B35" s="499">
        <f>IFERROR(VLOOKUP($A35,'PP DS Query'!$C$1:$R$1005,5,FALSE),0)</f>
        <v>2049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1930485.72</v>
      </c>
      <c r="G35" s="523">
        <f>IFERROR(VLOOKUP($A35,'PP DS Query'!$C$1:$R$1005,7,FALSE),0)</f>
        <v>10.19494035</v>
      </c>
      <c r="H35" s="358">
        <f>IFERROR(VLOOKUP($A35,'PP DS Query'!$C$1:$R$1005,8,FALSE),0)</f>
        <v>19681186.77</v>
      </c>
      <c r="I35" s="523">
        <f>IFERROR(VLOOKUP($A35,'PP DS Query'!$C$1:$R$1005,9,FALSE),0)</f>
        <v>29.95</v>
      </c>
      <c r="J35" s="358">
        <f>IFERROR(VLOOKUP($A35,'PP DS Query'!$C$1:$R$1005,10,FALSE),0)</f>
        <v>57818047.310000002</v>
      </c>
      <c r="K35" s="523">
        <f>IFERROR(VLOOKUP($A35,'PP DS Query'!$C$1:$R$1005,11,FALSE),0)</f>
        <v>19.717395</v>
      </c>
      <c r="L35" s="358">
        <f>IFERROR(VLOOKUP($A35,'PP DS Query'!$C$1:$R$1005,12,FALSE),0)</f>
        <v>38064149.479999997</v>
      </c>
      <c r="M35" s="19">
        <f>IFERROR(VLOOKUP($A35,'PP DS Query'!$C$1:$R$1005,13,FALSE),0)</f>
        <v>0.35877754000000001</v>
      </c>
      <c r="N35" s="358">
        <f>IFERROR(VLOOKUP($A35,'PP DS Query'!$C$1:$R$1005,14,FALSE),0)</f>
        <v>692614.92</v>
      </c>
      <c r="O35" s="56">
        <f>IFERROR(VLOOKUP($A35,'PP DS Query'!$C$1:$R$1005,4,FALSE),0)</f>
        <v>-0.05</v>
      </c>
      <c r="P35" s="358">
        <f>-IFERROR(VLOOKUP($A35,'PP DS Query'!$C$1:$R$1005,15,FALSE),0)</f>
        <v>96524.29</v>
      </c>
      <c r="Q35" s="358">
        <f>IFERROR(VLOOKUP($A35,'PP DS Query'!$C$1:$R$1005,16,FALSE),0)</f>
        <v>754670.74</v>
      </c>
      <c r="R35" s="48"/>
      <c r="S35" s="472">
        <f t="shared" ref="S35:S37" si="6">IFERROR(ROUND(LEFT(A35,7)*100,0),0)</f>
        <v>34534</v>
      </c>
      <c r="T35" s="472" t="s">
        <v>963</v>
      </c>
      <c r="U35" s="474">
        <f>IFERROR(VLOOKUP($S35,#REF!,7,FALSE),0)</f>
        <v>0</v>
      </c>
      <c r="V35" s="473">
        <f t="shared" ref="V35:V37" si="7">U35-F35</f>
        <v>-1930485.72</v>
      </c>
    </row>
    <row r="36" spans="1:22" ht="15.95" customHeight="1" x14ac:dyDescent="0.2">
      <c r="A36" s="49" t="s">
        <v>843</v>
      </c>
      <c r="B36" s="499">
        <f>IFERROR(VLOOKUP($A36,'PP DS Query'!$C$1:$R$1005,5,FALSE),0)</f>
        <v>2049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36923.730000000003</v>
      </c>
      <c r="G36" s="523">
        <f>IFERROR(VLOOKUP($A36,'PP DS Query'!$C$1:$R$1005,7,FALSE),0)</f>
        <v>1.5</v>
      </c>
      <c r="H36" s="358">
        <f>IFERROR(VLOOKUP($A36,'PP DS Query'!$C$1:$R$1005,8,FALSE),0)</f>
        <v>55385.599999999999</v>
      </c>
      <c r="I36" s="523">
        <f>IFERROR(VLOOKUP($A36,'PP DS Query'!$C$1:$R$1005,9,FALSE),0)</f>
        <v>20</v>
      </c>
      <c r="J36" s="358">
        <f>IFERROR(VLOOKUP($A36,'PP DS Query'!$C$1:$R$1005,10,FALSE),0)</f>
        <v>738474.6</v>
      </c>
      <c r="K36" s="523">
        <f>IFERROR(VLOOKUP($A36,'PP DS Query'!$C$1:$R$1005,11,FALSE),0)</f>
        <v>18.489101999999999</v>
      </c>
      <c r="L36" s="358">
        <f>IFERROR(VLOOKUP($A36,'PP DS Query'!$C$1:$R$1005,12,FALSE),0)</f>
        <v>682686.61</v>
      </c>
      <c r="M36" s="19">
        <f>IFERROR(VLOOKUP($A36,'PP DS Query'!$C$1:$R$1005,13,FALSE),0)</f>
        <v>7.9322160000000003E-2</v>
      </c>
      <c r="N36" s="358">
        <f>IFERROR(VLOOKUP($A36,'PP DS Query'!$C$1:$R$1005,14,FALSE),0)</f>
        <v>2928.87</v>
      </c>
      <c r="O36" s="56">
        <f>IFERROR(VLOOKUP($A36,'PP DS Query'!$C$1:$R$1005,4,FALSE),0)</f>
        <v>-0.05</v>
      </c>
      <c r="P36" s="358">
        <f>-IFERROR(VLOOKUP($A36,'PP DS Query'!$C$1:$R$1005,15,FALSE),0)</f>
        <v>1846.19</v>
      </c>
      <c r="Q36" s="358">
        <f>IFERROR(VLOOKUP($A36,'PP DS Query'!$C$1:$R$1005,16,FALSE),0)</f>
        <v>3191.28</v>
      </c>
      <c r="R36" s="48"/>
      <c r="S36" s="472">
        <f t="shared" si="6"/>
        <v>34534</v>
      </c>
      <c r="T36" s="472" t="s">
        <v>964</v>
      </c>
      <c r="U36" s="474">
        <f>IFERROR(VLOOKUP($S36,#REF!,8,FALSE),0)</f>
        <v>0</v>
      </c>
      <c r="V36" s="473">
        <f t="shared" si="7"/>
        <v>-36923.730000000003</v>
      </c>
    </row>
    <row r="37" spans="1:22" ht="15.95" customHeight="1" thickBot="1" x14ac:dyDescent="0.25">
      <c r="A37" s="397" t="s">
        <v>1133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34534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818</v>
      </c>
      <c r="B38" s="499">
        <f>IFERROR(VLOOKUP($A38,'PP DS Query'!$C$1:$R$1005,5,FALSE),0)</f>
        <v>2049</v>
      </c>
      <c r="C38" s="33"/>
      <c r="D38" s="34"/>
      <c r="E38" s="15"/>
      <c r="F38" s="443">
        <f>IFERROR(VLOOKUP($A38,'PP DS Query'!$C$1:$R$1005,6,FALSE),0)</f>
        <v>4041455.86</v>
      </c>
      <c r="G38" s="525">
        <f>IFERROR(VLOOKUP($A38,'PP DS Query'!$C$1:$R$1005,7,FALSE),0)</f>
        <v>10.26256098</v>
      </c>
      <c r="H38" s="443">
        <f>IFERROR(VLOOKUP($A38,'PP DS Query'!$C$1:$R$1005,8,FALSE),0)</f>
        <v>41475687.210000001</v>
      </c>
      <c r="I38" s="525">
        <f>IFERROR(VLOOKUP($A38,'PP DS Query'!$C$1:$R$1005,9,FALSE),0)</f>
        <v>35.006419039999997</v>
      </c>
      <c r="J38" s="443">
        <f>IFERROR(VLOOKUP($A38,'PP DS Query'!$C$1:$R$1005,10,FALSE),0)</f>
        <v>141476897.38999999</v>
      </c>
      <c r="K38" s="525">
        <f>IFERROR(VLOOKUP($A38,'PP DS Query'!$C$1:$R$1005,11,FALSE),0)</f>
        <v>24.726536339999999</v>
      </c>
      <c r="L38" s="443">
        <f>IFERROR(VLOOKUP($A38,'PP DS Query'!$C$1:$R$1005,12,FALSE),0)</f>
        <v>99931205.189999998</v>
      </c>
      <c r="M38" s="445">
        <f>IFERROR(VLOOKUP($A38,'PP DS Query'!$C$1:$R$1005,13,FALSE),0)</f>
        <v>0.31335236</v>
      </c>
      <c r="N38" s="443">
        <f>IFERROR(VLOOKUP($A38,'PP DS Query'!$C$1:$R$1005,14,FALSE),0)</f>
        <v>1266399.73</v>
      </c>
      <c r="O38" s="446">
        <f>IFERROR(VLOOKUP($A38,'PP DS Query'!$C$1:$R$1005,4,FALSE),0)</f>
        <v>-0.05</v>
      </c>
      <c r="P38" s="443">
        <f>-IFERROR(VLOOKUP($A38,'PP DS Query'!$C$1:$R$1005,15,FALSE),0)</f>
        <v>202072.79</v>
      </c>
      <c r="Q38" s="443">
        <f>IFERROR(VLOOKUP($A38,'PP DS Query'!$C$1:$R$1005,16,FALSE),0)</f>
        <v>1379864.61</v>
      </c>
      <c r="R38" s="48"/>
      <c r="U38" s="473">
        <f>SUM(U34:U37)</f>
        <v>0</v>
      </c>
      <c r="V38" s="473">
        <f>SUM(V34:V37)</f>
        <v>-4041455.86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1251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396" t="s">
        <v>917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523">
        <f>IFERROR(VLOOKUP($A41,'PP DS Query'!$C$1:$R$1005,7,FALSE),0)</f>
        <v>0</v>
      </c>
      <c r="H41" s="358">
        <f>IFERROR(VLOOKUP($A41,'PP DS Query'!$C$1:$R$1005,8,FALSE),0)</f>
        <v>0</v>
      </c>
      <c r="I41" s="523">
        <f>IFERROR(VLOOKUP($A41,'PP DS Query'!$C$1:$R$1005,9,FALSE),0)</f>
        <v>0</v>
      </c>
      <c r="J41" s="358">
        <f>IFERROR(VLOOKUP($A41,'PP DS Query'!$C$1:$R$1005,10,FALSE),0)</f>
        <v>0</v>
      </c>
      <c r="K41" s="523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34634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49" t="s">
        <v>835</v>
      </c>
      <c r="B42" s="499">
        <f>IFERROR(VLOOKUP($A42,'PP DS Query'!$C$1:$R$1005,5,FALSE),0)</f>
        <v>2049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904.61</v>
      </c>
      <c r="G42" s="523">
        <f>IFERROR(VLOOKUP($A42,'PP DS Query'!$C$1:$R$1005,7,FALSE),0)</f>
        <v>10.5</v>
      </c>
      <c r="H42" s="358">
        <f>IFERROR(VLOOKUP($A42,'PP DS Query'!$C$1:$R$1005,8,FALSE),0)</f>
        <v>9498.41</v>
      </c>
      <c r="I42" s="523">
        <f>IFERROR(VLOOKUP($A42,'PP DS Query'!$C$1:$R$1005,9,FALSE),0)</f>
        <v>30</v>
      </c>
      <c r="J42" s="358">
        <f>IFERROR(VLOOKUP($A42,'PP DS Query'!$C$1:$R$1005,10,FALSE),0)</f>
        <v>27138.3</v>
      </c>
      <c r="K42" s="523">
        <f>IFERROR(VLOOKUP($A42,'PP DS Query'!$C$1:$R$1005,11,FALSE),0)</f>
        <v>19.454546000000001</v>
      </c>
      <c r="L42" s="358">
        <f>IFERROR(VLOOKUP($A42,'PP DS Query'!$C$1:$R$1005,12,FALSE),0)</f>
        <v>17598.78</v>
      </c>
      <c r="M42" s="19">
        <f>IFERROR(VLOOKUP($A42,'PP DS Query'!$C$1:$R$1005,13,FALSE),0)</f>
        <v>0.35854124999999998</v>
      </c>
      <c r="N42" s="358">
        <f>IFERROR(VLOOKUP($A42,'PP DS Query'!$C$1:$R$1005,14,FALSE),0)</f>
        <v>324.33999999999997</v>
      </c>
      <c r="O42" s="56">
        <f>IFERROR(VLOOKUP($A42,'PP DS Query'!$C$1:$R$1005,4,FALSE),0)</f>
        <v>-0.02</v>
      </c>
      <c r="P42" s="358">
        <f>-IFERROR(VLOOKUP($A42,'PP DS Query'!$C$1:$R$1005,15,FALSE),0)</f>
        <v>18.09</v>
      </c>
      <c r="Q42" s="358">
        <f>IFERROR(VLOOKUP($A42,'PP DS Query'!$C$1:$R$1005,16,FALSE),0)</f>
        <v>322.32</v>
      </c>
      <c r="R42" s="48"/>
      <c r="S42" s="472">
        <f t="shared" ref="S42:S44" si="8">IFERROR(ROUND(LEFT(A42,7)*100,0),0)</f>
        <v>34634</v>
      </c>
      <c r="T42" s="472" t="s">
        <v>963</v>
      </c>
      <c r="U42" s="474">
        <f>IFERROR(VLOOKUP($S42,#REF!,7,FALSE),0)</f>
        <v>0</v>
      </c>
      <c r="V42" s="473">
        <f t="shared" ref="V42:V44" si="9">U42-F42</f>
        <v>-904.61</v>
      </c>
    </row>
    <row r="43" spans="1:22" ht="15.95" customHeight="1" x14ac:dyDescent="0.2">
      <c r="A43" s="396" t="s">
        <v>918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34634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1134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34634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836</v>
      </c>
      <c r="B45" s="499">
        <f>IFERROR(VLOOKUP($A45,'PP DS Query'!$C$1:$R$1005,5,FALSE),0)</f>
        <v>2049</v>
      </c>
      <c r="C45" s="33"/>
      <c r="D45" s="34"/>
      <c r="E45" s="15"/>
      <c r="F45" s="443">
        <f>IFERROR(VLOOKUP($A45,'PP DS Query'!$C$1:$R$1005,6,FALSE),0)</f>
        <v>904.61</v>
      </c>
      <c r="G45" s="525">
        <f>IFERROR(VLOOKUP($A45,'PP DS Query'!$C$1:$R$1005,7,FALSE),0)</f>
        <v>10.5</v>
      </c>
      <c r="H45" s="443">
        <f>IFERROR(VLOOKUP($A45,'PP DS Query'!$C$1:$R$1005,8,FALSE),0)</f>
        <v>9498.41</v>
      </c>
      <c r="I45" s="525">
        <f>IFERROR(VLOOKUP($A45,'PP DS Query'!$C$1:$R$1005,9,FALSE),0)</f>
        <v>30</v>
      </c>
      <c r="J45" s="443">
        <f>IFERROR(VLOOKUP($A45,'PP DS Query'!$C$1:$R$1005,10,FALSE),0)</f>
        <v>27138.3</v>
      </c>
      <c r="K45" s="525">
        <f>IFERROR(VLOOKUP($A45,'PP DS Query'!$C$1:$R$1005,11,FALSE),0)</f>
        <v>19.454546000000001</v>
      </c>
      <c r="L45" s="443">
        <f>IFERROR(VLOOKUP($A45,'PP DS Query'!$C$1:$R$1005,12,FALSE),0)</f>
        <v>17598.78</v>
      </c>
      <c r="M45" s="445">
        <f>IFERROR(VLOOKUP($A45,'PP DS Query'!$C$1:$R$1005,13,FALSE),0)</f>
        <v>0.35854124999999998</v>
      </c>
      <c r="N45" s="443">
        <f>IFERROR(VLOOKUP($A45,'PP DS Query'!$C$1:$R$1005,14,FALSE),0)</f>
        <v>324.33999999999997</v>
      </c>
      <c r="O45" s="446">
        <f>IFERROR(VLOOKUP($A45,'PP DS Query'!$C$1:$R$1005,4,FALSE),0)</f>
        <v>-0.02</v>
      </c>
      <c r="P45" s="443">
        <f>-IFERROR(VLOOKUP($A45,'PP DS Query'!$C$1:$R$1005,15,FALSE),0)</f>
        <v>18.09</v>
      </c>
      <c r="Q45" s="443">
        <f>IFERROR(VLOOKUP($A45,'PP DS Query'!$C$1:$R$1005,16,FALSE),0)</f>
        <v>322.32</v>
      </c>
      <c r="R45" s="48"/>
      <c r="U45" s="473">
        <f>SUM(U41:U44)</f>
        <v>0</v>
      </c>
      <c r="V45" s="473">
        <f>SUM(V41:V44)</f>
        <v>-904.61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CT Unit #4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5631611.5999999996</v>
      </c>
      <c r="G49" s="523">
        <f>IF($F49=0,0,H49/$F49)</f>
        <v>10.12455041643852</v>
      </c>
      <c r="H49" s="358">
        <f>H13+H20+H27+H34+H41</f>
        <v>57017535.57</v>
      </c>
      <c r="I49" s="523">
        <f>IF($F49=0,0,J49/$F49)</f>
        <v>39.548571659309744</v>
      </c>
      <c r="J49" s="358">
        <f>J13+J20+J27+J34+J41</f>
        <v>222722194.91999999</v>
      </c>
      <c r="K49" s="523">
        <f>IF($F49=0,0,L49/$F49)</f>
        <v>29.500000001775689</v>
      </c>
      <c r="L49" s="358">
        <f>L13+L20+L27+L34+L41</f>
        <v>166132542.20999998</v>
      </c>
      <c r="M49" s="19">
        <f>IF($F49=0,0,N49/$F49)</f>
        <v>0.26723877051464273</v>
      </c>
      <c r="N49" s="358">
        <f>N13+N20+N27+N34+N41</f>
        <v>1504984.96</v>
      </c>
      <c r="O49" s="56">
        <f>-IF($F49=0,0,P49/$F49)</f>
        <v>-5.2619850417241133E-2</v>
      </c>
      <c r="P49" s="358">
        <f>P13+P20+P27+P34+P41</f>
        <v>296334.56</v>
      </c>
      <c r="Q49" s="358">
        <f>Q13+Q20+Q27+Q34+Q41</f>
        <v>1336874.0499999998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16168722.67</v>
      </c>
      <c r="G50" s="523">
        <f t="shared" ref="G50:G51" si="10">IF($F50=0,0,H50/$F50)</f>
        <v>10.41575434294959</v>
      </c>
      <c r="H50" s="358">
        <f t="shared" ref="H50:H51" si="11">H14+H21+H28+H35+H42</f>
        <v>168409443.37</v>
      </c>
      <c r="I50" s="523">
        <f t="shared" ref="I50:I51" si="12">IF($F50=0,0,J50/$F50)</f>
        <v>29.990054762934466</v>
      </c>
      <c r="J50" s="358">
        <f t="shared" ref="J50:J51" si="13">J14+J21+J28+J35+J42</f>
        <v>484900878.31999999</v>
      </c>
      <c r="K50" s="523">
        <f t="shared" ref="K50:K51" si="14">IF($F50=0,0,L50/$F50)</f>
        <v>19.528498611449063</v>
      </c>
      <c r="L50" s="358">
        <f t="shared" ref="L50:L51" si="15">L14+L21+L28+L35+L42</f>
        <v>315750878.20999998</v>
      </c>
      <c r="M50" s="19">
        <f t="shared" ref="M50:M51" si="16">IF($F50=0,0,N50/$F50)</f>
        <v>0.3721175335120025</v>
      </c>
      <c r="N50" s="358">
        <f t="shared" ref="N50:N51" si="17">N14+N21+N28+N35+N42</f>
        <v>6016665.1999999993</v>
      </c>
      <c r="O50" s="56">
        <f t="shared" ref="O50:O51" si="18">-IF($F50=0,0,P50/$F50)</f>
        <v>-6.6615421142602854E-2</v>
      </c>
      <c r="P50" s="358">
        <f t="shared" ref="P50:Q50" si="19">P14+P21+P28+P35+P42</f>
        <v>1077086.27</v>
      </c>
      <c r="Q50" s="358">
        <f t="shared" si="19"/>
        <v>7135088.46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442" t="s">
        <v>407</v>
      </c>
      <c r="F51" s="358">
        <f>F15+F22+F29+F36+F43</f>
        <v>1666004.96</v>
      </c>
      <c r="G51" s="523">
        <f t="shared" si="10"/>
        <v>6.2875286637802086</v>
      </c>
      <c r="H51" s="358">
        <f t="shared" si="11"/>
        <v>10475053.939999999</v>
      </c>
      <c r="I51" s="523">
        <f t="shared" si="12"/>
        <v>20.000000000000004</v>
      </c>
      <c r="J51" s="358">
        <f t="shared" si="13"/>
        <v>33320099.200000003</v>
      </c>
      <c r="K51" s="523">
        <f t="shared" si="14"/>
        <v>13.84199134677246</v>
      </c>
      <c r="L51" s="358">
        <f t="shared" si="15"/>
        <v>23060826.239999998</v>
      </c>
      <c r="M51" s="19">
        <f t="shared" si="16"/>
        <v>0.32750310059100901</v>
      </c>
      <c r="N51" s="358">
        <f t="shared" si="17"/>
        <v>545621.78999999992</v>
      </c>
      <c r="O51" s="56">
        <f t="shared" si="18"/>
        <v>-6.5420057332842521E-2</v>
      </c>
      <c r="P51" s="358">
        <f t="shared" ref="P51:Q51" si="20">P15+P22+P29+P36+P43</f>
        <v>108990.14</v>
      </c>
      <c r="Q51" s="358">
        <f t="shared" si="20"/>
        <v>600972.43000000005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441" t="s">
        <v>359</v>
      </c>
      <c r="F52" s="250">
        <f>F16+F23+F30+F37+F44</f>
        <v>20362.189999999999</v>
      </c>
      <c r="G52" s="524">
        <f>IF($F52=0,0,H52/$F52)</f>
        <v>0.50000024555315514</v>
      </c>
      <c r="H52" s="250">
        <f>H16+H23+H30+H37+H44</f>
        <v>10181.1</v>
      </c>
      <c r="I52" s="524">
        <f>IF($F52=0,0,J52/$F52)</f>
        <v>12</v>
      </c>
      <c r="J52" s="250">
        <f>J16+J23+J30+J37+J44</f>
        <v>244346.28</v>
      </c>
      <c r="K52" s="524">
        <f>IF($F52=0,0,L52/$F52)</f>
        <v>11.500000245553156</v>
      </c>
      <c r="L52" s="250">
        <f>L16+L23+L30+L37+L44</f>
        <v>234165.19</v>
      </c>
      <c r="M52" s="21">
        <f>IF($F52=0,0,N52/$F52)</f>
        <v>4.4583121952992286E-2</v>
      </c>
      <c r="N52" s="250">
        <f>N16+N23+N30+N37+N44</f>
        <v>907.81</v>
      </c>
      <c r="O52" s="57">
        <f>-IF($F52=0,0,P52/$F52)</f>
        <v>-6.9999837934917611E-2</v>
      </c>
      <c r="P52" s="250">
        <f>P16+P23+P30+P37+P44</f>
        <v>1425.35</v>
      </c>
      <c r="Q52" s="250">
        <f>Q16+Q23+Q30+Q37+Q44</f>
        <v>1105.3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23486701.420000002</v>
      </c>
      <c r="G53" s="525">
        <f>IF($F53=0,0,H53/$F53)</f>
        <v>10.044501769801951</v>
      </c>
      <c r="H53" s="443">
        <f>SUM(H49:H52)</f>
        <v>235912213.97999999</v>
      </c>
      <c r="I53" s="525">
        <f>IF($F53=0,0,J53/$F53)</f>
        <v>31.557752851954124</v>
      </c>
      <c r="J53" s="443">
        <f>SUM(J49:J52)</f>
        <v>741187518.72000003</v>
      </c>
      <c r="K53" s="525">
        <f>IF($F53=0,0,L53/$F53)</f>
        <v>21.509125645877944</v>
      </c>
      <c r="L53" s="443">
        <f>SUM(L49:L52)</f>
        <v>505178411.84999996</v>
      </c>
      <c r="M53" s="445">
        <f>IF($F53=0,0,N53/$F53)</f>
        <v>0.3435211959193884</v>
      </c>
      <c r="N53" s="443">
        <f>SUM(N49:N52)</f>
        <v>8068179.7599999988</v>
      </c>
      <c r="O53" s="446">
        <f>-IF($F53=0,0,P53/$F53)</f>
        <v>-6.3177723149170945E-2</v>
      </c>
      <c r="P53" s="443">
        <f>SUM(P49:P52)</f>
        <v>1483836.32</v>
      </c>
      <c r="Q53" s="443">
        <f>SUM(Q49:Q52)</f>
        <v>9074040.2400000002</v>
      </c>
      <c r="R53" s="48"/>
    </row>
    <row r="54" spans="1:18" x14ac:dyDescent="0.2">
      <c r="A54" s="49"/>
      <c r="B54" s="49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34134</v>
      </c>
      <c r="F56" s="352">
        <f>IFERROR(VLOOKUP(E56,'2019 B-7'!C:P,14,FALSE),0)</f>
        <v>242333.96</v>
      </c>
      <c r="G56" s="353">
        <f>F56-F17</f>
        <v>0</v>
      </c>
      <c r="P56" s="260">
        <f>E56</f>
        <v>34134</v>
      </c>
      <c r="Q56" s="352">
        <f>IFERROR(VLOOKUP(P56,'2019 B-9'!C:R,16,FALSE),0)</f>
        <v>-122817.35000000003</v>
      </c>
      <c r="R56" s="353">
        <f>Q56-Q17</f>
        <v>0</v>
      </c>
    </row>
    <row r="57" spans="1:18" x14ac:dyDescent="0.2">
      <c r="E57" s="260">
        <v>34234</v>
      </c>
      <c r="F57" s="352">
        <f>IFERROR(VLOOKUP(E57,'2019 B-7'!C:P,14,FALSE),0)</f>
        <v>3362086.7600000002</v>
      </c>
      <c r="G57" s="353">
        <f>F57-F24</f>
        <v>0</v>
      </c>
      <c r="P57" s="260">
        <f t="shared" ref="P57:P60" si="21">E57</f>
        <v>34234</v>
      </c>
      <c r="Q57" s="352">
        <f>IFERROR(VLOOKUP(P57,'2019 B-9'!C:R,16,FALSE),0)</f>
        <v>866517.64999999967</v>
      </c>
      <c r="R57" s="353">
        <f>Q57-Q24</f>
        <v>0</v>
      </c>
    </row>
    <row r="58" spans="1:18" x14ac:dyDescent="0.2">
      <c r="E58" s="260">
        <v>34334</v>
      </c>
      <c r="F58" s="352">
        <f>IFERROR(VLOOKUP(E58,'2019 B-7'!C:P,14,FALSE),0)</f>
        <v>15839920.23</v>
      </c>
      <c r="G58" s="353">
        <f>F58-F31</f>
        <v>0</v>
      </c>
      <c r="P58" s="260">
        <f t="shared" si="21"/>
        <v>34334</v>
      </c>
      <c r="Q58" s="352">
        <f>IFERROR(VLOOKUP(P58,'2019 B-9'!C:R,16,FALSE),0)</f>
        <v>6950153.0100000016</v>
      </c>
      <c r="R58" s="353">
        <f>Q58-Q31</f>
        <v>0</v>
      </c>
    </row>
    <row r="59" spans="1:18" x14ac:dyDescent="0.2">
      <c r="E59" s="260">
        <v>34534</v>
      </c>
      <c r="F59" s="352">
        <f>IFERROR(VLOOKUP(E59,'2019 B-7'!C:P,14,FALSE),0)</f>
        <v>4041455.86</v>
      </c>
      <c r="G59" s="353">
        <f>F59-F38</f>
        <v>0</v>
      </c>
      <c r="P59" s="260">
        <f t="shared" si="21"/>
        <v>34534</v>
      </c>
      <c r="Q59" s="352">
        <f>IFERROR(VLOOKUP(P59,'2019 B-9'!C:R,16,FALSE),0)</f>
        <v>1379864.6099999985</v>
      </c>
      <c r="R59" s="353">
        <f>Q59-Q38</f>
        <v>0</v>
      </c>
    </row>
    <row r="60" spans="1:18" x14ac:dyDescent="0.2">
      <c r="E60" s="260">
        <v>34634</v>
      </c>
      <c r="F60" s="352">
        <f>IFERROR(VLOOKUP(E60,'2019 B-7'!C:P,14,FALSE),0)</f>
        <v>904.61</v>
      </c>
      <c r="G60" s="353">
        <f>F60-F45</f>
        <v>0</v>
      </c>
      <c r="P60" s="260">
        <f t="shared" si="21"/>
        <v>34634</v>
      </c>
      <c r="Q60" s="352">
        <f>IFERROR(VLOOKUP(P60,'2019 B-9'!C:R,16,FALSE),0)</f>
        <v>322.32000000000022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23486701.419999998</v>
      </c>
      <c r="G61" s="354">
        <f>SUM(G56:G60)</f>
        <v>0</v>
      </c>
      <c r="P61" s="349" t="s">
        <v>40</v>
      </c>
      <c r="Q61" s="354">
        <f>SUM(Q56:Q60)</f>
        <v>9074040.2400000002</v>
      </c>
      <c r="R61" s="354">
        <f>SUM(R56:R60)</f>
        <v>0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0</v>
      </c>
    </row>
    <row r="63" spans="1:18" x14ac:dyDescent="0.2">
      <c r="E63" s="29"/>
      <c r="G63" s="18"/>
    </row>
    <row r="64" spans="1:18" x14ac:dyDescent="0.2">
      <c r="E64" s="50"/>
      <c r="G64" s="18"/>
    </row>
    <row r="65" spans="5:7" x14ac:dyDescent="0.2">
      <c r="E65" s="50"/>
      <c r="G65" s="29"/>
    </row>
    <row r="66" spans="5:7" x14ac:dyDescent="0.2">
      <c r="E66" s="50"/>
      <c r="G66" s="29"/>
    </row>
    <row r="67" spans="5:7" x14ac:dyDescent="0.2">
      <c r="E67" s="50"/>
    </row>
    <row r="68" spans="5:7" x14ac:dyDescent="0.2">
      <c r="E68" s="50"/>
    </row>
    <row r="69" spans="5:7" x14ac:dyDescent="0.2">
      <c r="E69" s="50"/>
    </row>
    <row r="70" spans="5:7" x14ac:dyDescent="0.2">
      <c r="E70" s="50"/>
    </row>
    <row r="71" spans="5:7" x14ac:dyDescent="0.2">
      <c r="E71" s="50"/>
    </row>
    <row r="72" spans="5:7" x14ac:dyDescent="0.2">
      <c r="E72" s="50"/>
    </row>
    <row r="73" spans="5:7" x14ac:dyDescent="0.2">
      <c r="E73" s="50"/>
    </row>
  </sheetData>
  <phoneticPr fontId="31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>
    <tabColor theme="7" tint="-0.249977111117893"/>
    <pageSetUpPr fitToPage="1"/>
  </sheetPr>
  <dimension ref="A1:V73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87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1252</v>
      </c>
      <c r="E12" s="50"/>
      <c r="P12" s="18"/>
      <c r="Q12" s="18"/>
      <c r="R12" s="48"/>
    </row>
    <row r="13" spans="1:22" ht="15.95" customHeight="1" x14ac:dyDescent="0.2">
      <c r="A13" s="49" t="s">
        <v>747</v>
      </c>
      <c r="B13" s="499">
        <f>IFERROR(VLOOKUP($A13,'PP DS Query'!$C$1:$R$1005,5,FALSE),0)</f>
        <v>2049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641631.80000000005</v>
      </c>
      <c r="G13" s="523">
        <f>IFERROR(VLOOKUP($A13,'PP DS Query'!$C$1:$R$1005,7,FALSE),0)</f>
        <v>8.5192692399999999</v>
      </c>
      <c r="H13" s="358">
        <f>IFERROR(VLOOKUP($A13,'PP DS Query'!$C$1:$R$1005,8,FALSE),0)</f>
        <v>5466234.0599999996</v>
      </c>
      <c r="I13" s="523">
        <f>IFERROR(VLOOKUP($A13,'PP DS Query'!$C$1:$R$1005,9,FALSE),0)</f>
        <v>37.96</v>
      </c>
      <c r="J13" s="358">
        <f>IFERROR(VLOOKUP($A13,'PP DS Query'!$C$1:$R$1005,10,FALSE),0)</f>
        <v>24356343.129999999</v>
      </c>
      <c r="K13" s="523">
        <f>IFERROR(VLOOKUP($A13,'PP DS Query'!$C$1:$R$1005,11,FALSE),0)</f>
        <v>29.5</v>
      </c>
      <c r="L13" s="358">
        <f>IFERROR(VLOOKUP($A13,'PP DS Query'!$C$1:$R$1005,12,FALSE),0)</f>
        <v>18928138.100000001</v>
      </c>
      <c r="M13" s="19">
        <f>IFERROR(VLOOKUP($A13,'PP DS Query'!$C$1:$R$1005,13,FALSE),0)</f>
        <v>0.22742324</v>
      </c>
      <c r="N13" s="358">
        <f>IFERROR(VLOOKUP($A13,'PP DS Query'!$C$1:$R$1005,14,FALSE),0)</f>
        <v>145921.98000000001</v>
      </c>
      <c r="O13" s="56">
        <f>IFERROR(VLOOKUP($A13,'PP DS Query'!$C$1:$R$1005,4,FALSE),0)</f>
        <v>-0.02</v>
      </c>
      <c r="P13" s="358">
        <f>-IFERROR(VLOOKUP($A13,'PP DS Query'!$C$1:$R$1005,15,FALSE),0)</f>
        <v>12832.64</v>
      </c>
      <c r="Q13" s="358">
        <f>IFERROR(VLOOKUP($A13,'PP DS Query'!$C$1:$R$1005,16,FALSE),0)</f>
        <v>-126786.47</v>
      </c>
      <c r="R13" s="48"/>
      <c r="S13" s="472">
        <f>IFERROR(ROUND(LEFT(A13,7)*100,0),0)</f>
        <v>34135</v>
      </c>
      <c r="T13" s="472" t="s">
        <v>962</v>
      </c>
      <c r="U13" s="474">
        <f>IFERROR(VLOOKUP($S13,#REF!,6,FALSE),0)</f>
        <v>0</v>
      </c>
      <c r="V13" s="473">
        <f>U13-F13</f>
        <v>-641631.80000000005</v>
      </c>
    </row>
    <row r="14" spans="1:22" ht="15.95" customHeight="1" x14ac:dyDescent="0.2">
      <c r="A14" s="49" t="s">
        <v>748</v>
      </c>
      <c r="B14" s="499">
        <f>IFERROR(VLOOKUP($A14,'PP DS Query'!$C$1:$R$1005,5,FALSE),0)</f>
        <v>2049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146075.22</v>
      </c>
      <c r="G14" s="523">
        <f>IFERROR(VLOOKUP($A14,'PP DS Query'!$C$1:$R$1005,7,FALSE),0)</f>
        <v>10.5</v>
      </c>
      <c r="H14" s="358">
        <f>IFERROR(VLOOKUP($A14,'PP DS Query'!$C$1:$R$1005,8,FALSE),0)</f>
        <v>1533789.81</v>
      </c>
      <c r="I14" s="523">
        <f>IFERROR(VLOOKUP($A14,'PP DS Query'!$C$1:$R$1005,9,FALSE),0)</f>
        <v>30</v>
      </c>
      <c r="J14" s="358">
        <f>IFERROR(VLOOKUP($A14,'PP DS Query'!$C$1:$R$1005,10,FALSE),0)</f>
        <v>4382256.5999999996</v>
      </c>
      <c r="K14" s="523">
        <f>IFERROR(VLOOKUP($A14,'PP DS Query'!$C$1:$R$1005,11,FALSE),0)</f>
        <v>19.454546000000001</v>
      </c>
      <c r="L14" s="358">
        <f>IFERROR(VLOOKUP($A14,'PP DS Query'!$C$1:$R$1005,12,FALSE),0)</f>
        <v>2841827.09</v>
      </c>
      <c r="M14" s="19">
        <f>IFERROR(VLOOKUP($A14,'PP DS Query'!$C$1:$R$1005,13,FALSE),0)</f>
        <v>0.35854548000000003</v>
      </c>
      <c r="N14" s="358">
        <f>IFERROR(VLOOKUP($A14,'PP DS Query'!$C$1:$R$1005,14,FALSE),0)</f>
        <v>52374.61</v>
      </c>
      <c r="O14" s="56">
        <f>IFERROR(VLOOKUP($A14,'PP DS Query'!$C$1:$R$1005,4,FALSE),0)</f>
        <v>-0.02</v>
      </c>
      <c r="P14" s="358">
        <f>-IFERROR(VLOOKUP($A14,'PP DS Query'!$C$1:$R$1005,15,FALSE),0)</f>
        <v>2921.5</v>
      </c>
      <c r="Q14" s="358">
        <f>IFERROR(VLOOKUP($A14,'PP DS Query'!$C$1:$R$1005,16,FALSE),0)</f>
        <v>-45506.45</v>
      </c>
      <c r="R14" s="48"/>
      <c r="S14" s="472">
        <f t="shared" ref="S14:S16" si="0">IFERROR(ROUND(LEFT(A14,7)*100,0),0)</f>
        <v>34135</v>
      </c>
      <c r="T14" s="472" t="s">
        <v>963</v>
      </c>
      <c r="U14" s="474">
        <f>IFERROR(VLOOKUP($S14,#REF!,7,FALSE),0)</f>
        <v>0</v>
      </c>
      <c r="V14" s="473">
        <f t="shared" ref="V14:V16" si="1">U14-F14</f>
        <v>-146075.22</v>
      </c>
    </row>
    <row r="15" spans="1:22" ht="15.95" customHeight="1" x14ac:dyDescent="0.2">
      <c r="A15" s="49" t="s">
        <v>749</v>
      </c>
      <c r="B15" s="499">
        <f>IFERROR(VLOOKUP($A15,'PP DS Query'!$C$1:$R$1005,5,FALSE),0)</f>
        <v>2049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5407.24</v>
      </c>
      <c r="G15" s="523">
        <f>IFERROR(VLOOKUP($A15,'PP DS Query'!$C$1:$R$1005,7,FALSE),0)</f>
        <v>5.5</v>
      </c>
      <c r="H15" s="358">
        <f>IFERROR(VLOOKUP($A15,'PP DS Query'!$C$1:$R$1005,8,FALSE),0)</f>
        <v>29739.82</v>
      </c>
      <c r="I15" s="523">
        <f>IFERROR(VLOOKUP($A15,'PP DS Query'!$C$1:$R$1005,9,FALSE),0)</f>
        <v>20</v>
      </c>
      <c r="J15" s="358">
        <f>IFERROR(VLOOKUP($A15,'PP DS Query'!$C$1:$R$1005,10,FALSE),0)</f>
        <v>108144.8</v>
      </c>
      <c r="K15" s="523">
        <f>IFERROR(VLOOKUP($A15,'PP DS Query'!$C$1:$R$1005,11,FALSE),0)</f>
        <v>14.505412</v>
      </c>
      <c r="L15" s="358">
        <f>IFERROR(VLOOKUP($A15,'PP DS Query'!$C$1:$R$1005,12,FALSE),0)</f>
        <v>78434.240000000005</v>
      </c>
      <c r="M15" s="19">
        <f>IFERROR(VLOOKUP($A15,'PP DS Query'!$C$1:$R$1005,13,FALSE),0)</f>
        <v>0.28022428999999999</v>
      </c>
      <c r="N15" s="358">
        <f>IFERROR(VLOOKUP($A15,'PP DS Query'!$C$1:$R$1005,14,FALSE),0)</f>
        <v>1515.24</v>
      </c>
      <c r="O15" s="56">
        <f>IFERROR(VLOOKUP($A15,'PP DS Query'!$C$1:$R$1005,4,FALSE),0)</f>
        <v>-0.02</v>
      </c>
      <c r="P15" s="358">
        <f>-IFERROR(VLOOKUP($A15,'PP DS Query'!$C$1:$R$1005,15,FALSE),0)</f>
        <v>108.14</v>
      </c>
      <c r="Q15" s="358">
        <f>IFERROR(VLOOKUP($A15,'PP DS Query'!$C$1:$R$1005,16,FALSE),0)</f>
        <v>-1316.54</v>
      </c>
      <c r="R15" s="48"/>
      <c r="S15" s="472">
        <f t="shared" si="0"/>
        <v>34135</v>
      </c>
      <c r="T15" s="472" t="s">
        <v>964</v>
      </c>
      <c r="U15" s="474">
        <f>IFERROR(VLOOKUP($S15,#REF!,8,FALSE),0)</f>
        <v>0</v>
      </c>
      <c r="V15" s="473">
        <f t="shared" si="1"/>
        <v>-5407.24</v>
      </c>
    </row>
    <row r="16" spans="1:22" ht="15.95" customHeight="1" thickBot="1" x14ac:dyDescent="0.25">
      <c r="A16" s="397" t="s">
        <v>1135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34135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750</v>
      </c>
      <c r="B17" s="499">
        <f>IFERROR(VLOOKUP($A17,'PP DS Query'!$C$1:$R$1005,5,FALSE),0)</f>
        <v>2049</v>
      </c>
      <c r="C17" s="33"/>
      <c r="D17" s="34"/>
      <c r="E17" s="15"/>
      <c r="F17" s="443">
        <f>IFERROR(VLOOKUP($A17,'PP DS Query'!$C$1:$R$1005,6,FALSE),0)</f>
        <v>793114.26</v>
      </c>
      <c r="G17" s="525">
        <f>IFERROR(VLOOKUP($A17,'PP DS Query'!$C$1:$R$1005,7,FALSE),0)</f>
        <v>8.8634942599999995</v>
      </c>
      <c r="H17" s="443">
        <f>IFERROR(VLOOKUP($A17,'PP DS Query'!$C$1:$R$1005,8,FALSE),0)</f>
        <v>7029763.6900000004</v>
      </c>
      <c r="I17" s="525">
        <f>IFERROR(VLOOKUP($A17,'PP DS Query'!$C$1:$R$1005,9,FALSE),0)</f>
        <v>36.371486410000003</v>
      </c>
      <c r="J17" s="443">
        <f>IFERROR(VLOOKUP($A17,'PP DS Query'!$C$1:$R$1005,10,FALSE),0)</f>
        <v>28846744.530000001</v>
      </c>
      <c r="K17" s="525">
        <f>IFERROR(VLOOKUP($A17,'PP DS Query'!$C$1:$R$1005,11,FALSE),0)</f>
        <v>27.54760636</v>
      </c>
      <c r="L17" s="443">
        <f>IFERROR(VLOOKUP($A17,'PP DS Query'!$C$1:$R$1005,12,FALSE),0)</f>
        <v>21848399.43</v>
      </c>
      <c r="M17" s="445">
        <f>IFERROR(VLOOKUP($A17,'PP DS Query'!$C$1:$R$1005,13,FALSE),0)</f>
        <v>0.25193322000000001</v>
      </c>
      <c r="N17" s="443">
        <f>IFERROR(VLOOKUP($A17,'PP DS Query'!$C$1:$R$1005,14,FALSE),0)</f>
        <v>199811.83</v>
      </c>
      <c r="O17" s="446">
        <f>IFERROR(VLOOKUP($A17,'PP DS Query'!$C$1:$R$1005,4,FALSE),0)</f>
        <v>-0.02</v>
      </c>
      <c r="P17" s="443">
        <f>-IFERROR(VLOOKUP($A17,'PP DS Query'!$C$1:$R$1005,15,FALSE),0)</f>
        <v>15862.29</v>
      </c>
      <c r="Q17" s="443">
        <f>IFERROR(VLOOKUP($A17,'PP DS Query'!$C$1:$R$1005,16,FALSE),0)</f>
        <v>-173609.46</v>
      </c>
      <c r="R17" s="48"/>
      <c r="U17" s="473">
        <f>SUM(U13:U16)</f>
        <v>0</v>
      </c>
      <c r="V17" s="473">
        <f>SUM(V13:V16)</f>
        <v>-793114.26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1253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770</v>
      </c>
      <c r="B20" s="499">
        <f>IFERROR(VLOOKUP($A20,'PP DS Query'!$C$1:$R$1005,5,FALSE),0)</f>
        <v>2049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1345409.05</v>
      </c>
      <c r="G20" s="523">
        <f>IFERROR(VLOOKUP($A20,'PP DS Query'!$C$1:$R$1005,7,FALSE),0)</f>
        <v>10.465204330000001</v>
      </c>
      <c r="H20" s="358">
        <f>IFERROR(VLOOKUP($A20,'PP DS Query'!$C$1:$R$1005,8,FALSE),0)</f>
        <v>14079980.619999999</v>
      </c>
      <c r="I20" s="523">
        <f>IFERROR(VLOOKUP($A20,'PP DS Query'!$C$1:$R$1005,9,FALSE),0)</f>
        <v>39.96</v>
      </c>
      <c r="J20" s="358">
        <f>IFERROR(VLOOKUP($A20,'PP DS Query'!$C$1:$R$1005,10,FALSE),0)</f>
        <v>53762545.640000001</v>
      </c>
      <c r="K20" s="523">
        <f>IFERROR(VLOOKUP($A20,'PP DS Query'!$C$1:$R$1005,11,FALSE),0)</f>
        <v>29.5</v>
      </c>
      <c r="L20" s="358">
        <f>IFERROR(VLOOKUP($A20,'PP DS Query'!$C$1:$R$1005,12,FALSE),0)</f>
        <v>39689566.979999997</v>
      </c>
      <c r="M20" s="19">
        <f>IFERROR(VLOOKUP($A20,'PP DS Query'!$C$1:$R$1005,13,FALSE),0)</f>
        <v>0.27493410000000001</v>
      </c>
      <c r="N20" s="358">
        <f>IFERROR(VLOOKUP($A20,'PP DS Query'!$C$1:$R$1005,14,FALSE),0)</f>
        <v>369898.83</v>
      </c>
      <c r="O20" s="56">
        <f>IFERROR(VLOOKUP($A20,'PP DS Query'!$C$1:$R$1005,4,FALSE),0)</f>
        <v>-0.05</v>
      </c>
      <c r="P20" s="358">
        <f>-IFERROR(VLOOKUP($A20,'PP DS Query'!$C$1:$R$1005,15,FALSE),0)</f>
        <v>67270.45</v>
      </c>
      <c r="Q20" s="358">
        <f>IFERROR(VLOOKUP($A20,'PP DS Query'!$C$1:$R$1005,16,FALSE),0)</f>
        <v>284753.7</v>
      </c>
      <c r="R20" s="48"/>
      <c r="S20" s="472">
        <f>IFERROR(ROUND(LEFT(A20,7)*100,0),0)</f>
        <v>34235</v>
      </c>
      <c r="T20" s="472" t="s">
        <v>962</v>
      </c>
      <c r="U20" s="474">
        <f>IFERROR(VLOOKUP($S20,#REF!,6,FALSE),0)</f>
        <v>0</v>
      </c>
      <c r="V20" s="473">
        <f>U20-F20</f>
        <v>-1345409.05</v>
      </c>
    </row>
    <row r="21" spans="1:22" ht="15.95" customHeight="1" x14ac:dyDescent="0.2">
      <c r="A21" s="49" t="s">
        <v>771</v>
      </c>
      <c r="B21" s="499">
        <f>IFERROR(VLOOKUP($A21,'PP DS Query'!$C$1:$R$1005,5,FALSE),0)</f>
        <v>2049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110075.27</v>
      </c>
      <c r="G21" s="523">
        <f>IFERROR(VLOOKUP($A21,'PP DS Query'!$C$1:$R$1005,7,FALSE),0)</f>
        <v>10.144875000000001</v>
      </c>
      <c r="H21" s="358">
        <f>IFERROR(VLOOKUP($A21,'PP DS Query'!$C$1:$R$1005,8,FALSE),0)</f>
        <v>1116699.8600000001</v>
      </c>
      <c r="I21" s="523">
        <f>IFERROR(VLOOKUP($A21,'PP DS Query'!$C$1:$R$1005,9,FALSE),0)</f>
        <v>29.98</v>
      </c>
      <c r="J21" s="358">
        <f>IFERROR(VLOOKUP($A21,'PP DS Query'!$C$1:$R$1005,10,FALSE),0)</f>
        <v>3300056.59</v>
      </c>
      <c r="K21" s="523">
        <f>IFERROR(VLOOKUP($A21,'PP DS Query'!$C$1:$R$1005,11,FALSE),0)</f>
        <v>19.775935</v>
      </c>
      <c r="L21" s="358">
        <f>IFERROR(VLOOKUP($A21,'PP DS Query'!$C$1:$R$1005,12,FALSE),0)</f>
        <v>2176841.38</v>
      </c>
      <c r="M21" s="19">
        <f>IFERROR(VLOOKUP($A21,'PP DS Query'!$C$1:$R$1005,13,FALSE),0)</f>
        <v>0.35743678000000001</v>
      </c>
      <c r="N21" s="358">
        <f>IFERROR(VLOOKUP($A21,'PP DS Query'!$C$1:$R$1005,14,FALSE),0)</f>
        <v>39344.949999999997</v>
      </c>
      <c r="O21" s="56">
        <f>IFERROR(VLOOKUP($A21,'PP DS Query'!$C$1:$R$1005,4,FALSE),0)</f>
        <v>-0.05</v>
      </c>
      <c r="P21" s="358">
        <f>-IFERROR(VLOOKUP($A21,'PP DS Query'!$C$1:$R$1005,15,FALSE),0)</f>
        <v>5503.76</v>
      </c>
      <c r="Q21" s="358">
        <f>IFERROR(VLOOKUP($A21,'PP DS Query'!$C$1:$R$1005,16,FALSE),0)</f>
        <v>30288.34</v>
      </c>
      <c r="R21" s="48"/>
      <c r="S21" s="472">
        <f t="shared" ref="S21:S23" si="2">IFERROR(ROUND(LEFT(A21,7)*100,0),0)</f>
        <v>34235</v>
      </c>
      <c r="T21" s="472" t="s">
        <v>963</v>
      </c>
      <c r="U21" s="474">
        <f>IFERROR(VLOOKUP($S21,#REF!,7,FALSE),0)</f>
        <v>0</v>
      </c>
      <c r="V21" s="473">
        <f t="shared" ref="V21:V23" si="3">U21-F21</f>
        <v>-110075.27</v>
      </c>
    </row>
    <row r="22" spans="1:22" ht="15.95" customHeight="1" x14ac:dyDescent="0.2">
      <c r="A22" s="49" t="s">
        <v>772</v>
      </c>
      <c r="B22" s="499">
        <f>IFERROR(VLOOKUP($A22,'PP DS Query'!$C$1:$R$1005,5,FALSE),0)</f>
        <v>2049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552982.43000000005</v>
      </c>
      <c r="G22" s="523">
        <f>IFERROR(VLOOKUP($A22,'PP DS Query'!$C$1:$R$1005,7,FALSE),0)</f>
        <v>10.42722098</v>
      </c>
      <c r="H22" s="358">
        <f>IFERROR(VLOOKUP($A22,'PP DS Query'!$C$1:$R$1005,8,FALSE),0)</f>
        <v>5766070</v>
      </c>
      <c r="I22" s="523">
        <f>IFERROR(VLOOKUP($A22,'PP DS Query'!$C$1:$R$1005,9,FALSE),0)</f>
        <v>20</v>
      </c>
      <c r="J22" s="358">
        <f>IFERROR(VLOOKUP($A22,'PP DS Query'!$C$1:$R$1005,10,FALSE),0)</f>
        <v>11059648.6</v>
      </c>
      <c r="K22" s="523">
        <f>IFERROR(VLOOKUP($A22,'PP DS Query'!$C$1:$R$1005,11,FALSE),0)</f>
        <v>9.8366089999999993</v>
      </c>
      <c r="L22" s="358">
        <f>IFERROR(VLOOKUP($A22,'PP DS Query'!$C$1:$R$1005,12,FALSE),0)</f>
        <v>5439471.9500000002</v>
      </c>
      <c r="M22" s="19">
        <f>IFERROR(VLOOKUP($A22,'PP DS Query'!$C$1:$R$1005,13,FALSE),0)</f>
        <v>0.53357801999999999</v>
      </c>
      <c r="N22" s="358">
        <f>IFERROR(VLOOKUP($A22,'PP DS Query'!$C$1:$R$1005,14,FALSE),0)</f>
        <v>295059.27</v>
      </c>
      <c r="O22" s="56">
        <f>IFERROR(VLOOKUP($A22,'PP DS Query'!$C$1:$R$1005,4,FALSE),0)</f>
        <v>-0.05</v>
      </c>
      <c r="P22" s="358">
        <f>-IFERROR(VLOOKUP($A22,'PP DS Query'!$C$1:$R$1005,15,FALSE),0)</f>
        <v>27649.119999999999</v>
      </c>
      <c r="Q22" s="358">
        <f>IFERROR(VLOOKUP($A22,'PP DS Query'!$C$1:$R$1005,16,FALSE),0)</f>
        <v>227141.07</v>
      </c>
      <c r="R22" s="48"/>
      <c r="S22" s="472">
        <f t="shared" si="2"/>
        <v>34235</v>
      </c>
      <c r="T22" s="472" t="s">
        <v>964</v>
      </c>
      <c r="U22" s="474">
        <f>IFERROR(VLOOKUP($S22,#REF!,8,FALSE),0)</f>
        <v>0</v>
      </c>
      <c r="V22" s="473">
        <f t="shared" si="3"/>
        <v>-552982.43000000005</v>
      </c>
    </row>
    <row r="23" spans="1:22" ht="15.95" customHeight="1" thickBot="1" x14ac:dyDescent="0.25">
      <c r="A23" s="397" t="s">
        <v>1136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34235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773</v>
      </c>
      <c r="B24" s="499">
        <f>IFERROR(VLOOKUP($A24,'PP DS Query'!$C$1:$R$1005,5,FALSE),0)</f>
        <v>2049</v>
      </c>
      <c r="C24" s="33"/>
      <c r="D24" s="34"/>
      <c r="E24" s="15"/>
      <c r="F24" s="443">
        <f>IFERROR(VLOOKUP($A24,'PP DS Query'!$C$1:$R$1005,6,FALSE),0)</f>
        <v>2008466.75</v>
      </c>
      <c r="G24" s="525">
        <f>IFERROR(VLOOKUP($A24,'PP DS Query'!$C$1:$R$1005,7,FALSE),0)</f>
        <v>10.43719069</v>
      </c>
      <c r="H24" s="443">
        <f>IFERROR(VLOOKUP($A24,'PP DS Query'!$C$1:$R$1005,8,FALSE),0)</f>
        <v>20962750.469999999</v>
      </c>
      <c r="I24" s="525">
        <f>IFERROR(VLOOKUP($A24,'PP DS Query'!$C$1:$R$1005,9,FALSE),0)</f>
        <v>33.917539750000003</v>
      </c>
      <c r="J24" s="443">
        <f>IFERROR(VLOOKUP($A24,'PP DS Query'!$C$1:$R$1005,10,FALSE),0)</f>
        <v>68122250.829999998</v>
      </c>
      <c r="K24" s="525">
        <f>IFERROR(VLOOKUP($A24,'PP DS Query'!$C$1:$R$1005,11,FALSE),0)</f>
        <v>23.553230500000002</v>
      </c>
      <c r="L24" s="443">
        <f>IFERROR(VLOOKUP($A24,'PP DS Query'!$C$1:$R$1005,12,FALSE),0)</f>
        <v>47305880.310000002</v>
      </c>
      <c r="M24" s="445">
        <f>IFERROR(VLOOKUP($A24,'PP DS Query'!$C$1:$R$1005,13,FALSE),0)</f>
        <v>0.35066702</v>
      </c>
      <c r="N24" s="443">
        <f>IFERROR(VLOOKUP($A24,'PP DS Query'!$C$1:$R$1005,14,FALSE),0)</f>
        <v>704303.05</v>
      </c>
      <c r="O24" s="446">
        <f>IFERROR(VLOOKUP($A24,'PP DS Query'!$C$1:$R$1005,4,FALSE),0)</f>
        <v>-0.05</v>
      </c>
      <c r="P24" s="443">
        <f>-IFERROR(VLOOKUP($A24,'PP DS Query'!$C$1:$R$1005,15,FALSE),0)</f>
        <v>100423.34</v>
      </c>
      <c r="Q24" s="443">
        <f>IFERROR(VLOOKUP($A24,'PP DS Query'!$C$1:$R$1005,16,FALSE),0)</f>
        <v>542183.11</v>
      </c>
      <c r="R24" s="48"/>
      <c r="U24" s="473">
        <f>SUM(U20:U23)</f>
        <v>0</v>
      </c>
      <c r="V24" s="473">
        <f>SUM(V20:V23)</f>
        <v>-2008466.75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1254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796</v>
      </c>
      <c r="B27" s="499">
        <f>IFERROR(VLOOKUP($A27,'PP DS Query'!$C$1:$R$1005,5,FALSE),0)</f>
        <v>2049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3197259.61</v>
      </c>
      <c r="G27" s="523">
        <f>IFERROR(VLOOKUP($A27,'PP DS Query'!$C$1:$R$1005,7,FALSE),0)</f>
        <v>10.062237209999999</v>
      </c>
      <c r="H27" s="358">
        <f>IFERROR(VLOOKUP($A27,'PP DS Query'!$C$1:$R$1005,8,FALSE),0)</f>
        <v>32171584.620000001</v>
      </c>
      <c r="I27" s="523">
        <f>IFERROR(VLOOKUP($A27,'PP DS Query'!$C$1:$R$1005,9,FALSE),0)</f>
        <v>39.450000000000003</v>
      </c>
      <c r="J27" s="358">
        <f>IFERROR(VLOOKUP($A27,'PP DS Query'!$C$1:$R$1005,10,FALSE),0)</f>
        <v>126131891.61</v>
      </c>
      <c r="K27" s="523">
        <f>IFERROR(VLOOKUP($A27,'PP DS Query'!$C$1:$R$1005,11,FALSE),0)</f>
        <v>29.5</v>
      </c>
      <c r="L27" s="358">
        <f>IFERROR(VLOOKUP($A27,'PP DS Query'!$C$1:$R$1005,12,FALSE),0)</f>
        <v>94319158.5</v>
      </c>
      <c r="M27" s="19">
        <f>IFERROR(VLOOKUP($A27,'PP DS Query'!$C$1:$R$1005,13,FALSE),0)</f>
        <v>0.26990837000000001</v>
      </c>
      <c r="N27" s="358">
        <f>IFERROR(VLOOKUP($A27,'PP DS Query'!$C$1:$R$1005,14,FALSE),0)</f>
        <v>862967.14</v>
      </c>
      <c r="O27" s="56">
        <f>IFERROR(VLOOKUP($A27,'PP DS Query'!$C$1:$R$1005,4,FALSE),0)</f>
        <v>-7.0000000000000007E-2</v>
      </c>
      <c r="P27" s="358">
        <f>-IFERROR(VLOOKUP($A27,'PP DS Query'!$C$1:$R$1005,15,FALSE),0)</f>
        <v>223808.17</v>
      </c>
      <c r="Q27" s="358">
        <f>IFERROR(VLOOKUP($A27,'PP DS Query'!$C$1:$R$1005,16,FALSE),0)</f>
        <v>905338.07</v>
      </c>
      <c r="R27" s="48"/>
      <c r="S27" s="472">
        <f>IFERROR(ROUND(LEFT(A27,7)*100,0),0)</f>
        <v>34335</v>
      </c>
      <c r="T27" s="472" t="s">
        <v>962</v>
      </c>
      <c r="U27" s="474">
        <f>IFERROR(VLOOKUP($S27,#REF!,6,FALSE),0)</f>
        <v>0</v>
      </c>
      <c r="V27" s="473">
        <f>U27-F27</f>
        <v>-3197259.61</v>
      </c>
    </row>
    <row r="28" spans="1:22" ht="15.95" customHeight="1" x14ac:dyDescent="0.2">
      <c r="A28" s="49" t="s">
        <v>797</v>
      </c>
      <c r="B28" s="499">
        <f>IFERROR(VLOOKUP($A28,'PP DS Query'!$C$1:$R$1005,5,FALSE),0)</f>
        <v>2049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10811064.449999999</v>
      </c>
      <c r="G28" s="523">
        <f>IFERROR(VLOOKUP($A28,'PP DS Query'!$C$1:$R$1005,7,FALSE),0)</f>
        <v>10.49019176</v>
      </c>
      <c r="H28" s="358">
        <f>IFERROR(VLOOKUP($A28,'PP DS Query'!$C$1:$R$1005,8,FALSE),0)</f>
        <v>113410139.18000001</v>
      </c>
      <c r="I28" s="523">
        <f>IFERROR(VLOOKUP($A28,'PP DS Query'!$C$1:$R$1005,9,FALSE),0)</f>
        <v>30</v>
      </c>
      <c r="J28" s="358">
        <f>IFERROR(VLOOKUP($A28,'PP DS Query'!$C$1:$R$1005,10,FALSE),0)</f>
        <v>324331933.5</v>
      </c>
      <c r="K28" s="523">
        <f>IFERROR(VLOOKUP($A28,'PP DS Query'!$C$1:$R$1005,11,FALSE),0)</f>
        <v>19.463010000000001</v>
      </c>
      <c r="L28" s="358">
        <f>IFERROR(VLOOKUP($A28,'PP DS Query'!$C$1:$R$1005,12,FALSE),0)</f>
        <v>210415855.5</v>
      </c>
      <c r="M28" s="19">
        <f>IFERROR(VLOOKUP($A28,'PP DS Query'!$C$1:$R$1005,13,FALSE),0)</f>
        <v>0.37578329999999999</v>
      </c>
      <c r="N28" s="358">
        <f>IFERROR(VLOOKUP($A28,'PP DS Query'!$C$1:$R$1005,14,FALSE),0)</f>
        <v>4062617.46</v>
      </c>
      <c r="O28" s="56">
        <f>IFERROR(VLOOKUP($A28,'PP DS Query'!$C$1:$R$1005,4,FALSE),0)</f>
        <v>-7.0000000000000007E-2</v>
      </c>
      <c r="P28" s="358">
        <f>-IFERROR(VLOOKUP($A28,'PP DS Query'!$C$1:$R$1005,15,FALSE),0)</f>
        <v>756774.51</v>
      </c>
      <c r="Q28" s="358">
        <f>IFERROR(VLOOKUP($A28,'PP DS Query'!$C$1:$R$1005,16,FALSE),0)</f>
        <v>4262088.41</v>
      </c>
      <c r="R28" s="48"/>
      <c r="S28" s="472">
        <f t="shared" ref="S28:S30" si="4">IFERROR(ROUND(LEFT(A28,7)*100,0),0)</f>
        <v>34335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-10811064.449999999</v>
      </c>
    </row>
    <row r="29" spans="1:22" ht="15.95" customHeight="1" x14ac:dyDescent="0.2">
      <c r="A29" s="49" t="s">
        <v>798</v>
      </c>
      <c r="B29" s="499">
        <f>IFERROR(VLOOKUP($A29,'PP DS Query'!$C$1:$R$1005,5,FALSE),0)</f>
        <v>2049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856260.33</v>
      </c>
      <c r="G29" s="523">
        <f>IFERROR(VLOOKUP($A29,'PP DS Query'!$C$1:$R$1005,7,FALSE),0)</f>
        <v>9.6190273099999999</v>
      </c>
      <c r="H29" s="358">
        <f>IFERROR(VLOOKUP($A29,'PP DS Query'!$C$1:$R$1005,8,FALSE),0)</f>
        <v>8236391.4900000002</v>
      </c>
      <c r="I29" s="523">
        <f>IFERROR(VLOOKUP($A29,'PP DS Query'!$C$1:$R$1005,9,FALSE),0)</f>
        <v>20</v>
      </c>
      <c r="J29" s="358">
        <f>IFERROR(VLOOKUP($A29,'PP DS Query'!$C$1:$R$1005,10,FALSE),0)</f>
        <v>17125206.600000001</v>
      </c>
      <c r="K29" s="523">
        <f>IFERROR(VLOOKUP($A29,'PP DS Query'!$C$1:$R$1005,11,FALSE),0)</f>
        <v>10.611419</v>
      </c>
      <c r="L29" s="358">
        <f>IFERROR(VLOOKUP($A29,'PP DS Query'!$C$1:$R$1005,12,FALSE),0)</f>
        <v>9086137.1300000008</v>
      </c>
      <c r="M29" s="19">
        <f>IFERROR(VLOOKUP($A29,'PP DS Query'!$C$1:$R$1005,13,FALSE),0)</f>
        <v>0.50228905999999995</v>
      </c>
      <c r="N29" s="358">
        <f>IFERROR(VLOOKUP($A29,'PP DS Query'!$C$1:$R$1005,14,FALSE),0)</f>
        <v>430090.2</v>
      </c>
      <c r="O29" s="56">
        <f>IFERROR(VLOOKUP($A29,'PP DS Query'!$C$1:$R$1005,4,FALSE),0)</f>
        <v>-7.0000000000000007E-2</v>
      </c>
      <c r="P29" s="358">
        <f>-IFERROR(VLOOKUP($A29,'PP DS Query'!$C$1:$R$1005,15,FALSE),0)</f>
        <v>59938.22</v>
      </c>
      <c r="Q29" s="358">
        <f>IFERROR(VLOOKUP($A29,'PP DS Query'!$C$1:$R$1005,16,FALSE),0)</f>
        <v>451207.24</v>
      </c>
      <c r="R29" s="48"/>
      <c r="S29" s="472">
        <f t="shared" si="4"/>
        <v>34335</v>
      </c>
      <c r="T29" s="472" t="s">
        <v>964</v>
      </c>
      <c r="U29" s="474">
        <f>IFERROR(VLOOKUP($S29,#REF!,8,FALSE),0)</f>
        <v>0</v>
      </c>
      <c r="V29" s="473">
        <f t="shared" si="5"/>
        <v>-856260.33</v>
      </c>
    </row>
    <row r="30" spans="1:22" ht="15.95" customHeight="1" thickBot="1" x14ac:dyDescent="0.25">
      <c r="A30" s="397" t="s">
        <v>1041</v>
      </c>
      <c r="B30" s="499">
        <f>IFERROR(VLOOKUP($A30,'PP DS Query'!$C$1:$R$1005,5,FALSE),0)</f>
        <v>2049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3723704.57</v>
      </c>
      <c r="G30" s="524">
        <f>IFERROR(VLOOKUP($A30,'PP DS Query'!$C$1:$R$1005,7,FALSE),0)</f>
        <v>8.8893177399999992</v>
      </c>
      <c r="H30" s="250">
        <f>IFERROR(VLOOKUP($A30,'PP DS Query'!$C$1:$R$1005,8,FALSE),0)</f>
        <v>33101193.100000001</v>
      </c>
      <c r="I30" s="524">
        <f>IFERROR(VLOOKUP($A30,'PP DS Query'!$C$1:$R$1005,9,FALSE),0)</f>
        <v>12</v>
      </c>
      <c r="J30" s="250">
        <f>IFERROR(VLOOKUP($A30,'PP DS Query'!$C$1:$R$1005,10,FALSE),0)</f>
        <v>44684454.840000004</v>
      </c>
      <c r="K30" s="524">
        <f>IFERROR(VLOOKUP($A30,'PP DS Query'!$C$1:$R$1005,11,FALSE),0)</f>
        <v>3.1106820000000002</v>
      </c>
      <c r="L30" s="250">
        <f>IFERROR(VLOOKUP($A30,'PP DS Query'!$C$1:$R$1005,12,FALSE),0)</f>
        <v>11583260.779999999</v>
      </c>
      <c r="M30" s="21">
        <f>IFERROR(VLOOKUP($A30,'PP DS Query'!$C$1:$R$1005,13,FALSE),0)</f>
        <v>0.79263083000000001</v>
      </c>
      <c r="N30" s="250">
        <f>IFERROR(VLOOKUP($A30,'PP DS Query'!$C$1:$R$1005,14,FALSE),0)</f>
        <v>2951523.05</v>
      </c>
      <c r="O30" s="57">
        <f>IFERROR(VLOOKUP($A30,'PP DS Query'!$C$1:$R$1005,4,FALSE),0)</f>
        <v>-7.0000000000000007E-2</v>
      </c>
      <c r="P30" s="250">
        <f>-IFERROR(VLOOKUP($A30,'PP DS Query'!$C$1:$R$1005,15,FALSE),0)</f>
        <v>260659.32</v>
      </c>
      <c r="Q30" s="250">
        <f>IFERROR(VLOOKUP($A30,'PP DS Query'!$C$1:$R$1005,16,FALSE),0)</f>
        <v>3096440.24</v>
      </c>
      <c r="R30" s="48"/>
      <c r="S30" s="472">
        <f t="shared" si="4"/>
        <v>34335</v>
      </c>
      <c r="T30" s="472" t="s">
        <v>961</v>
      </c>
      <c r="U30" s="475">
        <f>IFERROR(VLOOKUP($S30,#REF!,9,FALSE),0)</f>
        <v>0</v>
      </c>
      <c r="V30" s="476">
        <f t="shared" si="5"/>
        <v>-3723704.57</v>
      </c>
    </row>
    <row r="31" spans="1:22" ht="15.95" customHeight="1" x14ac:dyDescent="0.2">
      <c r="A31" s="49" t="s">
        <v>799</v>
      </c>
      <c r="B31" s="499">
        <f>IFERROR(VLOOKUP($A31,'PP DS Query'!$C$1:$R$1005,5,FALSE),0)</f>
        <v>2049</v>
      </c>
      <c r="C31" s="33"/>
      <c r="D31" s="34"/>
      <c r="E31" s="15"/>
      <c r="F31" s="443">
        <f>IFERROR(VLOOKUP($A31,'PP DS Query'!$C$1:$R$1005,6,FALSE),0)</f>
        <v>18588288.960000001</v>
      </c>
      <c r="G31" s="525">
        <f>IFERROR(VLOOKUP($A31,'PP DS Query'!$C$1:$R$1005,7,FALSE),0)</f>
        <v>10.05575655</v>
      </c>
      <c r="H31" s="443">
        <f>IFERROR(VLOOKUP($A31,'PP DS Query'!$C$1:$R$1005,8,FALSE),0)</f>
        <v>186919308.40000001</v>
      </c>
      <c r="I31" s="525">
        <f>IFERROR(VLOOKUP($A31,'PP DS Query'!$C$1:$R$1005,9,FALSE),0)</f>
        <v>27.55893712</v>
      </c>
      <c r="J31" s="443">
        <f>IFERROR(VLOOKUP($A31,'PP DS Query'!$C$1:$R$1005,10,FALSE),0)</f>
        <v>512273486.55000001</v>
      </c>
      <c r="K31" s="525">
        <f>IFERROR(VLOOKUP($A31,'PP DS Query'!$C$1:$R$1005,11,FALSE),0)</f>
        <v>17.505883010000002</v>
      </c>
      <c r="L31" s="443">
        <f>IFERROR(VLOOKUP($A31,'PP DS Query'!$C$1:$R$1005,12,FALSE),0)</f>
        <v>325404411.91000003</v>
      </c>
      <c r="M31" s="445">
        <f>IFERROR(VLOOKUP($A31,'PP DS Query'!$C$1:$R$1005,13,FALSE),0)</f>
        <v>0.44690491999999998</v>
      </c>
      <c r="N31" s="443">
        <f>IFERROR(VLOOKUP($A31,'PP DS Query'!$C$1:$R$1005,14,FALSE),0)</f>
        <v>8307197.8499999996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1301180.23</v>
      </c>
      <c r="Q31" s="443">
        <f>IFERROR(VLOOKUP($A31,'PP DS Query'!$C$1:$R$1005,16,FALSE),0)</f>
        <v>8715073.9600000009</v>
      </c>
      <c r="R31" s="48"/>
      <c r="U31" s="473">
        <f>SUM(U27:U30)</f>
        <v>0</v>
      </c>
      <c r="V31" s="473">
        <f>SUM(V27:V30)</f>
        <v>-18588288.959999997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1255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819</v>
      </c>
      <c r="B34" s="499">
        <f>IFERROR(VLOOKUP($A34,'PP DS Query'!$C$1:$R$1005,5,FALSE),0)</f>
        <v>2049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8257799.0599999996</v>
      </c>
      <c r="G34" s="523">
        <f>IFERROR(VLOOKUP($A34,'PP DS Query'!$C$1:$R$1005,7,FALSE),0)</f>
        <v>10.495353189999999</v>
      </c>
      <c r="H34" s="358">
        <f>IFERROR(VLOOKUP($A34,'PP DS Query'!$C$1:$R$1005,8,FALSE),0)</f>
        <v>86668517.670000002</v>
      </c>
      <c r="I34" s="523">
        <f>IFERROR(VLOOKUP($A34,'PP DS Query'!$C$1:$R$1005,9,FALSE),0)</f>
        <v>39.99</v>
      </c>
      <c r="J34" s="358">
        <f>IFERROR(VLOOKUP($A34,'PP DS Query'!$C$1:$R$1005,10,FALSE),0)</f>
        <v>330229384.41000003</v>
      </c>
      <c r="K34" s="523">
        <f>IFERROR(VLOOKUP($A34,'PP DS Query'!$C$1:$R$1005,11,FALSE),0)</f>
        <v>29.5</v>
      </c>
      <c r="L34" s="358">
        <f>IFERROR(VLOOKUP($A34,'PP DS Query'!$C$1:$R$1005,12,FALSE),0)</f>
        <v>243605072.27000001</v>
      </c>
      <c r="M34" s="19">
        <f>IFERROR(VLOOKUP($A34,'PP DS Query'!$C$1:$R$1005,13,FALSE),0)</f>
        <v>0.27552775000000002</v>
      </c>
      <c r="N34" s="358">
        <f>IFERROR(VLOOKUP($A34,'PP DS Query'!$C$1:$R$1005,14,FALSE),0)</f>
        <v>2275252.77</v>
      </c>
      <c r="O34" s="56">
        <f>IFERROR(VLOOKUP($A34,'PP DS Query'!$C$1:$R$1005,4,FALSE),0)</f>
        <v>-0.05</v>
      </c>
      <c r="P34" s="358">
        <f>-IFERROR(VLOOKUP($A34,'PP DS Query'!$C$1:$R$1005,15,FALSE),0)</f>
        <v>412889.95</v>
      </c>
      <c r="Q34" s="358">
        <f>IFERROR(VLOOKUP($A34,'PP DS Query'!$C$1:$R$1005,16,FALSE),0)</f>
        <v>2532478.06</v>
      </c>
      <c r="R34" s="48"/>
      <c r="S34" s="472">
        <f>IFERROR(ROUND(LEFT(A34,7)*100,0),0)</f>
        <v>34535</v>
      </c>
      <c r="T34" s="472" t="s">
        <v>962</v>
      </c>
      <c r="U34" s="474">
        <f>IFERROR(VLOOKUP($S34,#REF!,6,FALSE),0)</f>
        <v>0</v>
      </c>
      <c r="V34" s="473">
        <f>U34-F34</f>
        <v>-8257799.0599999996</v>
      </c>
    </row>
    <row r="35" spans="1:22" ht="15.95" customHeight="1" x14ac:dyDescent="0.2">
      <c r="A35" s="49" t="s">
        <v>820</v>
      </c>
      <c r="B35" s="499">
        <f>IFERROR(VLOOKUP($A35,'PP DS Query'!$C$1:$R$1005,5,FALSE),0)</f>
        <v>2049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632332.65</v>
      </c>
      <c r="G35" s="523">
        <f>IFERROR(VLOOKUP($A35,'PP DS Query'!$C$1:$R$1005,7,FALSE),0)</f>
        <v>10.5</v>
      </c>
      <c r="H35" s="358">
        <f>IFERROR(VLOOKUP($A35,'PP DS Query'!$C$1:$R$1005,8,FALSE),0)</f>
        <v>6639492.8300000001</v>
      </c>
      <c r="I35" s="523">
        <f>IFERROR(VLOOKUP($A35,'PP DS Query'!$C$1:$R$1005,9,FALSE),0)</f>
        <v>30</v>
      </c>
      <c r="J35" s="358">
        <f>IFERROR(VLOOKUP($A35,'PP DS Query'!$C$1:$R$1005,10,FALSE),0)</f>
        <v>18969979.5</v>
      </c>
      <c r="K35" s="523">
        <f>IFERROR(VLOOKUP($A35,'PP DS Query'!$C$1:$R$1005,11,FALSE),0)</f>
        <v>19.454546000000001</v>
      </c>
      <c r="L35" s="358">
        <f>IFERROR(VLOOKUP($A35,'PP DS Query'!$C$1:$R$1005,12,FALSE),0)</f>
        <v>12301744.630000001</v>
      </c>
      <c r="M35" s="19">
        <f>IFERROR(VLOOKUP($A35,'PP DS Query'!$C$1:$R$1005,13,FALSE),0)</f>
        <v>0.3690909</v>
      </c>
      <c r="N35" s="358">
        <f>IFERROR(VLOOKUP($A35,'PP DS Query'!$C$1:$R$1005,14,FALSE),0)</f>
        <v>233388.23</v>
      </c>
      <c r="O35" s="56">
        <f>IFERROR(VLOOKUP($A35,'PP DS Query'!$C$1:$R$1005,4,FALSE),0)</f>
        <v>-0.05</v>
      </c>
      <c r="P35" s="358">
        <f>-IFERROR(VLOOKUP($A35,'PP DS Query'!$C$1:$R$1005,15,FALSE),0)</f>
        <v>31616.63</v>
      </c>
      <c r="Q35" s="358">
        <f>IFERROR(VLOOKUP($A35,'PP DS Query'!$C$1:$R$1005,16,FALSE),0)</f>
        <v>259773.59</v>
      </c>
      <c r="R35" s="48"/>
      <c r="S35" s="472">
        <f t="shared" ref="S35:S37" si="6">IFERROR(ROUND(LEFT(A35,7)*100,0),0)</f>
        <v>34535</v>
      </c>
      <c r="T35" s="472" t="s">
        <v>963</v>
      </c>
      <c r="U35" s="474">
        <f>IFERROR(VLOOKUP($S35,#REF!,7,FALSE),0)</f>
        <v>0</v>
      </c>
      <c r="V35" s="473">
        <f t="shared" ref="V35:V37" si="7">U35-F35</f>
        <v>-632332.65</v>
      </c>
    </row>
    <row r="36" spans="1:22" ht="15.95" customHeight="1" x14ac:dyDescent="0.2">
      <c r="A36" s="49" t="s">
        <v>821</v>
      </c>
      <c r="B36" s="499">
        <f>IFERROR(VLOOKUP($A36,'PP DS Query'!$C$1:$R$1005,5,FALSE),0)</f>
        <v>2049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1257398.95</v>
      </c>
      <c r="G36" s="523">
        <f>IFERROR(VLOOKUP($A36,'PP DS Query'!$C$1:$R$1005,7,FALSE),0)</f>
        <v>10.416043350000001</v>
      </c>
      <c r="H36" s="358">
        <f>IFERROR(VLOOKUP($A36,'PP DS Query'!$C$1:$R$1005,8,FALSE),0)</f>
        <v>13097121.98</v>
      </c>
      <c r="I36" s="523">
        <f>IFERROR(VLOOKUP($A36,'PP DS Query'!$C$1:$R$1005,9,FALSE),0)</f>
        <v>20</v>
      </c>
      <c r="J36" s="358">
        <f>IFERROR(VLOOKUP($A36,'PP DS Query'!$C$1:$R$1005,10,FALSE),0)</f>
        <v>25147979</v>
      </c>
      <c r="K36" s="523">
        <f>IFERROR(VLOOKUP($A36,'PP DS Query'!$C$1:$R$1005,11,FALSE),0)</f>
        <v>9.8491440000000008</v>
      </c>
      <c r="L36" s="358">
        <f>IFERROR(VLOOKUP($A36,'PP DS Query'!$C$1:$R$1005,12,FALSE),0)</f>
        <v>12384303.32</v>
      </c>
      <c r="M36" s="19">
        <f>IFERROR(VLOOKUP($A36,'PP DS Query'!$C$1:$R$1005,13,FALSE),0)</f>
        <v>0.53291995000000003</v>
      </c>
      <c r="N36" s="358">
        <f>IFERROR(VLOOKUP($A36,'PP DS Query'!$C$1:$R$1005,14,FALSE),0)</f>
        <v>670092.98</v>
      </c>
      <c r="O36" s="56">
        <f>IFERROR(VLOOKUP($A36,'PP DS Query'!$C$1:$R$1005,4,FALSE),0)</f>
        <v>-0.05</v>
      </c>
      <c r="P36" s="358">
        <f>-IFERROR(VLOOKUP($A36,'PP DS Query'!$C$1:$R$1005,15,FALSE),0)</f>
        <v>62869.95</v>
      </c>
      <c r="Q36" s="358">
        <f>IFERROR(VLOOKUP($A36,'PP DS Query'!$C$1:$R$1005,16,FALSE),0)</f>
        <v>745849.34</v>
      </c>
      <c r="R36" s="48"/>
      <c r="S36" s="472">
        <f t="shared" si="6"/>
        <v>34535</v>
      </c>
      <c r="T36" s="472" t="s">
        <v>964</v>
      </c>
      <c r="U36" s="474">
        <f>IFERROR(VLOOKUP($S36,#REF!,8,FALSE),0)</f>
        <v>0</v>
      </c>
      <c r="V36" s="473">
        <f t="shared" si="7"/>
        <v>-1257398.95</v>
      </c>
    </row>
    <row r="37" spans="1:22" ht="15.95" customHeight="1" thickBot="1" x14ac:dyDescent="0.25">
      <c r="A37" s="397" t="s">
        <v>1137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34535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822</v>
      </c>
      <c r="B38" s="499">
        <f>IFERROR(VLOOKUP($A38,'PP DS Query'!$C$1:$R$1005,5,FALSE),0)</f>
        <v>2049</v>
      </c>
      <c r="C38" s="33"/>
      <c r="D38" s="34"/>
      <c r="E38" s="15"/>
      <c r="F38" s="443">
        <f>IFERROR(VLOOKUP($A38,'PP DS Query'!$C$1:$R$1005,6,FALSE),0)</f>
        <v>10147530.66</v>
      </c>
      <c r="G38" s="525">
        <f>IFERROR(VLOOKUP($A38,'PP DS Query'!$C$1:$R$1005,7,FALSE),0)</f>
        <v>10.48581532</v>
      </c>
      <c r="H38" s="443">
        <f>IFERROR(VLOOKUP($A38,'PP DS Query'!$C$1:$R$1005,8,FALSE),0)</f>
        <v>106405132.47</v>
      </c>
      <c r="I38" s="525">
        <f>IFERROR(VLOOKUP($A38,'PP DS Query'!$C$1:$R$1005,9,FALSE),0)</f>
        <v>36.890486510000002</v>
      </c>
      <c r="J38" s="443">
        <f>IFERROR(VLOOKUP($A38,'PP DS Query'!$C$1:$R$1005,10,FALSE),0)</f>
        <v>374347342.91000003</v>
      </c>
      <c r="K38" s="525">
        <f>IFERROR(VLOOKUP($A38,'PP DS Query'!$C$1:$R$1005,11,FALSE),0)</f>
        <v>26.439054899999999</v>
      </c>
      <c r="L38" s="443">
        <f>IFERROR(VLOOKUP($A38,'PP DS Query'!$C$1:$R$1005,12,FALSE),0)</f>
        <v>268291120.22</v>
      </c>
      <c r="M38" s="445">
        <f>IFERROR(VLOOKUP($A38,'PP DS Query'!$C$1:$R$1005,13,FALSE),0)</f>
        <v>0.31325196999999999</v>
      </c>
      <c r="N38" s="443">
        <f>IFERROR(VLOOKUP($A38,'PP DS Query'!$C$1:$R$1005,14,FALSE),0)</f>
        <v>3178733.98</v>
      </c>
      <c r="O38" s="446">
        <f>IFERROR(VLOOKUP($A38,'PP DS Query'!$C$1:$R$1005,4,FALSE),0)</f>
        <v>-0.05</v>
      </c>
      <c r="P38" s="443">
        <f>-IFERROR(VLOOKUP($A38,'PP DS Query'!$C$1:$R$1005,15,FALSE),0)</f>
        <v>507376.53</v>
      </c>
      <c r="Q38" s="443">
        <f>IFERROR(VLOOKUP($A38,'PP DS Query'!$C$1:$R$1005,16,FALSE),0)</f>
        <v>3538100.99</v>
      </c>
      <c r="R38" s="48"/>
      <c r="U38" s="473">
        <f>SUM(U34:U37)</f>
        <v>0</v>
      </c>
      <c r="V38" s="473">
        <f>SUM(V34:V37)</f>
        <v>-10147530.659999998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1256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396" t="s">
        <v>913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523">
        <f>IFERROR(VLOOKUP($A41,'PP DS Query'!$C$1:$R$1005,7,FALSE),0)</f>
        <v>0</v>
      </c>
      <c r="H41" s="358">
        <f>IFERROR(VLOOKUP($A41,'PP DS Query'!$C$1:$R$1005,8,FALSE),0)</f>
        <v>0</v>
      </c>
      <c r="I41" s="523">
        <f>IFERROR(VLOOKUP($A41,'PP DS Query'!$C$1:$R$1005,9,FALSE),0)</f>
        <v>0</v>
      </c>
      <c r="J41" s="358">
        <f>IFERROR(VLOOKUP($A41,'PP DS Query'!$C$1:$R$1005,10,FALSE),0)</f>
        <v>0</v>
      </c>
      <c r="K41" s="523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34635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396" t="s">
        <v>914</v>
      </c>
      <c r="B42" s="499">
        <f>IFERROR(VLOOKUP($A42,'PP DS Query'!$C$1:$R$1005,5,FALSE),0)</f>
        <v>0</v>
      </c>
      <c r="C42" s="33">
        <f>IFERROR(VLOOKUP($A42,'PP DS Query'!$C$1:$R$1005,3,FALSE),0)</f>
        <v>0</v>
      </c>
      <c r="D42" s="34" t="s">
        <v>22</v>
      </c>
      <c r="E42" s="360">
        <f>IFERROR(VLOOKUP($A42,'PP DS Query'!$C$1:$R$1005,2,FALSE),0)</f>
        <v>0</v>
      </c>
      <c r="F42" s="358">
        <f>IFERROR(VLOOKUP($A42,'PP DS Query'!$C$1:$R$1005,6,FALSE),0)</f>
        <v>0</v>
      </c>
      <c r="G42" s="523">
        <f>IFERROR(VLOOKUP($A42,'PP DS Query'!$C$1:$R$1005,7,FALSE),0)</f>
        <v>0</v>
      </c>
      <c r="H42" s="358">
        <f>IFERROR(VLOOKUP($A42,'PP DS Query'!$C$1:$R$1005,8,FALSE),0)</f>
        <v>0</v>
      </c>
      <c r="I42" s="523">
        <f>IFERROR(VLOOKUP($A42,'PP DS Query'!$C$1:$R$1005,9,FALSE),0)</f>
        <v>0</v>
      </c>
      <c r="J42" s="358">
        <f>IFERROR(VLOOKUP($A42,'PP DS Query'!$C$1:$R$1005,10,FALSE),0)</f>
        <v>0</v>
      </c>
      <c r="K42" s="523">
        <f>IFERROR(VLOOKUP($A42,'PP DS Query'!$C$1:$R$1005,11,FALSE),0)</f>
        <v>0</v>
      </c>
      <c r="L42" s="358">
        <f>IFERROR(VLOOKUP($A42,'PP DS Query'!$C$1:$R$1005,12,FALSE),0)</f>
        <v>0</v>
      </c>
      <c r="M42" s="19">
        <f>IFERROR(VLOOKUP($A42,'PP DS Query'!$C$1:$R$1005,13,FALSE),0)</f>
        <v>0</v>
      </c>
      <c r="N42" s="358">
        <f>IFERROR(VLOOKUP($A42,'PP DS Query'!$C$1:$R$1005,14,FALSE),0)</f>
        <v>0</v>
      </c>
      <c r="O42" s="56">
        <f>IFERROR(VLOOKUP($A42,'PP DS Query'!$C$1:$R$1005,4,FALSE),0)</f>
        <v>0</v>
      </c>
      <c r="P42" s="358">
        <f>-IFERROR(VLOOKUP($A42,'PP DS Query'!$C$1:$R$1005,15,FALSE),0)</f>
        <v>0</v>
      </c>
      <c r="Q42" s="358">
        <f>IFERROR(VLOOKUP($A42,'PP DS Query'!$C$1:$R$1005,16,FALSE),0)</f>
        <v>0</v>
      </c>
      <c r="R42" s="48"/>
      <c r="S42" s="472">
        <f t="shared" ref="S42:S44" si="8">IFERROR(ROUND(LEFT(A42,7)*100,0),0)</f>
        <v>34635</v>
      </c>
      <c r="T42" s="472" t="s">
        <v>963</v>
      </c>
      <c r="U42" s="474">
        <f>IFERROR(VLOOKUP($S42,#REF!,7,FALSE),0)</f>
        <v>0</v>
      </c>
      <c r="V42" s="473">
        <f t="shared" ref="V42:V44" si="9">U42-F42</f>
        <v>0</v>
      </c>
    </row>
    <row r="43" spans="1:22" ht="15.95" customHeight="1" x14ac:dyDescent="0.2">
      <c r="A43" s="396" t="s">
        <v>915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34635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1138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34635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1088</v>
      </c>
      <c r="B45" s="499">
        <f>IFERROR(VLOOKUP($A45,'PP DS Query'!$C$1:$R$1005,5,FALSE),0)</f>
        <v>0</v>
      </c>
      <c r="C45" s="33"/>
      <c r="D45" s="34"/>
      <c r="E45" s="15"/>
      <c r="F45" s="443">
        <f>IFERROR(VLOOKUP($A45,'PP DS Query'!$C$1:$R$1005,6,FALSE),0)</f>
        <v>0</v>
      </c>
      <c r="G45" s="525">
        <f>IFERROR(VLOOKUP($A45,'PP DS Query'!$C$1:$R$1005,7,FALSE),0)</f>
        <v>0</v>
      </c>
      <c r="H45" s="443">
        <f>IFERROR(VLOOKUP($A45,'PP DS Query'!$C$1:$R$1005,8,FALSE),0)</f>
        <v>0</v>
      </c>
      <c r="I45" s="525">
        <f>IFERROR(VLOOKUP($A45,'PP DS Query'!$C$1:$R$1005,9,FALSE),0)</f>
        <v>0</v>
      </c>
      <c r="J45" s="443">
        <f>IFERROR(VLOOKUP($A45,'PP DS Query'!$C$1:$R$1005,10,FALSE),0)</f>
        <v>0</v>
      </c>
      <c r="K45" s="525">
        <f>IFERROR(VLOOKUP($A45,'PP DS Query'!$C$1:$R$1005,11,FALSE),0)</f>
        <v>0</v>
      </c>
      <c r="L45" s="443">
        <f>IFERROR(VLOOKUP($A45,'PP DS Query'!$C$1:$R$1005,12,FALSE),0)</f>
        <v>0</v>
      </c>
      <c r="M45" s="445">
        <f>IFERROR(VLOOKUP($A45,'PP DS Query'!$C$1:$R$1005,13,FALSE),0)</f>
        <v>0</v>
      </c>
      <c r="N45" s="443">
        <f>IFERROR(VLOOKUP($A45,'PP DS Query'!$C$1:$R$1005,14,FALSE),0)</f>
        <v>0</v>
      </c>
      <c r="O45" s="446">
        <f>IFERROR(VLOOKUP($A45,'PP DS Query'!$C$1:$R$1005,4,FALSE),0)</f>
        <v>0</v>
      </c>
      <c r="P45" s="443">
        <f>-IFERROR(VLOOKUP($A45,'PP DS Query'!$C$1:$R$1005,15,FALSE),0)</f>
        <v>0</v>
      </c>
      <c r="Q45" s="443">
        <f>IFERROR(VLOOKUP($A45,'PP DS Query'!$C$1:$R$1005,16,FALSE),0)</f>
        <v>0</v>
      </c>
      <c r="R45" s="48"/>
      <c r="U45" s="473">
        <f>SUM(U41:U44)</f>
        <v>0</v>
      </c>
      <c r="V45" s="473">
        <f>SUM(V41:V44)</f>
        <v>0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CT Unit #5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13442099.52</v>
      </c>
      <c r="G49" s="523">
        <f>IF($F49=0,0,H49/$F49)</f>
        <v>10.294992740092434</v>
      </c>
      <c r="H49" s="358">
        <f>H13+H20+H27+H34+H41</f>
        <v>138386316.97</v>
      </c>
      <c r="I49" s="523">
        <f>IF($F49=0,0,J49/$F49)</f>
        <v>39.761658065004418</v>
      </c>
      <c r="J49" s="358">
        <f>J13+J20+J27+J34+J41</f>
        <v>534480164.79000002</v>
      </c>
      <c r="K49" s="523">
        <f>IF($F49=0,0,L49/$F49)</f>
        <v>29.500000000743935</v>
      </c>
      <c r="L49" s="358">
        <f>L13+L20+L27+L34+L41</f>
        <v>396541935.85000002</v>
      </c>
      <c r="M49" s="19">
        <f>IF($F49=0,0,N49/$F49)</f>
        <v>0.27183556516326107</v>
      </c>
      <c r="N49" s="358">
        <f>N13+N20+N27+N34+N41</f>
        <v>3654040.72</v>
      </c>
      <c r="O49" s="56">
        <f>-IF($F49=0,0,P49/$F49)</f>
        <v>-5.3325093221746951E-2</v>
      </c>
      <c r="P49" s="358">
        <f>P13+P20+P27+P34+P41</f>
        <v>716801.21</v>
      </c>
      <c r="Q49" s="358">
        <f>Q13+Q20+Q27+Q34+Q41</f>
        <v>3595783.3600000003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 t="shared" ref="F50:F51" si="10">F14+F21+F28+F35+F42</f>
        <v>11699547.59</v>
      </c>
      <c r="G50" s="523">
        <f t="shared" ref="G50:G51" si="11">IF($F50=0,0,H50/$F50)</f>
        <v>10.487595416499349</v>
      </c>
      <c r="H50" s="358">
        <f t="shared" ref="H50:H51" si="12">H14+H21+H28+H35+H42</f>
        <v>122700121.68000001</v>
      </c>
      <c r="I50" s="523">
        <f t="shared" ref="I50:I51" si="13">IF($F50=0,0,J50/$F50)</f>
        <v>29.999811829476048</v>
      </c>
      <c r="J50" s="358">
        <f t="shared" ref="J50:J51" si="14">J14+J21+J28+J35+J42</f>
        <v>350984226.19</v>
      </c>
      <c r="K50" s="523">
        <f t="shared" ref="K50:K51" si="15">IF($F50=0,0,L50/$F50)</f>
        <v>19.465391020303546</v>
      </c>
      <c r="L50" s="358">
        <f t="shared" ref="L50:L51" si="16">L14+L21+L28+L35+L42</f>
        <v>227736268.59999999</v>
      </c>
      <c r="M50" s="19">
        <f t="shared" ref="M50:M51" si="17">IF($F50=0,0,N50/$F50)</f>
        <v>0.3750337537624393</v>
      </c>
      <c r="N50" s="358">
        <f t="shared" ref="N50:N51" si="18">N14+N21+N28+N35+N42</f>
        <v>4387725.25</v>
      </c>
      <c r="O50" s="56">
        <f t="shared" ref="O50:O51" si="19">-IF($F50=0,0,P50/$F50)</f>
        <v>-6.81065993253505E-2</v>
      </c>
      <c r="P50" s="358">
        <f t="shared" ref="P50:Q50" si="20">P14+P21+P28+P35+P42</f>
        <v>796816.4</v>
      </c>
      <c r="Q50" s="358">
        <f t="shared" si="20"/>
        <v>4506643.8899999997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442" t="s">
        <v>407</v>
      </c>
      <c r="F51" s="358">
        <f t="shared" si="10"/>
        <v>2672048.9500000002</v>
      </c>
      <c r="G51" s="523">
        <f t="shared" si="11"/>
        <v>10.15300385496306</v>
      </c>
      <c r="H51" s="358">
        <f t="shared" si="12"/>
        <v>27129323.289999999</v>
      </c>
      <c r="I51" s="523">
        <f t="shared" si="13"/>
        <v>20</v>
      </c>
      <c r="J51" s="358">
        <f t="shared" si="14"/>
        <v>53440979</v>
      </c>
      <c r="K51" s="523">
        <f t="shared" si="15"/>
        <v>10.100244099195862</v>
      </c>
      <c r="L51" s="358">
        <f t="shared" si="16"/>
        <v>26988346.640000001</v>
      </c>
      <c r="M51" s="19">
        <f t="shared" si="17"/>
        <v>0.52272908024383302</v>
      </c>
      <c r="N51" s="358">
        <f t="shared" si="18"/>
        <v>1396757.69</v>
      </c>
      <c r="O51" s="56">
        <f t="shared" si="19"/>
        <v>-5.6348305295829251E-2</v>
      </c>
      <c r="P51" s="358">
        <f t="shared" ref="P51:Q51" si="21">P15+P22+P29+P36+P43</f>
        <v>150565.43</v>
      </c>
      <c r="Q51" s="358">
        <f t="shared" si="21"/>
        <v>1422881.1099999999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441" t="s">
        <v>359</v>
      </c>
      <c r="F52" s="250">
        <f>F16+F23+F30+F37+F44</f>
        <v>3723704.57</v>
      </c>
      <c r="G52" s="524">
        <f>IF($F52=0,0,H52/$F52)</f>
        <v>8.8893177419818787</v>
      </c>
      <c r="H52" s="250">
        <f>H16+H23+H30+H37+H44</f>
        <v>33101193.100000001</v>
      </c>
      <c r="I52" s="524">
        <f>IF($F52=0,0,J52/$F52)</f>
        <v>12.000000000000002</v>
      </c>
      <c r="J52" s="250">
        <f>J16+J23+J30+J37+J44</f>
        <v>44684454.840000004</v>
      </c>
      <c r="K52" s="524">
        <f>IF($F52=0,0,L52/$F52)</f>
        <v>3.1106820002103444</v>
      </c>
      <c r="L52" s="250">
        <f>L16+L23+L30+L37+L44</f>
        <v>11583260.779999999</v>
      </c>
      <c r="M52" s="21">
        <f>IF($F52=0,0,N52/$F52)</f>
        <v>0.79263083161293857</v>
      </c>
      <c r="N52" s="250">
        <f>N16+N23+N30+N37+N44</f>
        <v>2951523.05</v>
      </c>
      <c r="O52" s="57">
        <f>-IF($F52=0,0,P52/$F52)</f>
        <v>-7.0000000026854983E-2</v>
      </c>
      <c r="P52" s="250">
        <f>P16+P23+P30+P37+P44</f>
        <v>260659.32</v>
      </c>
      <c r="Q52" s="250">
        <f>Q16+Q23+Q30+Q37+Q44</f>
        <v>3096440.24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31537400.629999999</v>
      </c>
      <c r="G53" s="525">
        <f>IF($F53=0,0,H53/$F53)</f>
        <v>10.188441298942907</v>
      </c>
      <c r="H53" s="443">
        <f>SUM(H49:H52)</f>
        <v>321316955.04000002</v>
      </c>
      <c r="I53" s="525">
        <f>IF($F53=0,0,J53/$F53)</f>
        <v>31.188043566417416</v>
      </c>
      <c r="J53" s="443">
        <f>SUM(J49:J52)</f>
        <v>983589824.82000005</v>
      </c>
      <c r="K53" s="525">
        <f>IF($F53=0,0,L53/$F53)</f>
        <v>21.017896168635506</v>
      </c>
      <c r="L53" s="443">
        <f>SUM(L49:L52)</f>
        <v>662849811.87</v>
      </c>
      <c r="M53" s="445">
        <f>IF($F53=0,0,N53/$F53)</f>
        <v>0.39286835511148471</v>
      </c>
      <c r="N53" s="443">
        <f>SUM(N49:N52)</f>
        <v>12390046.710000001</v>
      </c>
      <c r="O53" s="446">
        <f>-IF($F53=0,0,P53/$F53)</f>
        <v>-6.1033640108214583E-2</v>
      </c>
      <c r="P53" s="443">
        <f>SUM(P49:P52)</f>
        <v>1924842.3599999999</v>
      </c>
      <c r="Q53" s="443">
        <f>SUM(Q49:Q52)</f>
        <v>12621748.6</v>
      </c>
      <c r="R53" s="48"/>
    </row>
    <row r="54" spans="1:18" x14ac:dyDescent="0.2">
      <c r="A54" s="49"/>
      <c r="B54" s="49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34135</v>
      </c>
      <c r="F56" s="352">
        <f>IFERROR(VLOOKUP(E56,'2019 B-7'!C:P,14,FALSE),0)</f>
        <v>793114.26</v>
      </c>
      <c r="G56" s="353">
        <f>F56-F17</f>
        <v>0</v>
      </c>
      <c r="P56" s="260">
        <f>E56</f>
        <v>34135</v>
      </c>
      <c r="Q56" s="352">
        <f>IFERROR(VLOOKUP(P56,'2019 B-9'!C:R,16,FALSE),0)</f>
        <v>-173609.46000000005</v>
      </c>
      <c r="R56" s="353">
        <f>Q56-Q17</f>
        <v>0</v>
      </c>
    </row>
    <row r="57" spans="1:18" x14ac:dyDescent="0.2">
      <c r="E57" s="260">
        <v>34235</v>
      </c>
      <c r="F57" s="352">
        <f>IFERROR(VLOOKUP(E57,'2019 B-7'!C:P,14,FALSE),0)</f>
        <v>2008466.75</v>
      </c>
      <c r="G57" s="353">
        <f>F57-F24</f>
        <v>0</v>
      </c>
      <c r="P57" s="260">
        <f t="shared" ref="P57:P60" si="22">E57</f>
        <v>34235</v>
      </c>
      <c r="Q57" s="352">
        <f>IFERROR(VLOOKUP(P57,'2019 B-9'!C:R,16,FALSE),0)</f>
        <v>542183.11000000103</v>
      </c>
      <c r="R57" s="353">
        <f>Q57-Q24</f>
        <v>1.0477378964424133E-9</v>
      </c>
    </row>
    <row r="58" spans="1:18" x14ac:dyDescent="0.2">
      <c r="E58" s="260">
        <v>34335</v>
      </c>
      <c r="F58" s="352">
        <f>IFERROR(VLOOKUP(E58,'2019 B-7'!C:P,14,FALSE),0)</f>
        <v>18588288.960000001</v>
      </c>
      <c r="G58" s="353">
        <f>F58-F31</f>
        <v>0</v>
      </c>
      <c r="P58" s="260">
        <f t="shared" si="22"/>
        <v>34335</v>
      </c>
      <c r="Q58" s="352">
        <f>IFERROR(VLOOKUP(P58,'2019 B-9'!C:R,16,FALSE),0)</f>
        <v>8715073.9600000083</v>
      </c>
      <c r="R58" s="353">
        <f>Q58-Q31</f>
        <v>0</v>
      </c>
    </row>
    <row r="59" spans="1:18" x14ac:dyDescent="0.2">
      <c r="E59" s="260">
        <v>34535</v>
      </c>
      <c r="F59" s="352">
        <f>IFERROR(VLOOKUP(E59,'2019 B-7'!C:P,14,FALSE),0)</f>
        <v>10147530.66</v>
      </c>
      <c r="G59" s="353">
        <f>F59-F38</f>
        <v>0</v>
      </c>
      <c r="P59" s="260">
        <f t="shared" si="22"/>
        <v>34535</v>
      </c>
      <c r="Q59" s="352">
        <f>IFERROR(VLOOKUP(P59,'2019 B-9'!C:R,16,FALSE),0)</f>
        <v>3538100.9900000012</v>
      </c>
      <c r="R59" s="353">
        <f>Q59-Q38</f>
        <v>0</v>
      </c>
    </row>
    <row r="60" spans="1:18" x14ac:dyDescent="0.2">
      <c r="E60" s="260">
        <v>34635</v>
      </c>
      <c r="F60" s="352">
        <f>IFERROR(VLOOKUP(E60,'2019 B-7'!C:P,14,FALSE),0)</f>
        <v>0</v>
      </c>
      <c r="G60" s="353">
        <f>F60-F45</f>
        <v>0</v>
      </c>
      <c r="P60" s="260">
        <f t="shared" si="22"/>
        <v>34635</v>
      </c>
      <c r="Q60" s="352">
        <f>IFERROR(VLOOKUP(P60,'2019 B-9'!C:R,16,FALSE),0)</f>
        <v>0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31537400.629999999</v>
      </c>
      <c r="G61" s="354">
        <f>SUM(G56:G60)</f>
        <v>0</v>
      </c>
      <c r="P61" s="349" t="s">
        <v>40</v>
      </c>
      <c r="Q61" s="354">
        <f>SUM(Q56:Q60)</f>
        <v>12621748.600000009</v>
      </c>
      <c r="R61" s="354">
        <f>SUM(R56:R60)</f>
        <v>1.0477378964424133E-9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1.0477378964424133E-9</v>
      </c>
    </row>
    <row r="63" spans="1:18" x14ac:dyDescent="0.2">
      <c r="E63" s="29"/>
      <c r="G63" s="18"/>
    </row>
    <row r="64" spans="1:18" x14ac:dyDescent="0.2">
      <c r="E64" s="50"/>
      <c r="G64" s="18"/>
    </row>
    <row r="65" spans="5:8" x14ac:dyDescent="0.2">
      <c r="E65" s="50"/>
      <c r="H65" s="18"/>
    </row>
    <row r="66" spans="5:8" x14ac:dyDescent="0.2">
      <c r="E66" s="50"/>
    </row>
    <row r="67" spans="5:8" x14ac:dyDescent="0.2">
      <c r="E67" s="50"/>
    </row>
    <row r="68" spans="5:8" x14ac:dyDescent="0.2">
      <c r="E68" s="50"/>
    </row>
    <row r="69" spans="5:8" x14ac:dyDescent="0.2">
      <c r="E69" s="50"/>
    </row>
    <row r="70" spans="5:8" x14ac:dyDescent="0.2">
      <c r="E70" s="50"/>
    </row>
    <row r="71" spans="5:8" x14ac:dyDescent="0.2">
      <c r="E71" s="50"/>
    </row>
    <row r="72" spans="5:8" x14ac:dyDescent="0.2">
      <c r="E72" s="50"/>
    </row>
    <row r="73" spans="5:8" x14ac:dyDescent="0.2">
      <c r="E73" s="50"/>
    </row>
  </sheetData>
  <phoneticPr fontId="31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>
    <tabColor theme="7" tint="-0.249977111117893"/>
    <pageSetUpPr fitToPage="1"/>
  </sheetPr>
  <dimension ref="A1:V73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88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1257</v>
      </c>
      <c r="E12" s="50"/>
      <c r="P12" s="18"/>
      <c r="Q12" s="18"/>
      <c r="R12" s="48"/>
    </row>
    <row r="13" spans="1:22" ht="15.95" customHeight="1" x14ac:dyDescent="0.2">
      <c r="A13" s="49" t="s">
        <v>751</v>
      </c>
      <c r="B13" s="499">
        <f>IFERROR(VLOOKUP($A13,'PP DS Query'!$C$1:$R$1005,5,FALSE),0)</f>
        <v>2049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2564857.91</v>
      </c>
      <c r="G13" s="523">
        <f>IFERROR(VLOOKUP($A13,'PP DS Query'!$C$1:$R$1005,7,FALSE),0)</f>
        <v>10.48134145</v>
      </c>
      <c r="H13" s="358">
        <f>IFERROR(VLOOKUP($A13,'PP DS Query'!$C$1:$R$1005,8,FALSE),0)</f>
        <v>26883151.510000002</v>
      </c>
      <c r="I13" s="523">
        <f>IFERROR(VLOOKUP($A13,'PP DS Query'!$C$1:$R$1005,9,FALSE),0)</f>
        <v>39.979999999999997</v>
      </c>
      <c r="J13" s="358">
        <f>IFERROR(VLOOKUP($A13,'PP DS Query'!$C$1:$R$1005,10,FALSE),0)</f>
        <v>102543019.23999999</v>
      </c>
      <c r="K13" s="523">
        <f>IFERROR(VLOOKUP($A13,'PP DS Query'!$C$1:$R$1005,11,FALSE),0)</f>
        <v>29.5</v>
      </c>
      <c r="L13" s="358">
        <f>IFERROR(VLOOKUP($A13,'PP DS Query'!$C$1:$R$1005,12,FALSE),0)</f>
        <v>75663308.349999994</v>
      </c>
      <c r="M13" s="19">
        <f>IFERROR(VLOOKUP($A13,'PP DS Query'!$C$1:$R$1005,13,FALSE),0)</f>
        <v>0.26737064999999999</v>
      </c>
      <c r="N13" s="358">
        <f>IFERROR(VLOOKUP($A13,'PP DS Query'!$C$1:$R$1005,14,FALSE),0)</f>
        <v>685767.73</v>
      </c>
      <c r="O13" s="56">
        <f>IFERROR(VLOOKUP($A13,'PP DS Query'!$C$1:$R$1005,4,FALSE),0)</f>
        <v>-0.02</v>
      </c>
      <c r="P13" s="358">
        <f>-IFERROR(VLOOKUP($A13,'PP DS Query'!$C$1:$R$1005,15,FALSE),0)</f>
        <v>51297.16</v>
      </c>
      <c r="Q13" s="358">
        <f>IFERROR(VLOOKUP($A13,'PP DS Query'!$C$1:$R$1005,16,FALSE),0)</f>
        <v>295920.98</v>
      </c>
      <c r="R13" s="48"/>
      <c r="S13" s="472">
        <f>IFERROR(ROUND(LEFT(A13,7)*100,0),0)</f>
        <v>34136</v>
      </c>
      <c r="T13" s="472" t="s">
        <v>962</v>
      </c>
      <c r="U13" s="474">
        <f>IFERROR(VLOOKUP($S13,#REF!,6,FALSE),0)</f>
        <v>0</v>
      </c>
      <c r="V13" s="473">
        <f>U13-F13</f>
        <v>-2564857.91</v>
      </c>
    </row>
    <row r="14" spans="1:22" ht="15.95" customHeight="1" x14ac:dyDescent="0.2">
      <c r="A14" s="49" t="s">
        <v>752</v>
      </c>
      <c r="B14" s="499">
        <f>IFERROR(VLOOKUP($A14,'PP DS Query'!$C$1:$R$1005,5,FALSE),0)</f>
        <v>2049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91373.63</v>
      </c>
      <c r="G14" s="523">
        <f>IFERROR(VLOOKUP($A14,'PP DS Query'!$C$1:$R$1005,7,FALSE),0)</f>
        <v>10.5</v>
      </c>
      <c r="H14" s="358">
        <f>IFERROR(VLOOKUP($A14,'PP DS Query'!$C$1:$R$1005,8,FALSE),0)</f>
        <v>959423.12</v>
      </c>
      <c r="I14" s="523">
        <f>IFERROR(VLOOKUP($A14,'PP DS Query'!$C$1:$R$1005,9,FALSE),0)</f>
        <v>30</v>
      </c>
      <c r="J14" s="358">
        <f>IFERROR(VLOOKUP($A14,'PP DS Query'!$C$1:$R$1005,10,FALSE),0)</f>
        <v>2741208.9</v>
      </c>
      <c r="K14" s="523">
        <f>IFERROR(VLOOKUP($A14,'PP DS Query'!$C$1:$R$1005,11,FALSE),0)</f>
        <v>19.454546000000001</v>
      </c>
      <c r="L14" s="358">
        <f>IFERROR(VLOOKUP($A14,'PP DS Query'!$C$1:$R$1005,12,FALSE),0)</f>
        <v>1777632.49</v>
      </c>
      <c r="M14" s="19">
        <f>IFERROR(VLOOKUP($A14,'PP DS Query'!$C$1:$R$1005,13,FALSE),0)</f>
        <v>0.35854545999999998</v>
      </c>
      <c r="N14" s="358">
        <f>IFERROR(VLOOKUP($A14,'PP DS Query'!$C$1:$R$1005,14,FALSE),0)</f>
        <v>32761.599999999999</v>
      </c>
      <c r="O14" s="56">
        <f>IFERROR(VLOOKUP($A14,'PP DS Query'!$C$1:$R$1005,4,FALSE),0)</f>
        <v>-0.02</v>
      </c>
      <c r="P14" s="358">
        <f>-IFERROR(VLOOKUP($A14,'PP DS Query'!$C$1:$R$1005,15,FALSE),0)</f>
        <v>1827.47</v>
      </c>
      <c r="Q14" s="358">
        <f>IFERROR(VLOOKUP($A14,'PP DS Query'!$C$1:$R$1005,16,FALSE),0)</f>
        <v>14013.18</v>
      </c>
      <c r="R14" s="48"/>
      <c r="S14" s="472">
        <f t="shared" ref="S14:S16" si="0">IFERROR(ROUND(LEFT(A14,7)*100,0),0)</f>
        <v>34136</v>
      </c>
      <c r="T14" s="472" t="s">
        <v>963</v>
      </c>
      <c r="U14" s="474">
        <f>IFERROR(VLOOKUP($S14,#REF!,7,FALSE),0)</f>
        <v>0</v>
      </c>
      <c r="V14" s="473">
        <f t="shared" ref="V14:V16" si="1">U14-F14</f>
        <v>-91373.63</v>
      </c>
    </row>
    <row r="15" spans="1:22" ht="15.95" customHeight="1" x14ac:dyDescent="0.2">
      <c r="A15" s="396" t="s">
        <v>911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523">
        <f>IFERROR(VLOOKUP($A15,'PP DS Query'!$C$1:$R$1005,7,FALSE),0)</f>
        <v>0</v>
      </c>
      <c r="H15" s="358">
        <f>IFERROR(VLOOKUP($A15,'PP DS Query'!$C$1:$R$1005,8,FALSE),0)</f>
        <v>0</v>
      </c>
      <c r="I15" s="523">
        <f>IFERROR(VLOOKUP($A15,'PP DS Query'!$C$1:$R$1005,9,FALSE),0)</f>
        <v>0</v>
      </c>
      <c r="J15" s="358">
        <f>IFERROR(VLOOKUP($A15,'PP DS Query'!$C$1:$R$1005,10,FALSE),0)</f>
        <v>0</v>
      </c>
      <c r="K15" s="523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34136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1139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34136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753</v>
      </c>
      <c r="B17" s="499">
        <f>IFERROR(VLOOKUP($A17,'PP DS Query'!$C$1:$R$1005,5,FALSE),0)</f>
        <v>2049</v>
      </c>
      <c r="C17" s="33"/>
      <c r="D17" s="34"/>
      <c r="E17" s="15"/>
      <c r="F17" s="443">
        <f>IFERROR(VLOOKUP($A17,'PP DS Query'!$C$1:$R$1005,6,FALSE),0)</f>
        <v>2656231.54</v>
      </c>
      <c r="G17" s="525">
        <f>IFERROR(VLOOKUP($A17,'PP DS Query'!$C$1:$R$1005,7,FALSE),0)</f>
        <v>10.481983295025554</v>
      </c>
      <c r="H17" s="443">
        <f>IFERROR(VLOOKUP($A17,'PP DS Query'!$C$1:$R$1005,8,FALSE),0)</f>
        <v>27842574.630000003</v>
      </c>
      <c r="I17" s="525">
        <f>IFERROR(VLOOKUP($A17,'PP DS Query'!$C$1:$R$1005,9,FALSE),0)</f>
        <v>39.636690760776069</v>
      </c>
      <c r="J17" s="443">
        <f>IFERROR(VLOOKUP($A17,'PP DS Query'!$C$1:$R$1005,10,FALSE),0)</f>
        <v>105284228.14</v>
      </c>
      <c r="K17" s="525">
        <f>IFERROR(VLOOKUP($A17,'PP DS Query'!$C$1:$R$1005,11,FALSE),0)</f>
        <v>29.1544391645918</v>
      </c>
      <c r="L17" s="443">
        <f>IFERROR(VLOOKUP($A17,'PP DS Query'!$C$1:$R$1005,12,FALSE),0)</f>
        <v>77440940.839999989</v>
      </c>
      <c r="M17" s="445">
        <f>IFERROR(VLOOKUP($A17,'PP DS Query'!$C$1:$R$1005,13,FALSE),0)</f>
        <v>0.27050703945786292</v>
      </c>
      <c r="N17" s="443">
        <f>IFERROR(VLOOKUP($A17,'PP DS Query'!$C$1:$R$1005,14,FALSE),0)</f>
        <v>718529.33</v>
      </c>
      <c r="O17" s="446">
        <f>IFERROR(VLOOKUP($A17,'PP DS Query'!$C$1:$R$1005,4,FALSE),0)</f>
        <v>-0.02</v>
      </c>
      <c r="P17" s="443">
        <f>-IFERROR(VLOOKUP($A17,'PP DS Query'!$C$1:$R$1005,15,FALSE),0)</f>
        <v>53124.630000000005</v>
      </c>
      <c r="Q17" s="443">
        <f>IFERROR(VLOOKUP($A17,'PP DS Query'!$C$1:$R$1005,16,FALSE),0)</f>
        <v>309934.15999999997</v>
      </c>
      <c r="R17" s="48"/>
      <c r="U17" s="473">
        <f>SUM(U13:U16)</f>
        <v>0</v>
      </c>
      <c r="V17" s="473">
        <f>SUM(V13:V16)</f>
        <v>-2656231.54</v>
      </c>
    </row>
    <row r="18" spans="1:22" ht="15.95" customHeight="1" x14ac:dyDescent="0.2">
      <c r="A18" s="49"/>
      <c r="B18" s="49"/>
      <c r="C18" s="15"/>
      <c r="E18" s="360"/>
      <c r="G18" s="35"/>
      <c r="I18" s="35"/>
      <c r="K18" s="35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1258</v>
      </c>
      <c r="E19" s="360"/>
      <c r="G19" s="35"/>
      <c r="I19" s="35"/>
      <c r="K19" s="35"/>
      <c r="O19" s="59"/>
      <c r="P19" s="18"/>
      <c r="Q19" s="18"/>
      <c r="R19" s="48"/>
    </row>
    <row r="20" spans="1:22" ht="15.95" customHeight="1" x14ac:dyDescent="0.2">
      <c r="A20" s="49" t="s">
        <v>774</v>
      </c>
      <c r="B20" s="499">
        <f>IFERROR(VLOOKUP($A20,'PP DS Query'!$C$1:$R$1005,5,FALSE),0)</f>
        <v>2049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965714.09</v>
      </c>
      <c r="G20" s="523">
        <f>IFERROR(VLOOKUP($A20,'PP DS Query'!$C$1:$R$1005,7,FALSE),0)</f>
        <v>9.9709041700000007</v>
      </c>
      <c r="H20" s="358">
        <f>IFERROR(VLOOKUP($A20,'PP DS Query'!$C$1:$R$1005,8,FALSE),0)</f>
        <v>9629042.6500000004</v>
      </c>
      <c r="I20" s="523">
        <f>IFERROR(VLOOKUP($A20,'PP DS Query'!$C$1:$R$1005,9,FALSE),0)</f>
        <v>39.39</v>
      </c>
      <c r="J20" s="358">
        <f>IFERROR(VLOOKUP($A20,'PP DS Query'!$C$1:$R$1005,10,FALSE),0)</f>
        <v>38039478.009999998</v>
      </c>
      <c r="K20" s="523">
        <f>IFERROR(VLOOKUP($A20,'PP DS Query'!$C$1:$R$1005,11,FALSE),0)</f>
        <v>29.5</v>
      </c>
      <c r="L20" s="358">
        <f>IFERROR(VLOOKUP($A20,'PP DS Query'!$C$1:$R$1005,12,FALSE),0)</f>
        <v>28488565.66</v>
      </c>
      <c r="M20" s="19">
        <f>IFERROR(VLOOKUP($A20,'PP DS Query'!$C$1:$R$1005,13,FALSE),0)</f>
        <v>0.26362474000000002</v>
      </c>
      <c r="N20" s="358">
        <f>IFERROR(VLOOKUP($A20,'PP DS Query'!$C$1:$R$1005,14,FALSE),0)</f>
        <v>254586.13</v>
      </c>
      <c r="O20" s="56">
        <f>IFERROR(VLOOKUP($A20,'PP DS Query'!$C$1:$R$1005,4,FALSE),0)</f>
        <v>-0.05</v>
      </c>
      <c r="P20" s="358">
        <f>-IFERROR(VLOOKUP($A20,'PP DS Query'!$C$1:$R$1005,15,FALSE),0)</f>
        <v>48285.7</v>
      </c>
      <c r="Q20" s="358">
        <f>IFERROR(VLOOKUP($A20,'PP DS Query'!$C$1:$R$1005,16,FALSE),0)</f>
        <v>169955.52</v>
      </c>
      <c r="R20" s="48"/>
      <c r="S20" s="472">
        <f>IFERROR(ROUND(LEFT(A20,7)*100,0),0)</f>
        <v>34236</v>
      </c>
      <c r="T20" s="472" t="s">
        <v>962</v>
      </c>
      <c r="U20" s="474">
        <f>IFERROR(VLOOKUP($S20,#REF!,6,FALSE),0)</f>
        <v>0</v>
      </c>
      <c r="V20" s="473">
        <f>U20-F20</f>
        <v>-965714.09</v>
      </c>
    </row>
    <row r="21" spans="1:22" ht="15.95" customHeight="1" x14ac:dyDescent="0.2">
      <c r="A21" s="49" t="s">
        <v>775</v>
      </c>
      <c r="B21" s="499">
        <f>IFERROR(VLOOKUP($A21,'PP DS Query'!$C$1:$R$1005,5,FALSE),0)</f>
        <v>2049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5736.96</v>
      </c>
      <c r="G21" s="523">
        <f>IFERROR(VLOOKUP($A21,'PP DS Query'!$C$1:$R$1005,7,FALSE),0)</f>
        <v>4.5</v>
      </c>
      <c r="H21" s="358">
        <f>IFERROR(VLOOKUP($A21,'PP DS Query'!$C$1:$R$1005,8,FALSE),0)</f>
        <v>25816.32</v>
      </c>
      <c r="I21" s="523">
        <f>IFERROR(VLOOKUP($A21,'PP DS Query'!$C$1:$R$1005,9,FALSE),0)</f>
        <v>29.71</v>
      </c>
      <c r="J21" s="358">
        <f>IFERROR(VLOOKUP($A21,'PP DS Query'!$C$1:$R$1005,10,FALSE),0)</f>
        <v>170445.08</v>
      </c>
      <c r="K21" s="523">
        <f>IFERROR(VLOOKUP($A21,'PP DS Query'!$C$1:$R$1005,11,FALSE),0)</f>
        <v>24.834492999999998</v>
      </c>
      <c r="L21" s="358">
        <f>IFERROR(VLOOKUP($A21,'PP DS Query'!$C$1:$R$1005,12,FALSE),0)</f>
        <v>142474.49</v>
      </c>
      <c r="M21" s="19">
        <f>IFERROR(VLOOKUP($A21,'PP DS Query'!$C$1:$R$1005,13,FALSE),0)</f>
        <v>0.1721905</v>
      </c>
      <c r="N21" s="358">
        <f>IFERROR(VLOOKUP($A21,'PP DS Query'!$C$1:$R$1005,14,FALSE),0)</f>
        <v>987.85</v>
      </c>
      <c r="O21" s="56">
        <f>IFERROR(VLOOKUP($A21,'PP DS Query'!$C$1:$R$1005,4,FALSE),0)</f>
        <v>-0.05</v>
      </c>
      <c r="P21" s="358">
        <f>-IFERROR(VLOOKUP($A21,'PP DS Query'!$C$1:$R$1005,15,FALSE),0)</f>
        <v>286.85000000000002</v>
      </c>
      <c r="Q21" s="358">
        <f>IFERROR(VLOOKUP($A21,'PP DS Query'!$C$1:$R$1005,16,FALSE),0)</f>
        <v>659.46</v>
      </c>
      <c r="R21" s="48"/>
      <c r="S21" s="472">
        <f t="shared" ref="S21:S23" si="2">IFERROR(ROUND(LEFT(A21,7)*100,0),0)</f>
        <v>34236</v>
      </c>
      <c r="T21" s="472" t="s">
        <v>963</v>
      </c>
      <c r="U21" s="474">
        <f>IFERROR(VLOOKUP($S21,#REF!,7,FALSE),0)</f>
        <v>0</v>
      </c>
      <c r="V21" s="473">
        <f t="shared" ref="V21:V23" si="3">U21-F21</f>
        <v>-5736.96</v>
      </c>
    </row>
    <row r="22" spans="1:22" ht="15.95" customHeight="1" x14ac:dyDescent="0.2">
      <c r="A22" s="49" t="s">
        <v>776</v>
      </c>
      <c r="B22" s="499">
        <f>IFERROR(VLOOKUP($A22,'PP DS Query'!$C$1:$R$1005,5,FALSE),0)</f>
        <v>2049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565828.01</v>
      </c>
      <c r="G22" s="523">
        <f>IFERROR(VLOOKUP($A22,'PP DS Query'!$C$1:$R$1005,7,FALSE),0)</f>
        <v>10.08137908</v>
      </c>
      <c r="H22" s="358">
        <f>IFERROR(VLOOKUP($A22,'PP DS Query'!$C$1:$R$1005,8,FALSE),0)</f>
        <v>5704326.6699999999</v>
      </c>
      <c r="I22" s="523">
        <f>IFERROR(VLOOKUP($A22,'PP DS Query'!$C$1:$R$1005,9,FALSE),0)</f>
        <v>20</v>
      </c>
      <c r="J22" s="358">
        <f>IFERROR(VLOOKUP($A22,'PP DS Query'!$C$1:$R$1005,10,FALSE),0)</f>
        <v>11316560.199999999</v>
      </c>
      <c r="K22" s="523">
        <f>IFERROR(VLOOKUP($A22,'PP DS Query'!$C$1:$R$1005,11,FALSE),0)</f>
        <v>10.169235</v>
      </c>
      <c r="L22" s="358">
        <f>IFERROR(VLOOKUP($A22,'PP DS Query'!$C$1:$R$1005,12,FALSE),0)</f>
        <v>5754038</v>
      </c>
      <c r="M22" s="19">
        <f>IFERROR(VLOOKUP($A22,'PP DS Query'!$C$1:$R$1005,13,FALSE),0)</f>
        <v>0.51611518999999995</v>
      </c>
      <c r="N22" s="358">
        <f>IFERROR(VLOOKUP($A22,'PP DS Query'!$C$1:$R$1005,14,FALSE),0)</f>
        <v>292032.43</v>
      </c>
      <c r="O22" s="56">
        <f>IFERROR(VLOOKUP($A22,'PP DS Query'!$C$1:$R$1005,4,FALSE),0)</f>
        <v>-0.05</v>
      </c>
      <c r="P22" s="358">
        <f>-IFERROR(VLOOKUP($A22,'PP DS Query'!$C$1:$R$1005,15,FALSE),0)</f>
        <v>28291.4</v>
      </c>
      <c r="Q22" s="358">
        <f>IFERROR(VLOOKUP($A22,'PP DS Query'!$C$1:$R$1005,16,FALSE),0)</f>
        <v>194953.76</v>
      </c>
      <c r="R22" s="48"/>
      <c r="S22" s="472">
        <f t="shared" si="2"/>
        <v>34236</v>
      </c>
      <c r="T22" s="472" t="s">
        <v>964</v>
      </c>
      <c r="U22" s="474">
        <f>IFERROR(VLOOKUP($S22,#REF!,8,FALSE),0)</f>
        <v>0</v>
      </c>
      <c r="V22" s="473">
        <f t="shared" si="3"/>
        <v>-565828.01</v>
      </c>
    </row>
    <row r="23" spans="1:22" ht="15.95" customHeight="1" thickBot="1" x14ac:dyDescent="0.25">
      <c r="A23" s="397" t="s">
        <v>1140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34236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777</v>
      </c>
      <c r="B24" s="499">
        <f>IFERROR(VLOOKUP($A24,'PP DS Query'!$C$1:$R$1005,5,FALSE),0)</f>
        <v>2049</v>
      </c>
      <c r="C24" s="33"/>
      <c r="D24" s="34"/>
      <c r="E24" s="15"/>
      <c r="F24" s="443">
        <f>IFERROR(VLOOKUP($A24,'PP DS Query'!$C$1:$R$1005,6,FALSE),0)</f>
        <v>1537279.06</v>
      </c>
      <c r="G24" s="525">
        <f>IFERROR(VLOOKUP($A24,'PP DS Query'!$C$1:$R$1005,7,FALSE),0)</f>
        <v>9.9911499700000004</v>
      </c>
      <c r="H24" s="443">
        <f>IFERROR(VLOOKUP($A24,'PP DS Query'!$C$1:$R$1005,8,FALSE),0)</f>
        <v>15359185.630000001</v>
      </c>
      <c r="I24" s="525">
        <f>IFERROR(VLOOKUP($A24,'PP DS Query'!$C$1:$R$1005,9,FALSE),0)</f>
        <v>32.216976459999998</v>
      </c>
      <c r="J24" s="443">
        <f>IFERROR(VLOOKUP($A24,'PP DS Query'!$C$1:$R$1005,10,FALSE),0)</f>
        <v>49526483.289999999</v>
      </c>
      <c r="K24" s="525">
        <f>IFERROR(VLOOKUP($A24,'PP DS Query'!$C$1:$R$1005,11,FALSE),0)</f>
        <v>22.3674927</v>
      </c>
      <c r="L24" s="443">
        <f>IFERROR(VLOOKUP($A24,'PP DS Query'!$C$1:$R$1005,12,FALSE),0)</f>
        <v>34385078.149999999</v>
      </c>
      <c r="M24" s="445">
        <f>IFERROR(VLOOKUP($A24,'PP DS Query'!$C$1:$R$1005,13,FALSE),0)</f>
        <v>0.35621796</v>
      </c>
      <c r="N24" s="443">
        <f>IFERROR(VLOOKUP($A24,'PP DS Query'!$C$1:$R$1005,14,FALSE),0)</f>
        <v>547606.41</v>
      </c>
      <c r="O24" s="446">
        <f>IFERROR(VLOOKUP($A24,'PP DS Query'!$C$1:$R$1005,4,FALSE),0)</f>
        <v>-0.05</v>
      </c>
      <c r="P24" s="443">
        <f>-IFERROR(VLOOKUP($A24,'PP DS Query'!$C$1:$R$1005,15,FALSE),0)</f>
        <v>76863.95</v>
      </c>
      <c r="Q24" s="443">
        <f>IFERROR(VLOOKUP($A24,'PP DS Query'!$C$1:$R$1005,16,FALSE),0)</f>
        <v>365568.74</v>
      </c>
      <c r="R24" s="48"/>
      <c r="U24" s="473">
        <f>SUM(U20:U23)</f>
        <v>0</v>
      </c>
      <c r="V24" s="473">
        <f>SUM(V20:V23)</f>
        <v>-1537279.06</v>
      </c>
    </row>
    <row r="25" spans="1:22" ht="15.95" customHeight="1" x14ac:dyDescent="0.2">
      <c r="A25" s="49"/>
      <c r="B25" s="49"/>
      <c r="C25" s="15"/>
      <c r="E25" s="360"/>
      <c r="G25" s="35"/>
      <c r="I25" s="35"/>
      <c r="K25" s="35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1259</v>
      </c>
      <c r="E26" s="360"/>
      <c r="G26" s="35"/>
      <c r="I26" s="35"/>
      <c r="K26" s="35"/>
      <c r="O26" s="59"/>
      <c r="P26" s="29"/>
      <c r="Q26" s="29"/>
      <c r="R26" s="48"/>
    </row>
    <row r="27" spans="1:22" ht="15.95" customHeight="1" x14ac:dyDescent="0.2">
      <c r="A27" s="49" t="s">
        <v>800</v>
      </c>
      <c r="B27" s="499">
        <f>IFERROR(VLOOKUP($A27,'PP DS Query'!$C$1:$R$1005,5,FALSE),0)</f>
        <v>2049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3570663.22</v>
      </c>
      <c r="G27" s="523">
        <f>IFERROR(VLOOKUP($A27,'PP DS Query'!$C$1:$R$1005,7,FALSE),0)</f>
        <v>10.172392439999999</v>
      </c>
      <c r="H27" s="358">
        <f>IFERROR(VLOOKUP($A27,'PP DS Query'!$C$1:$R$1005,8,FALSE),0)</f>
        <v>36322187.530000001</v>
      </c>
      <c r="I27" s="523">
        <f>IFERROR(VLOOKUP($A27,'PP DS Query'!$C$1:$R$1005,9,FALSE),0)</f>
        <v>39.590000000000003</v>
      </c>
      <c r="J27" s="358">
        <f>IFERROR(VLOOKUP($A27,'PP DS Query'!$C$1:$R$1005,10,FALSE),0)</f>
        <v>141362556.88</v>
      </c>
      <c r="K27" s="523">
        <f>IFERROR(VLOOKUP($A27,'PP DS Query'!$C$1:$R$1005,11,FALSE),0)</f>
        <v>29.5</v>
      </c>
      <c r="L27" s="358">
        <f>IFERROR(VLOOKUP($A27,'PP DS Query'!$C$1:$R$1005,12,FALSE),0)</f>
        <v>105334564.98999999</v>
      </c>
      <c r="M27" s="19">
        <f>IFERROR(VLOOKUP($A27,'PP DS Query'!$C$1:$R$1005,13,FALSE),0)</f>
        <v>0.27264139999999998</v>
      </c>
      <c r="N27" s="358">
        <f>IFERROR(VLOOKUP($A27,'PP DS Query'!$C$1:$R$1005,14,FALSE),0)</f>
        <v>973510.61</v>
      </c>
      <c r="O27" s="56">
        <f>IFERROR(VLOOKUP($A27,'PP DS Query'!$C$1:$R$1005,4,FALSE),0)</f>
        <v>-7.0000000000000007E-2</v>
      </c>
      <c r="P27" s="358">
        <f>-IFERROR(VLOOKUP($A27,'PP DS Query'!$C$1:$R$1005,15,FALSE),0)</f>
        <v>249946.43</v>
      </c>
      <c r="Q27" s="358">
        <f>IFERROR(VLOOKUP($A27,'PP DS Query'!$C$1:$R$1005,16,FALSE),0)</f>
        <v>1362292.88</v>
      </c>
      <c r="R27" s="48"/>
      <c r="S27" s="472">
        <f>IFERROR(ROUND(LEFT(A27,7)*100,0),0)</f>
        <v>34336</v>
      </c>
      <c r="T27" s="472" t="s">
        <v>962</v>
      </c>
      <c r="U27" s="474">
        <f>IFERROR(VLOOKUP($S27,#REF!,6,FALSE),0)</f>
        <v>0</v>
      </c>
      <c r="V27" s="473">
        <f>U27-F27</f>
        <v>-3570663.22</v>
      </c>
    </row>
    <row r="28" spans="1:22" ht="15.95" customHeight="1" x14ac:dyDescent="0.2">
      <c r="A28" s="49" t="s">
        <v>801</v>
      </c>
      <c r="B28" s="499">
        <f>IFERROR(VLOOKUP($A28,'PP DS Query'!$C$1:$R$1005,5,FALSE),0)</f>
        <v>2049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13144185.57</v>
      </c>
      <c r="G28" s="523">
        <f>IFERROR(VLOOKUP($A28,'PP DS Query'!$C$1:$R$1005,7,FALSE),0)</f>
        <v>10.450344319999999</v>
      </c>
      <c r="H28" s="358">
        <f>IFERROR(VLOOKUP($A28,'PP DS Query'!$C$1:$R$1005,8,FALSE),0)</f>
        <v>137361264.97</v>
      </c>
      <c r="I28" s="523">
        <f>IFERROR(VLOOKUP($A28,'PP DS Query'!$C$1:$R$1005,9,FALSE),0)</f>
        <v>30</v>
      </c>
      <c r="J28" s="358">
        <f>IFERROR(VLOOKUP($A28,'PP DS Query'!$C$1:$R$1005,10,FALSE),0)</f>
        <v>394325567.10000002</v>
      </c>
      <c r="K28" s="523">
        <f>IFERROR(VLOOKUP($A28,'PP DS Query'!$C$1:$R$1005,11,FALSE),0)</f>
        <v>19.500834000000001</v>
      </c>
      <c r="L28" s="358">
        <f>IFERROR(VLOOKUP($A28,'PP DS Query'!$C$1:$R$1005,12,FALSE),0)</f>
        <v>256322580.87</v>
      </c>
      <c r="M28" s="19">
        <f>IFERROR(VLOOKUP($A28,'PP DS Query'!$C$1:$R$1005,13,FALSE),0)</f>
        <v>0.37447024000000001</v>
      </c>
      <c r="N28" s="358">
        <f>IFERROR(VLOOKUP($A28,'PP DS Query'!$C$1:$R$1005,14,FALSE),0)</f>
        <v>4922106.3</v>
      </c>
      <c r="O28" s="56">
        <f>IFERROR(VLOOKUP($A28,'PP DS Query'!$C$1:$R$1005,4,FALSE),0)</f>
        <v>-7.0000000000000007E-2</v>
      </c>
      <c r="P28" s="358">
        <f>-IFERROR(VLOOKUP($A28,'PP DS Query'!$C$1:$R$1005,15,FALSE),0)</f>
        <v>920092.99</v>
      </c>
      <c r="Q28" s="358">
        <f>IFERROR(VLOOKUP($A28,'PP DS Query'!$C$1:$R$1005,16,FALSE),0)</f>
        <v>6887804.0999999996</v>
      </c>
      <c r="R28" s="48"/>
      <c r="S28" s="472">
        <f t="shared" ref="S28:S30" si="4">IFERROR(ROUND(LEFT(A28,7)*100,0),0)</f>
        <v>34336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-13144185.57</v>
      </c>
    </row>
    <row r="29" spans="1:22" ht="15.95" customHeight="1" x14ac:dyDescent="0.2">
      <c r="A29" s="49" t="s">
        <v>802</v>
      </c>
      <c r="B29" s="499">
        <f>IFERROR(VLOOKUP($A29,'PP DS Query'!$C$1:$R$1005,5,FALSE),0)</f>
        <v>2049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752517.3</v>
      </c>
      <c r="G29" s="523">
        <f>IFERROR(VLOOKUP($A29,'PP DS Query'!$C$1:$R$1005,7,FALSE),0)</f>
        <v>10.32878079</v>
      </c>
      <c r="H29" s="358">
        <f>IFERROR(VLOOKUP($A29,'PP DS Query'!$C$1:$R$1005,8,FALSE),0)</f>
        <v>7772586.2300000004</v>
      </c>
      <c r="I29" s="523">
        <f>IFERROR(VLOOKUP($A29,'PP DS Query'!$C$1:$R$1005,9,FALSE),0)</f>
        <v>20</v>
      </c>
      <c r="J29" s="358">
        <f>IFERROR(VLOOKUP($A29,'PP DS Query'!$C$1:$R$1005,10,FALSE),0)</f>
        <v>15050346</v>
      </c>
      <c r="K29" s="523">
        <f>IFERROR(VLOOKUP($A29,'PP DS Query'!$C$1:$R$1005,11,FALSE),0)</f>
        <v>9.9333229999999997</v>
      </c>
      <c r="L29" s="358">
        <f>IFERROR(VLOOKUP($A29,'PP DS Query'!$C$1:$R$1005,12,FALSE),0)</f>
        <v>7474997.4000000004</v>
      </c>
      <c r="M29" s="19">
        <f>IFERROR(VLOOKUP($A29,'PP DS Query'!$C$1:$R$1005,13,FALSE),0)</f>
        <v>0.53856722999999995</v>
      </c>
      <c r="N29" s="358">
        <f>IFERROR(VLOOKUP($A29,'PP DS Query'!$C$1:$R$1005,14,FALSE),0)</f>
        <v>405281.16</v>
      </c>
      <c r="O29" s="56">
        <f>IFERROR(VLOOKUP($A29,'PP DS Query'!$C$1:$R$1005,4,FALSE),0)</f>
        <v>-7.0000000000000007E-2</v>
      </c>
      <c r="P29" s="358">
        <f>-IFERROR(VLOOKUP($A29,'PP DS Query'!$C$1:$R$1005,15,FALSE),0)</f>
        <v>52676.21</v>
      </c>
      <c r="Q29" s="358">
        <f>IFERROR(VLOOKUP($A29,'PP DS Query'!$C$1:$R$1005,16,FALSE),0)</f>
        <v>567134.69999999995</v>
      </c>
      <c r="R29" s="48"/>
      <c r="S29" s="472">
        <f t="shared" si="4"/>
        <v>34336</v>
      </c>
      <c r="T29" s="472" t="s">
        <v>964</v>
      </c>
      <c r="U29" s="474">
        <f>IFERROR(VLOOKUP($S29,#REF!,8,FALSE),0)</f>
        <v>0</v>
      </c>
      <c r="V29" s="473">
        <f t="shared" si="5"/>
        <v>-752517.3</v>
      </c>
    </row>
    <row r="30" spans="1:22" ht="15.95" customHeight="1" thickBot="1" x14ac:dyDescent="0.25">
      <c r="A30" s="397" t="s">
        <v>1042</v>
      </c>
      <c r="B30" s="499">
        <f>IFERROR(VLOOKUP($A30,'PP DS Query'!$C$1:$R$1005,5,FALSE),0)</f>
        <v>2049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11563.2</v>
      </c>
      <c r="G30" s="524">
        <f>IFERROR(VLOOKUP($A30,'PP DS Query'!$C$1:$R$1005,7,FALSE),0)</f>
        <v>0.5</v>
      </c>
      <c r="H30" s="250">
        <f>IFERROR(VLOOKUP($A30,'PP DS Query'!$C$1:$R$1005,8,FALSE),0)</f>
        <v>5781.6</v>
      </c>
      <c r="I30" s="524">
        <f>IFERROR(VLOOKUP($A30,'PP DS Query'!$C$1:$R$1005,9,FALSE),0)</f>
        <v>12</v>
      </c>
      <c r="J30" s="250">
        <f>IFERROR(VLOOKUP($A30,'PP DS Query'!$C$1:$R$1005,10,FALSE),0)</f>
        <v>138758.39999999999</v>
      </c>
      <c r="K30" s="524">
        <f>IFERROR(VLOOKUP($A30,'PP DS Query'!$C$1:$R$1005,11,FALSE),0)</f>
        <v>11.5</v>
      </c>
      <c r="L30" s="250">
        <f>IFERROR(VLOOKUP($A30,'PP DS Query'!$C$1:$R$1005,12,FALSE),0)</f>
        <v>132976.79999999999</v>
      </c>
      <c r="M30" s="21">
        <f>IFERROR(VLOOKUP($A30,'PP DS Query'!$C$1:$R$1005,13,FALSE),0)</f>
        <v>4.4583680000000001E-2</v>
      </c>
      <c r="N30" s="250">
        <f>IFERROR(VLOOKUP($A30,'PP DS Query'!$C$1:$R$1005,14,FALSE),0)</f>
        <v>515.53</v>
      </c>
      <c r="O30" s="57">
        <f>IFERROR(VLOOKUP($A30,'PP DS Query'!$C$1:$R$1005,4,FALSE),0)</f>
        <v>-7.0000000000000007E-2</v>
      </c>
      <c r="P30" s="250">
        <f>-IFERROR(VLOOKUP($A30,'PP DS Query'!$C$1:$R$1005,15,FALSE),0)</f>
        <v>809.42</v>
      </c>
      <c r="Q30" s="250">
        <f>IFERROR(VLOOKUP($A30,'PP DS Query'!$C$1:$R$1005,16,FALSE),0)</f>
        <v>721.41</v>
      </c>
      <c r="R30" s="48"/>
      <c r="S30" s="472">
        <f t="shared" si="4"/>
        <v>34336</v>
      </c>
      <c r="T30" s="472" t="s">
        <v>961</v>
      </c>
      <c r="U30" s="475">
        <f>IFERROR(VLOOKUP($S30,#REF!,9,FALSE),0)</f>
        <v>0</v>
      </c>
      <c r="V30" s="476">
        <f t="shared" si="5"/>
        <v>-11563.2</v>
      </c>
    </row>
    <row r="31" spans="1:22" ht="15.95" customHeight="1" x14ac:dyDescent="0.2">
      <c r="A31" s="49" t="s">
        <v>803</v>
      </c>
      <c r="B31" s="499">
        <f>IFERROR(VLOOKUP($A31,'PP DS Query'!$C$1:$R$1005,5,FALSE),0)</f>
        <v>2049</v>
      </c>
      <c r="C31" s="33"/>
      <c r="D31" s="34"/>
      <c r="E31" s="15"/>
      <c r="F31" s="443">
        <f>IFERROR(VLOOKUP($A31,'PP DS Query'!$C$1:$R$1005,6,FALSE),0)</f>
        <v>17478929.289999999</v>
      </c>
      <c r="G31" s="525">
        <f>IFERROR(VLOOKUP($A31,'PP DS Query'!$C$1:$R$1005,7,FALSE),0)</f>
        <v>10.381746919999999</v>
      </c>
      <c r="H31" s="443">
        <f>IFERROR(VLOOKUP($A31,'PP DS Query'!$C$1:$R$1005,8,FALSE),0)</f>
        <v>181461820.33000001</v>
      </c>
      <c r="I31" s="525">
        <f>IFERROR(VLOOKUP($A31,'PP DS Query'!$C$1:$R$1005,9,FALSE),0)</f>
        <v>31.516646089999998</v>
      </c>
      <c r="J31" s="443">
        <f>IFERROR(VLOOKUP($A31,'PP DS Query'!$C$1:$R$1005,10,FALSE),0)</f>
        <v>550877228.38</v>
      </c>
      <c r="K31" s="525">
        <f>IFERROR(VLOOKUP($A31,'PP DS Query'!$C$1:$R$1005,11,FALSE),0)</f>
        <v>21.126300929999999</v>
      </c>
      <c r="L31" s="443">
        <f>IFERROR(VLOOKUP($A31,'PP DS Query'!$C$1:$R$1005,12,FALSE),0)</f>
        <v>369265120.06</v>
      </c>
      <c r="M31" s="445">
        <f>IFERROR(VLOOKUP($A31,'PP DS Query'!$C$1:$R$1005,13,FALSE),0)</f>
        <v>0.36051485</v>
      </c>
      <c r="N31" s="443">
        <f>IFERROR(VLOOKUP($A31,'PP DS Query'!$C$1:$R$1005,14,FALSE),0)</f>
        <v>6301413.5999999996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1223525.05</v>
      </c>
      <c r="Q31" s="443">
        <f>IFERROR(VLOOKUP($A31,'PP DS Query'!$C$1:$R$1005,16,FALSE),0)</f>
        <v>8817953.0899999999</v>
      </c>
      <c r="R31" s="48"/>
      <c r="U31" s="473">
        <f>SUM(U27:U30)</f>
        <v>0</v>
      </c>
      <c r="V31" s="473">
        <f>SUM(V27:V30)</f>
        <v>-17478929.289999999</v>
      </c>
    </row>
    <row r="32" spans="1:22" ht="15.95" customHeight="1" x14ac:dyDescent="0.2">
      <c r="A32" s="49"/>
      <c r="B32" s="49"/>
      <c r="C32" s="15"/>
      <c r="E32" s="360"/>
      <c r="G32" s="35"/>
      <c r="I32" s="35"/>
      <c r="K32" s="35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1260</v>
      </c>
      <c r="E33" s="360"/>
      <c r="G33" s="35"/>
      <c r="I33" s="35"/>
      <c r="K33" s="35"/>
      <c r="O33" s="59"/>
      <c r="P33" s="29"/>
      <c r="Q33" s="29"/>
      <c r="R33" s="48"/>
    </row>
    <row r="34" spans="1:22" ht="15.95" customHeight="1" x14ac:dyDescent="0.2">
      <c r="A34" s="49" t="s">
        <v>823</v>
      </c>
      <c r="B34" s="499">
        <f>IFERROR(VLOOKUP($A34,'PP DS Query'!$C$1:$R$1005,5,FALSE),0)</f>
        <v>2049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8779123.7200000007</v>
      </c>
      <c r="G34" s="523">
        <f>IFERROR(VLOOKUP($A34,'PP DS Query'!$C$1:$R$1005,7,FALSE),0)</f>
        <v>10.49562912</v>
      </c>
      <c r="H34" s="358">
        <f>IFERROR(VLOOKUP($A34,'PP DS Query'!$C$1:$R$1005,8,FALSE),0)</f>
        <v>92142426.599999994</v>
      </c>
      <c r="I34" s="523">
        <f>IFERROR(VLOOKUP($A34,'PP DS Query'!$C$1:$R$1005,9,FALSE),0)</f>
        <v>40</v>
      </c>
      <c r="J34" s="358">
        <f>IFERROR(VLOOKUP($A34,'PP DS Query'!$C$1:$R$1005,10,FALSE),0)</f>
        <v>351164948.80000001</v>
      </c>
      <c r="K34" s="523">
        <f>IFERROR(VLOOKUP($A34,'PP DS Query'!$C$1:$R$1005,11,FALSE),0)</f>
        <v>29.5</v>
      </c>
      <c r="L34" s="358">
        <f>IFERROR(VLOOKUP($A34,'PP DS Query'!$C$1:$R$1005,12,FALSE),0)</f>
        <v>258984149.74000001</v>
      </c>
      <c r="M34" s="19">
        <f>IFERROR(VLOOKUP($A34,'PP DS Query'!$C$1:$R$1005,13,FALSE),0)</f>
        <v>0.27553351999999998</v>
      </c>
      <c r="N34" s="358">
        <f>IFERROR(VLOOKUP($A34,'PP DS Query'!$C$1:$R$1005,14,FALSE),0)</f>
        <v>2418942.88</v>
      </c>
      <c r="O34" s="56">
        <f>IFERROR(VLOOKUP($A34,'PP DS Query'!$C$1:$R$1005,4,FALSE),0)</f>
        <v>-0.05</v>
      </c>
      <c r="P34" s="358">
        <f>-IFERROR(VLOOKUP($A34,'PP DS Query'!$C$1:$R$1005,15,FALSE),0)</f>
        <v>438956.19</v>
      </c>
      <c r="Q34" s="358">
        <f>IFERROR(VLOOKUP($A34,'PP DS Query'!$C$1:$R$1005,16,FALSE),0)</f>
        <v>2571079.0299999998</v>
      </c>
      <c r="R34" s="48"/>
      <c r="S34" s="472">
        <f>IFERROR(ROUND(LEFT(A34,7)*100,0),0)</f>
        <v>34536</v>
      </c>
      <c r="T34" s="472" t="s">
        <v>962</v>
      </c>
      <c r="U34" s="474">
        <f>IFERROR(VLOOKUP($S34,#REF!,6,FALSE),0)</f>
        <v>0</v>
      </c>
      <c r="V34" s="473">
        <f>U34-F34</f>
        <v>-8779123.7200000007</v>
      </c>
    </row>
    <row r="35" spans="1:22" ht="15.95" customHeight="1" x14ac:dyDescent="0.2">
      <c r="A35" s="49" t="s">
        <v>824</v>
      </c>
      <c r="B35" s="499">
        <f>IFERROR(VLOOKUP($A35,'PP DS Query'!$C$1:$R$1005,5,FALSE),0)</f>
        <v>2049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4471813.59</v>
      </c>
      <c r="G35" s="523">
        <f>IFERROR(VLOOKUP($A35,'PP DS Query'!$C$1:$R$1005,7,FALSE),0)</f>
        <v>10.5</v>
      </c>
      <c r="H35" s="358">
        <f>IFERROR(VLOOKUP($A35,'PP DS Query'!$C$1:$R$1005,8,FALSE),0)</f>
        <v>46954042.700000003</v>
      </c>
      <c r="I35" s="523">
        <f>IFERROR(VLOOKUP($A35,'PP DS Query'!$C$1:$R$1005,9,FALSE),0)</f>
        <v>30</v>
      </c>
      <c r="J35" s="358">
        <f>IFERROR(VLOOKUP($A35,'PP DS Query'!$C$1:$R$1005,10,FALSE),0)</f>
        <v>134154407.7</v>
      </c>
      <c r="K35" s="523">
        <f>IFERROR(VLOOKUP($A35,'PP DS Query'!$C$1:$R$1005,11,FALSE),0)</f>
        <v>19.454546000000001</v>
      </c>
      <c r="L35" s="358">
        <f>IFERROR(VLOOKUP($A35,'PP DS Query'!$C$1:$R$1005,12,FALSE),0)</f>
        <v>86997103.189999998</v>
      </c>
      <c r="M35" s="19">
        <f>IFERROR(VLOOKUP($A35,'PP DS Query'!$C$1:$R$1005,13,FALSE),0)</f>
        <v>0.36909090999999999</v>
      </c>
      <c r="N35" s="358">
        <f>IFERROR(VLOOKUP($A35,'PP DS Query'!$C$1:$R$1005,14,FALSE),0)</f>
        <v>1650505.73</v>
      </c>
      <c r="O35" s="56">
        <f>IFERROR(VLOOKUP($A35,'PP DS Query'!$C$1:$R$1005,4,FALSE),0)</f>
        <v>-0.05</v>
      </c>
      <c r="P35" s="358">
        <f>-IFERROR(VLOOKUP($A35,'PP DS Query'!$C$1:$R$1005,15,FALSE),0)</f>
        <v>223590.68</v>
      </c>
      <c r="Q35" s="358">
        <f>IFERROR(VLOOKUP($A35,'PP DS Query'!$C$1:$R$1005,16,FALSE),0)</f>
        <v>1754312.06</v>
      </c>
      <c r="R35" s="48"/>
      <c r="S35" s="472">
        <f t="shared" ref="S35:S37" si="6">IFERROR(ROUND(LEFT(A35,7)*100,0),0)</f>
        <v>34536</v>
      </c>
      <c r="T35" s="472" t="s">
        <v>963</v>
      </c>
      <c r="U35" s="474">
        <f>IFERROR(VLOOKUP($S35,#REF!,7,FALSE),0)</f>
        <v>0</v>
      </c>
      <c r="V35" s="473">
        <f t="shared" ref="V35:V37" si="7">U35-F35</f>
        <v>-4471813.59</v>
      </c>
    </row>
    <row r="36" spans="1:22" ht="15.95" customHeight="1" x14ac:dyDescent="0.2">
      <c r="A36" s="49" t="s">
        <v>825</v>
      </c>
      <c r="B36" s="499">
        <f>IFERROR(VLOOKUP($A36,'PP DS Query'!$C$1:$R$1005,5,FALSE),0)</f>
        <v>2049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958294.48</v>
      </c>
      <c r="G36" s="523">
        <f>IFERROR(VLOOKUP($A36,'PP DS Query'!$C$1:$R$1005,7,FALSE),0)</f>
        <v>10.475381260000001</v>
      </c>
      <c r="H36" s="358">
        <f>IFERROR(VLOOKUP($A36,'PP DS Query'!$C$1:$R$1005,8,FALSE),0)</f>
        <v>10038500.039999999</v>
      </c>
      <c r="I36" s="523">
        <f>IFERROR(VLOOKUP($A36,'PP DS Query'!$C$1:$R$1005,9,FALSE),0)</f>
        <v>20</v>
      </c>
      <c r="J36" s="358">
        <f>IFERROR(VLOOKUP($A36,'PP DS Query'!$C$1:$R$1005,10,FALSE),0)</f>
        <v>19165889.600000001</v>
      </c>
      <c r="K36" s="523">
        <f>IFERROR(VLOOKUP($A36,'PP DS Query'!$C$1:$R$1005,11,FALSE),0)</f>
        <v>9.7919429999999998</v>
      </c>
      <c r="L36" s="358">
        <f>IFERROR(VLOOKUP($A36,'PP DS Query'!$C$1:$R$1005,12,FALSE),0)</f>
        <v>9383564.9299999997</v>
      </c>
      <c r="M36" s="19">
        <f>IFERROR(VLOOKUP($A36,'PP DS Query'!$C$1:$R$1005,13,FALSE),0)</f>
        <v>0.53592302000000003</v>
      </c>
      <c r="N36" s="358">
        <f>IFERROR(VLOOKUP($A36,'PP DS Query'!$C$1:$R$1005,14,FALSE),0)</f>
        <v>513572.07</v>
      </c>
      <c r="O36" s="56">
        <f>IFERROR(VLOOKUP($A36,'PP DS Query'!$C$1:$R$1005,4,FALSE),0)</f>
        <v>-0.05</v>
      </c>
      <c r="P36" s="358">
        <f>-IFERROR(VLOOKUP($A36,'PP DS Query'!$C$1:$R$1005,15,FALSE),0)</f>
        <v>47914.720000000001</v>
      </c>
      <c r="Q36" s="358">
        <f>IFERROR(VLOOKUP($A36,'PP DS Query'!$C$1:$R$1005,16,FALSE),0)</f>
        <v>545872.5</v>
      </c>
      <c r="R36" s="48"/>
      <c r="S36" s="472">
        <f t="shared" si="6"/>
        <v>34536</v>
      </c>
      <c r="T36" s="472" t="s">
        <v>964</v>
      </c>
      <c r="U36" s="474">
        <f>IFERROR(VLOOKUP($S36,#REF!,8,FALSE),0)</f>
        <v>0</v>
      </c>
      <c r="V36" s="473">
        <f t="shared" si="7"/>
        <v>-958294.48</v>
      </c>
    </row>
    <row r="37" spans="1:22" ht="15.95" customHeight="1" thickBot="1" x14ac:dyDescent="0.25">
      <c r="A37" s="397" t="s">
        <v>1141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34536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826</v>
      </c>
      <c r="B38" s="499">
        <f>IFERROR(VLOOKUP($A38,'PP DS Query'!$C$1:$R$1005,5,FALSE),0)</f>
        <v>2049</v>
      </c>
      <c r="C38" s="33"/>
      <c r="D38" s="34"/>
      <c r="E38" s="15"/>
      <c r="F38" s="443">
        <f>IFERROR(VLOOKUP($A38,'PP DS Query'!$C$1:$R$1005,6,FALSE),0)</f>
        <v>14209231.789999999</v>
      </c>
      <c r="G38" s="525">
        <f>IFERROR(VLOOKUP($A38,'PP DS Query'!$C$1:$R$1005,7,FALSE),0)</f>
        <v>10.49563914</v>
      </c>
      <c r="H38" s="443">
        <f>IFERROR(VLOOKUP($A38,'PP DS Query'!$C$1:$R$1005,8,FALSE),0)</f>
        <v>149134969.34</v>
      </c>
      <c r="I38" s="525">
        <f>IFERROR(VLOOKUP($A38,'PP DS Query'!$C$1:$R$1005,9,FALSE),0)</f>
        <v>35.504047900000003</v>
      </c>
      <c r="J38" s="443">
        <f>IFERROR(VLOOKUP($A38,'PP DS Query'!$C$1:$R$1005,10,FALSE),0)</f>
        <v>504485246.10000002</v>
      </c>
      <c r="K38" s="525">
        <f>IFERROR(VLOOKUP($A38,'PP DS Query'!$C$1:$R$1005,11,FALSE),0)</f>
        <v>25.009432109999999</v>
      </c>
      <c r="L38" s="443">
        <f>IFERROR(VLOOKUP($A38,'PP DS Query'!$C$1:$R$1005,12,FALSE),0)</f>
        <v>355364817.86000001</v>
      </c>
      <c r="M38" s="445">
        <f>IFERROR(VLOOKUP($A38,'PP DS Query'!$C$1:$R$1005,13,FALSE),0)</f>
        <v>0.32253823999999998</v>
      </c>
      <c r="N38" s="443">
        <f>IFERROR(VLOOKUP($A38,'PP DS Query'!$C$1:$R$1005,14,FALSE),0)</f>
        <v>4583020.68</v>
      </c>
      <c r="O38" s="446">
        <f>IFERROR(VLOOKUP($A38,'PP DS Query'!$C$1:$R$1005,4,FALSE),0)</f>
        <v>-0.05</v>
      </c>
      <c r="P38" s="443">
        <f>-IFERROR(VLOOKUP($A38,'PP DS Query'!$C$1:$R$1005,15,FALSE),0)</f>
        <v>710461.59</v>
      </c>
      <c r="Q38" s="443">
        <f>IFERROR(VLOOKUP($A38,'PP DS Query'!$C$1:$R$1005,16,FALSE),0)</f>
        <v>4871263.59</v>
      </c>
      <c r="R38" s="48"/>
      <c r="U38" s="473">
        <f>SUM(U34:U37)</f>
        <v>0</v>
      </c>
      <c r="V38" s="473">
        <f>SUM(V34:V37)</f>
        <v>-14209231.790000001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1261</v>
      </c>
      <c r="E40" s="360"/>
      <c r="G40" s="35"/>
      <c r="I40" s="35"/>
      <c r="K40" s="35"/>
      <c r="O40" s="59"/>
      <c r="P40" s="29"/>
      <c r="Q40" s="29"/>
      <c r="R40" s="48"/>
    </row>
    <row r="41" spans="1:22" ht="15.95" customHeight="1" x14ac:dyDescent="0.2">
      <c r="A41" s="49" t="s">
        <v>837</v>
      </c>
      <c r="B41" s="499">
        <f>IFERROR(VLOOKUP($A41,'PP DS Query'!$C$1:$R$1005,5,FALSE),0)</f>
        <v>2049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11736.48</v>
      </c>
      <c r="G41" s="523">
        <f>IFERROR(VLOOKUP($A41,'PP DS Query'!$C$1:$R$1005,7,FALSE),0)</f>
        <v>10.5</v>
      </c>
      <c r="H41" s="358">
        <f>IFERROR(VLOOKUP($A41,'PP DS Query'!$C$1:$R$1005,8,FALSE),0)</f>
        <v>123233.04</v>
      </c>
      <c r="I41" s="523">
        <f>IFERROR(VLOOKUP($A41,'PP DS Query'!$C$1:$R$1005,9,FALSE),0)</f>
        <v>40</v>
      </c>
      <c r="J41" s="358">
        <f>IFERROR(VLOOKUP($A41,'PP DS Query'!$C$1:$R$1005,10,FALSE),0)</f>
        <v>469459.20000000001</v>
      </c>
      <c r="K41" s="523">
        <f>IFERROR(VLOOKUP($A41,'PP DS Query'!$C$1:$R$1005,11,FALSE),0)</f>
        <v>29.5</v>
      </c>
      <c r="L41" s="358">
        <f>IFERROR(VLOOKUP($A41,'PP DS Query'!$C$1:$R$1005,12,FALSE),0)</f>
        <v>346226.16</v>
      </c>
      <c r="M41" s="19">
        <f>IFERROR(VLOOKUP($A41,'PP DS Query'!$C$1:$R$1005,13,FALSE),0)</f>
        <v>0.26774978999999999</v>
      </c>
      <c r="N41" s="358">
        <f>IFERROR(VLOOKUP($A41,'PP DS Query'!$C$1:$R$1005,14,FALSE),0)</f>
        <v>3142.44</v>
      </c>
      <c r="O41" s="56">
        <f>IFERROR(VLOOKUP($A41,'PP DS Query'!$C$1:$R$1005,4,FALSE),0)</f>
        <v>-0.02</v>
      </c>
      <c r="P41" s="358">
        <f>-IFERROR(VLOOKUP($A41,'PP DS Query'!$C$1:$R$1005,15,FALSE),0)</f>
        <v>234.73</v>
      </c>
      <c r="Q41" s="358">
        <f>IFERROR(VLOOKUP($A41,'PP DS Query'!$C$1:$R$1005,16,FALSE),0)</f>
        <v>4176.12</v>
      </c>
      <c r="R41" s="48"/>
      <c r="S41" s="472">
        <f>IFERROR(ROUND(LEFT(A41,7)*100,0),0)</f>
        <v>34636</v>
      </c>
      <c r="T41" s="472" t="s">
        <v>962</v>
      </c>
      <c r="U41" s="474">
        <f>IFERROR(VLOOKUP($S41,#REF!,6,FALSE),0)</f>
        <v>0</v>
      </c>
      <c r="V41" s="473">
        <f>U41-F41</f>
        <v>-11736.48</v>
      </c>
    </row>
    <row r="42" spans="1:22" ht="15.95" customHeight="1" x14ac:dyDescent="0.2">
      <c r="A42" s="49" t="s">
        <v>838</v>
      </c>
      <c r="B42" s="499">
        <f>IFERROR(VLOOKUP($A42,'PP DS Query'!$C$1:$R$1005,5,FALSE),0)</f>
        <v>0</v>
      </c>
      <c r="C42" s="33">
        <f>IFERROR(VLOOKUP($A42,'PP DS Query'!$C$1:$R$1005,3,FALSE),0)</f>
        <v>0</v>
      </c>
      <c r="D42" s="34" t="s">
        <v>22</v>
      </c>
      <c r="E42" s="360">
        <f>IFERROR(VLOOKUP($A42,'PP DS Query'!$C$1:$R$1005,2,FALSE),0)</f>
        <v>0</v>
      </c>
      <c r="F42" s="358">
        <f>IFERROR(VLOOKUP($A42,'PP DS Query'!$C$1:$R$1005,6,FALSE),0)</f>
        <v>0</v>
      </c>
      <c r="G42" s="523">
        <f>IFERROR(VLOOKUP($A42,'PP DS Query'!$C$1:$R$1005,7,FALSE),0)</f>
        <v>0</v>
      </c>
      <c r="H42" s="358">
        <f>IFERROR(VLOOKUP($A42,'PP DS Query'!$C$1:$R$1005,8,FALSE),0)</f>
        <v>0</v>
      </c>
      <c r="I42" s="523">
        <f>IFERROR(VLOOKUP($A42,'PP DS Query'!$C$1:$R$1005,9,FALSE),0)</f>
        <v>0</v>
      </c>
      <c r="J42" s="358">
        <f>IFERROR(VLOOKUP($A42,'PP DS Query'!$C$1:$R$1005,10,FALSE),0)</f>
        <v>0</v>
      </c>
      <c r="K42" s="523">
        <f>IFERROR(VLOOKUP($A42,'PP DS Query'!$C$1:$R$1005,11,FALSE),0)</f>
        <v>0</v>
      </c>
      <c r="L42" s="358">
        <f>IFERROR(VLOOKUP($A42,'PP DS Query'!$C$1:$R$1005,12,FALSE),0)</f>
        <v>0</v>
      </c>
      <c r="M42" s="19">
        <f>IFERROR(VLOOKUP($A42,'PP DS Query'!$C$1:$R$1005,13,FALSE),0)</f>
        <v>0</v>
      </c>
      <c r="N42" s="358">
        <f>IFERROR(VLOOKUP($A42,'PP DS Query'!$C$1:$R$1005,14,FALSE),0)</f>
        <v>0</v>
      </c>
      <c r="O42" s="56">
        <f>IFERROR(VLOOKUP($A42,'PP DS Query'!$C$1:$R$1005,4,FALSE),0)</f>
        <v>0</v>
      </c>
      <c r="P42" s="358">
        <f>-IFERROR(VLOOKUP($A42,'PP DS Query'!$C$1:$R$1005,15,FALSE),0)</f>
        <v>0</v>
      </c>
      <c r="Q42" s="358">
        <f>IFERROR(VLOOKUP($A42,'PP DS Query'!$C$1:$R$1005,16,FALSE),0)</f>
        <v>0</v>
      </c>
      <c r="R42" s="48"/>
      <c r="S42" s="472">
        <f t="shared" ref="S42:S44" si="8">IFERROR(ROUND(LEFT(A42,7)*100,0),0)</f>
        <v>34636</v>
      </c>
      <c r="T42" s="472" t="s">
        <v>963</v>
      </c>
      <c r="U42" s="474">
        <f>IFERROR(VLOOKUP($S42,#REF!,7,FALSE),0)</f>
        <v>0</v>
      </c>
      <c r="V42" s="473">
        <f t="shared" ref="V42:V44" si="9">U42-F42</f>
        <v>0</v>
      </c>
    </row>
    <row r="43" spans="1:22" ht="15.95" customHeight="1" x14ac:dyDescent="0.2">
      <c r="A43" s="396" t="s">
        <v>912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34636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1142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34636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839</v>
      </c>
      <c r="B45" s="499">
        <f>IFERROR(VLOOKUP($A45,'PP DS Query'!$C$1:$R$1005,5,FALSE),0)</f>
        <v>2049</v>
      </c>
      <c r="C45" s="33"/>
      <c r="D45" s="34"/>
      <c r="E45" s="15"/>
      <c r="F45" s="443">
        <f>IFERROR(VLOOKUP($A45,'PP DS Query'!$C$1:$R$1005,6,FALSE),0)</f>
        <v>11736.48</v>
      </c>
      <c r="G45" s="525">
        <f>IFERROR(VLOOKUP($A45,'PP DS Query'!$C$1:$R$1005,7,FALSE),0)</f>
        <v>10.5</v>
      </c>
      <c r="H45" s="443">
        <f>IFERROR(VLOOKUP($A45,'PP DS Query'!$C$1:$R$1005,8,FALSE),0)</f>
        <v>123233.04</v>
      </c>
      <c r="I45" s="525">
        <f>IFERROR(VLOOKUP($A45,'PP DS Query'!$C$1:$R$1005,9,FALSE),0)</f>
        <v>40</v>
      </c>
      <c r="J45" s="443">
        <f>IFERROR(VLOOKUP($A45,'PP DS Query'!$C$1:$R$1005,10,FALSE),0)</f>
        <v>469459.20000000001</v>
      </c>
      <c r="K45" s="525">
        <f>IFERROR(VLOOKUP($A45,'PP DS Query'!$C$1:$R$1005,11,FALSE),0)</f>
        <v>29.5</v>
      </c>
      <c r="L45" s="443">
        <f>IFERROR(VLOOKUP($A45,'PP DS Query'!$C$1:$R$1005,12,FALSE),0)</f>
        <v>346226.16</v>
      </c>
      <c r="M45" s="445">
        <f>IFERROR(VLOOKUP($A45,'PP DS Query'!$C$1:$R$1005,13,FALSE),0)</f>
        <v>0.26774978999999999</v>
      </c>
      <c r="N45" s="443">
        <f>IFERROR(VLOOKUP($A45,'PP DS Query'!$C$1:$R$1005,14,FALSE),0)</f>
        <v>3142.44</v>
      </c>
      <c r="O45" s="446">
        <f>IFERROR(VLOOKUP($A45,'PP DS Query'!$C$1:$R$1005,4,FALSE),0)</f>
        <v>-0.02</v>
      </c>
      <c r="P45" s="443">
        <f>-IFERROR(VLOOKUP($A45,'PP DS Query'!$C$1:$R$1005,15,FALSE),0)</f>
        <v>234.73</v>
      </c>
      <c r="Q45" s="443">
        <f>IFERROR(VLOOKUP($A45,'PP DS Query'!$C$1:$R$1005,16,FALSE),0)</f>
        <v>4176.12</v>
      </c>
      <c r="R45" s="48"/>
      <c r="U45" s="473">
        <f>SUM(U41:U44)</f>
        <v>0</v>
      </c>
      <c r="V45" s="473">
        <f>SUM(V41:V44)</f>
        <v>-11736.48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CT Unit #6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15892095.420000002</v>
      </c>
      <c r="G49" s="523">
        <f>IF($F49=0,0,H49/$F49)</f>
        <v>10.388815128949179</v>
      </c>
      <c r="H49" s="358">
        <f>H13+H20+H27+H34+H41</f>
        <v>165100041.32999998</v>
      </c>
      <c r="I49" s="523">
        <f>IF($F49=0,0,J49/$F49)</f>
        <v>39.867584820353414</v>
      </c>
      <c r="J49" s="358">
        <f>J13+J20+J27+J34+J41</f>
        <v>633579462.13000011</v>
      </c>
      <c r="K49" s="523">
        <f>IF($F49=0,0,L49/$F49)</f>
        <v>29.500000000629242</v>
      </c>
      <c r="L49" s="358">
        <f>L13+L20+L27+L34+L41</f>
        <v>468816814.90000004</v>
      </c>
      <c r="M49" s="19">
        <f>IF($F49=0,0,N49/$F49)</f>
        <v>0.272836883709071</v>
      </c>
      <c r="N49" s="358">
        <f>N13+N20+N27+N34+N41</f>
        <v>4335949.79</v>
      </c>
      <c r="O49" s="56">
        <f>-IF($F49=0,0,P49/$F49)</f>
        <v>-4.9629717740519323E-2</v>
      </c>
      <c r="P49" s="358">
        <f t="shared" ref="P49:Q52" si="10">P13+P20+P27+P34+P41</f>
        <v>788720.21</v>
      </c>
      <c r="Q49" s="358">
        <f t="shared" si="10"/>
        <v>4403424.53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17713109.75</v>
      </c>
      <c r="G50" s="523">
        <f>IF($F50=0,0,H50/$F50)</f>
        <v>10.461209224427687</v>
      </c>
      <c r="H50" s="358">
        <f>H14+H21+H28+H35+H42</f>
        <v>185300547.11000001</v>
      </c>
      <c r="I50" s="523">
        <f>IF($F50=0,0,J50/$F50)</f>
        <v>29.999906074087303</v>
      </c>
      <c r="J50" s="358">
        <f>J14+J21+J28+J35+J42</f>
        <v>531391628.78000003</v>
      </c>
      <c r="K50" s="523">
        <f>IF($F50=0,0,L50/$F50)</f>
        <v>19.490636930085071</v>
      </c>
      <c r="L50" s="358">
        <f>L14+L21+L28+L35+L42</f>
        <v>345239791.03999996</v>
      </c>
      <c r="M50" s="19">
        <f>IF($F50=0,0,N50/$F50)</f>
        <v>0.37296452024749638</v>
      </c>
      <c r="N50" s="358">
        <f>N14+N21+N28+N35+N42</f>
        <v>6606361.4800000004</v>
      </c>
      <c r="O50" s="56">
        <f>-IF($F50=0,0,P50/$F50)</f>
        <v>-6.4686438811231331E-2</v>
      </c>
      <c r="P50" s="358">
        <f t="shared" si="10"/>
        <v>1145797.99</v>
      </c>
      <c r="Q50" s="358">
        <f t="shared" si="10"/>
        <v>8656788.7999999989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442" t="s">
        <v>407</v>
      </c>
      <c r="F51" s="358">
        <f>F15+F22+F29+F36+F43</f>
        <v>2276639.79</v>
      </c>
      <c r="G51" s="523">
        <f>IF($F51=0,0,H51/$F51)</f>
        <v>10.329000241184398</v>
      </c>
      <c r="H51" s="358">
        <f>H15+H22+H29+H36+H43</f>
        <v>23515412.939999998</v>
      </c>
      <c r="I51" s="523">
        <f>IF($F51=0,0,J51/$F51)</f>
        <v>20</v>
      </c>
      <c r="J51" s="358">
        <f>J15+J22+J29+J36+J43</f>
        <v>45532795.799999997</v>
      </c>
      <c r="K51" s="523">
        <f>IF($F51=0,0,L51/$F51)</f>
        <v>9.9324453650175357</v>
      </c>
      <c r="L51" s="358">
        <f>L15+L22+L29+L36+L43</f>
        <v>22612600.329999998</v>
      </c>
      <c r="M51" s="19">
        <f>IF($F51=0,0,N51/$F51)</f>
        <v>0.53187406515459346</v>
      </c>
      <c r="N51" s="358">
        <f>N15+N22+N29+N36+N43</f>
        <v>1210885.6599999999</v>
      </c>
      <c r="O51" s="56">
        <f>-IF($F51=0,0,P51/$F51)</f>
        <v>-5.6610769330355942E-2</v>
      </c>
      <c r="P51" s="358">
        <f t="shared" si="10"/>
        <v>128882.33</v>
      </c>
      <c r="Q51" s="358">
        <f t="shared" si="10"/>
        <v>1307960.96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441" t="s">
        <v>359</v>
      </c>
      <c r="F52" s="250">
        <f>F16+F23+F30+F37+F44</f>
        <v>11563.2</v>
      </c>
      <c r="G52" s="524">
        <f>IF($F52=0,0,H52/$F52)</f>
        <v>0.5</v>
      </c>
      <c r="H52" s="250">
        <f>H16+H23+H30+H37+H44</f>
        <v>5781.6</v>
      </c>
      <c r="I52" s="524">
        <f>IF($F52=0,0,J52/$F52)</f>
        <v>11.999999999999998</v>
      </c>
      <c r="J52" s="250">
        <f>J16+J23+J30+J37+J44</f>
        <v>138758.39999999999</v>
      </c>
      <c r="K52" s="524">
        <f>IF($F52=0,0,L52/$F52)</f>
        <v>11.499999999999998</v>
      </c>
      <c r="L52" s="250">
        <f>L16+L23+L30+L37+L44</f>
        <v>132976.79999999999</v>
      </c>
      <c r="M52" s="21">
        <f>IF($F52=0,0,N52/$F52)</f>
        <v>4.4583679258336791E-2</v>
      </c>
      <c r="N52" s="250">
        <f>N16+N23+N30+N37+N44</f>
        <v>515.53</v>
      </c>
      <c r="O52" s="57">
        <f>-IF($F52=0,0,P52/$F52)</f>
        <v>-6.9999654074996531E-2</v>
      </c>
      <c r="P52" s="250">
        <f t="shared" si="10"/>
        <v>809.42</v>
      </c>
      <c r="Q52" s="250">
        <f t="shared" si="10"/>
        <v>721.41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35893408.160000004</v>
      </c>
      <c r="G53" s="525">
        <f>IF($F53=0,0,H53/$F53)</f>
        <v>10.417561389355676</v>
      </c>
      <c r="H53" s="443">
        <f>SUM(H49:H52)</f>
        <v>373921782.98000002</v>
      </c>
      <c r="I53" s="525">
        <f>IF($F53=0,0,J53/$F53)</f>
        <v>33.728829530853893</v>
      </c>
      <c r="J53" s="443">
        <f>SUM(J49:J52)</f>
        <v>1210642645.1100001</v>
      </c>
      <c r="K53" s="525">
        <f>IF($F53=0,0,L53/$F53)</f>
        <v>23.313533764746847</v>
      </c>
      <c r="L53" s="443">
        <f>SUM(L49:L52)</f>
        <v>836802183.07000005</v>
      </c>
      <c r="M53" s="445">
        <f>IF($F53=0,0,N53/$F53)</f>
        <v>0.33860569622764958</v>
      </c>
      <c r="N53" s="443">
        <f>SUM(N49:N52)</f>
        <v>12153712.459999999</v>
      </c>
      <c r="O53" s="446">
        <f>-IF($F53=0,0,P53/$F53)</f>
        <v>-5.7509444096210886E-2</v>
      </c>
      <c r="P53" s="443">
        <f>SUM(P49:P52)</f>
        <v>2064209.95</v>
      </c>
      <c r="Q53" s="443">
        <f>SUM(Q49:Q52)</f>
        <v>14368895.699999999</v>
      </c>
      <c r="R53" s="48"/>
    </row>
    <row r="54" spans="1:18" x14ac:dyDescent="0.2">
      <c r="A54" s="49"/>
      <c r="B54" s="49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34136</v>
      </c>
      <c r="F56" s="352">
        <f>IFERROR(VLOOKUP(E56,'2019 B-7'!C:P,14,FALSE),0)</f>
        <v>2656231.54</v>
      </c>
      <c r="G56" s="353">
        <f>F56-F17</f>
        <v>0</v>
      </c>
      <c r="P56" s="260">
        <f>E56</f>
        <v>34136</v>
      </c>
      <c r="Q56" s="352">
        <f>IFERROR(VLOOKUP(P56,'2019 B-9'!C:R,16,FALSE),0)</f>
        <v>309934.16000000021</v>
      </c>
      <c r="R56" s="353">
        <f>Q56-Q17</f>
        <v>0</v>
      </c>
    </row>
    <row r="57" spans="1:18" x14ac:dyDescent="0.2">
      <c r="E57" s="260">
        <v>34236</v>
      </c>
      <c r="F57" s="352">
        <f>IFERROR(VLOOKUP(E57,'2019 B-7'!C:P,14,FALSE),0)</f>
        <v>1537279.06</v>
      </c>
      <c r="G57" s="353">
        <f>F57-F24</f>
        <v>0</v>
      </c>
      <c r="P57" s="260">
        <f t="shared" ref="P57:P60" si="11">E57</f>
        <v>34236</v>
      </c>
      <c r="Q57" s="352">
        <f>IFERROR(VLOOKUP(P57,'2019 B-9'!C:R,16,FALSE),0)</f>
        <v>365568.73999999976</v>
      </c>
      <c r="R57" s="353">
        <f>Q57-Q24</f>
        <v>0</v>
      </c>
    </row>
    <row r="58" spans="1:18" x14ac:dyDescent="0.2">
      <c r="E58" s="260">
        <v>34336</v>
      </c>
      <c r="F58" s="352">
        <f>IFERROR(VLOOKUP(E58,'2019 B-7'!C:P,14,FALSE),0)</f>
        <v>17478929.289999999</v>
      </c>
      <c r="G58" s="353">
        <f>F58-F31</f>
        <v>0</v>
      </c>
      <c r="P58" s="260">
        <f t="shared" si="11"/>
        <v>34336</v>
      </c>
      <c r="Q58" s="352">
        <f>IFERROR(VLOOKUP(P58,'2019 B-9'!C:R,16,FALSE),0)</f>
        <v>8817953.089999998</v>
      </c>
      <c r="R58" s="353">
        <f>Q58-Q31</f>
        <v>0</v>
      </c>
    </row>
    <row r="59" spans="1:18" x14ac:dyDescent="0.2">
      <c r="E59" s="260">
        <v>34536</v>
      </c>
      <c r="F59" s="352">
        <f>IFERROR(VLOOKUP(E59,'2019 B-7'!C:P,14,FALSE),0)</f>
        <v>14209231.789999999</v>
      </c>
      <c r="G59" s="353">
        <f>F59-F38</f>
        <v>0</v>
      </c>
      <c r="P59" s="260">
        <f t="shared" si="11"/>
        <v>34536</v>
      </c>
      <c r="Q59" s="352">
        <f>IFERROR(VLOOKUP(P59,'2019 B-9'!C:R,16,FALSE),0)</f>
        <v>4871263.59</v>
      </c>
      <c r="R59" s="353">
        <f>Q59-Q38</f>
        <v>0</v>
      </c>
    </row>
    <row r="60" spans="1:18" x14ac:dyDescent="0.2">
      <c r="E60" s="260">
        <v>34636</v>
      </c>
      <c r="F60" s="352">
        <f>IFERROR(VLOOKUP(E60,'2019 B-7'!C:P,14,FALSE),0)</f>
        <v>11736.48</v>
      </c>
      <c r="G60" s="353">
        <f>F60-F45</f>
        <v>0</v>
      </c>
      <c r="P60" s="260">
        <f t="shared" si="11"/>
        <v>34636</v>
      </c>
      <c r="Q60" s="352">
        <f>IFERROR(VLOOKUP(P60,'2019 B-9'!C:R,16,FALSE),0)</f>
        <v>4176.1199999999926</v>
      </c>
      <c r="R60" s="353">
        <f>Q60-Q45</f>
        <v>-7.2759576141834259E-12</v>
      </c>
    </row>
    <row r="61" spans="1:18" ht="13.5" thickBot="1" x14ac:dyDescent="0.25">
      <c r="E61" s="349" t="s">
        <v>40</v>
      </c>
      <c r="F61" s="354">
        <f>SUM(F56:F60)</f>
        <v>35893408.159999996</v>
      </c>
      <c r="G61" s="354">
        <f>SUM(G56:G60)</f>
        <v>0</v>
      </c>
      <c r="P61" s="349" t="s">
        <v>40</v>
      </c>
      <c r="Q61" s="354">
        <f>SUM(Q56:Q60)</f>
        <v>14368895.699999997</v>
      </c>
      <c r="R61" s="354">
        <f>SUM(R56:R60)</f>
        <v>-7.2759576141834259E-12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-7.2759576141834259E-12</v>
      </c>
    </row>
    <row r="63" spans="1:18" x14ac:dyDescent="0.2">
      <c r="E63" s="50"/>
      <c r="G63" s="18"/>
    </row>
    <row r="64" spans="1:18" x14ac:dyDescent="0.2">
      <c r="E64" s="50"/>
      <c r="G64" s="18"/>
    </row>
    <row r="65" spans="5:7" x14ac:dyDescent="0.2">
      <c r="E65" s="50"/>
      <c r="G65" s="18"/>
    </row>
    <row r="66" spans="5:7" x14ac:dyDescent="0.2">
      <c r="E66" s="50"/>
      <c r="G66" s="18"/>
    </row>
    <row r="67" spans="5:7" x14ac:dyDescent="0.2">
      <c r="E67" s="50"/>
      <c r="G67" s="29"/>
    </row>
    <row r="68" spans="5:7" x14ac:dyDescent="0.2">
      <c r="E68" s="50"/>
    </row>
    <row r="69" spans="5:7" x14ac:dyDescent="0.2">
      <c r="E69" s="50"/>
    </row>
    <row r="70" spans="5:7" x14ac:dyDescent="0.2">
      <c r="E70" s="50"/>
    </row>
    <row r="71" spans="5:7" x14ac:dyDescent="0.2">
      <c r="E71" s="50"/>
    </row>
    <row r="72" spans="5:7" x14ac:dyDescent="0.2">
      <c r="E72" s="50"/>
    </row>
    <row r="73" spans="5:7" x14ac:dyDescent="0.2">
      <c r="E73" s="50"/>
    </row>
  </sheetData>
  <phoneticPr fontId="31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8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4.28515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31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2047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308"/>
      <c r="B12" s="308"/>
      <c r="C12" s="14" t="s">
        <v>1262</v>
      </c>
      <c r="E12" s="50"/>
      <c r="P12" s="18"/>
      <c r="Q12" s="18"/>
      <c r="R12" s="48"/>
    </row>
    <row r="13" spans="1:22" ht="15.95" customHeight="1" x14ac:dyDescent="0.2">
      <c r="A13" s="49" t="s">
        <v>634</v>
      </c>
      <c r="B13" s="499">
        <f>IFERROR(VLOOKUP($A13,'PP DS Query'!$C$1:$R$1005,5,FALSE),0)</f>
        <v>2047</v>
      </c>
      <c r="C13" s="33">
        <f>IFERROR(VLOOKUP($A13,'PP DS Query'!$C$1:$R$1005,3,FALSE),0)</f>
        <v>51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161994230.56</v>
      </c>
      <c r="G13" s="523">
        <f>IFERROR(VLOOKUP($A13,'PP DS Query'!$C$1:$R$1005,7,FALSE),0)</f>
        <v>10.87378133</v>
      </c>
      <c r="H13" s="358">
        <f>IFERROR(VLOOKUP($A13,'PP DS Query'!$C$1:$R$1005,8,FALSE),0)</f>
        <v>1761489840.3399999</v>
      </c>
      <c r="I13" s="523">
        <f>IFERROR(VLOOKUP($A13,'PP DS Query'!$C$1:$R$1005,9,FALSE),0)</f>
        <v>36.26</v>
      </c>
      <c r="J13" s="358">
        <f>IFERROR(VLOOKUP($A13,'PP DS Query'!$C$1:$R$1005,10,FALSE),0)</f>
        <v>5873910800.1099997</v>
      </c>
      <c r="K13" s="523">
        <f>IFERROR(VLOOKUP($A13,'PP DS Query'!$C$1:$R$1005,11,FALSE),0)</f>
        <v>27.5</v>
      </c>
      <c r="L13" s="358">
        <f>IFERROR(VLOOKUP($A13,'PP DS Query'!$C$1:$R$1005,12,FALSE),0)</f>
        <v>4454841340.3999996</v>
      </c>
      <c r="M13" s="19">
        <f>IFERROR(VLOOKUP($A13,'PP DS Query'!$C$1:$R$1005,13,FALSE),0)</f>
        <v>0.24648892999999999</v>
      </c>
      <c r="N13" s="358">
        <f>IFERROR(VLOOKUP($A13,'PP DS Query'!$C$1:$R$1005,14,FALSE),0)</f>
        <v>39929784.399999999</v>
      </c>
      <c r="O13" s="56">
        <f>IFERROR(VLOOKUP($A13,'PP DS Query'!$C$1:$R$1005,4,FALSE),0)</f>
        <v>-0.02</v>
      </c>
      <c r="P13" s="358">
        <f>-IFERROR(VLOOKUP($A13,'PP DS Query'!$C$1:$R$1005,15,FALSE),0)</f>
        <v>3239884.61</v>
      </c>
      <c r="Q13" s="358">
        <f>IFERROR(VLOOKUP($A13,'PP DS Query'!$C$1:$R$1005,16,FALSE),0)</f>
        <v>35759518.68</v>
      </c>
      <c r="R13" s="48"/>
      <c r="S13" s="472">
        <f>IFERROR(ROUND(LEFT(A13,7)*100,0),0)</f>
        <v>34180</v>
      </c>
      <c r="T13" s="472" t="s">
        <v>962</v>
      </c>
      <c r="U13" s="474">
        <f>IFERROR(VLOOKUP($S13,#REF!,6,FALSE),0)</f>
        <v>0</v>
      </c>
      <c r="V13" s="473">
        <f>U13-F13</f>
        <v>-161994230.56</v>
      </c>
    </row>
    <row r="14" spans="1:22" ht="15.95" customHeight="1" x14ac:dyDescent="0.2">
      <c r="A14" s="49" t="s">
        <v>635</v>
      </c>
      <c r="B14" s="499">
        <f>IFERROR(VLOOKUP($A14,'PP DS Query'!$C$1:$R$1005,5,FALSE),0)</f>
        <v>2047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18349188.609999999</v>
      </c>
      <c r="G14" s="523">
        <f>IFERROR(VLOOKUP($A14,'PP DS Query'!$C$1:$R$1005,7,FALSE),0)</f>
        <v>6.0987816300000004</v>
      </c>
      <c r="H14" s="358">
        <f>IFERROR(VLOOKUP($A14,'PP DS Query'!$C$1:$R$1005,8,FALSE),0)</f>
        <v>111907694.44</v>
      </c>
      <c r="I14" s="523">
        <f>IFERROR(VLOOKUP($A14,'PP DS Query'!$C$1:$R$1005,9,FALSE),0)</f>
        <v>28.79</v>
      </c>
      <c r="J14" s="358">
        <f>IFERROR(VLOOKUP($A14,'PP DS Query'!$C$1:$R$1005,10,FALSE),0)</f>
        <v>528273140.07999998</v>
      </c>
      <c r="K14" s="523">
        <f>IFERROR(VLOOKUP($A14,'PP DS Query'!$C$1:$R$1005,11,FALSE),0)</f>
        <v>22.697454</v>
      </c>
      <c r="L14" s="358">
        <f>IFERROR(VLOOKUP($A14,'PP DS Query'!$C$1:$R$1005,12,FALSE),0)</f>
        <v>416479864.41000003</v>
      </c>
      <c r="M14" s="19">
        <f>IFERROR(VLOOKUP($A14,'PP DS Query'!$C$1:$R$1005,13,FALSE),0)</f>
        <v>0.21582190000000001</v>
      </c>
      <c r="N14" s="358">
        <f>IFERROR(VLOOKUP($A14,'PP DS Query'!$C$1:$R$1005,14,FALSE),0)</f>
        <v>3960156.75</v>
      </c>
      <c r="O14" s="56">
        <f>IFERROR(VLOOKUP($A14,'PP DS Query'!$C$1:$R$1005,4,FALSE),0)</f>
        <v>-0.02</v>
      </c>
      <c r="P14" s="358">
        <f>-IFERROR(VLOOKUP($A14,'PP DS Query'!$C$1:$R$1005,15,FALSE),0)</f>
        <v>366983.77</v>
      </c>
      <c r="Q14" s="358">
        <f>IFERROR(VLOOKUP($A14,'PP DS Query'!$C$1:$R$1005,16,FALSE),0)</f>
        <v>3546558.07</v>
      </c>
      <c r="R14" s="48"/>
      <c r="S14" s="472">
        <f t="shared" ref="S14:S16" si="0">IFERROR(ROUND(LEFT(A14,7)*100,0),0)</f>
        <v>34180</v>
      </c>
      <c r="T14" s="472" t="s">
        <v>963</v>
      </c>
      <c r="U14" s="474">
        <f>IFERROR(VLOOKUP($S14,#REF!,7,FALSE),0)</f>
        <v>0</v>
      </c>
      <c r="V14" s="473">
        <f t="shared" ref="V14:V16" si="1">U14-F14</f>
        <v>-18349188.609999999</v>
      </c>
    </row>
    <row r="15" spans="1:22" ht="15.95" customHeight="1" x14ac:dyDescent="0.2">
      <c r="A15" s="49" t="s">
        <v>636</v>
      </c>
      <c r="B15" s="499">
        <f>IFERROR(VLOOKUP($A15,'PP DS Query'!$C$1:$R$1005,5,FALSE),0)</f>
        <v>2047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9758248.4199999999</v>
      </c>
      <c r="G15" s="523">
        <f>IFERROR(VLOOKUP($A15,'PP DS Query'!$C$1:$R$1005,7,FALSE),0)</f>
        <v>5.4155669299999998</v>
      </c>
      <c r="H15" s="358">
        <f>IFERROR(VLOOKUP($A15,'PP DS Query'!$C$1:$R$1005,8,FALSE),0)</f>
        <v>52846447.43</v>
      </c>
      <c r="I15" s="523">
        <f>IFERROR(VLOOKUP($A15,'PP DS Query'!$C$1:$R$1005,9,FALSE),0)</f>
        <v>20</v>
      </c>
      <c r="J15" s="358">
        <f>IFERROR(VLOOKUP($A15,'PP DS Query'!$C$1:$R$1005,10,FALSE),0)</f>
        <v>195164968.40000001</v>
      </c>
      <c r="K15" s="523">
        <f>IFERROR(VLOOKUP($A15,'PP DS Query'!$C$1:$R$1005,11,FALSE),0)</f>
        <v>14.905073</v>
      </c>
      <c r="L15" s="358">
        <f>IFERROR(VLOOKUP($A15,'PP DS Query'!$C$1:$R$1005,12,FALSE),0)</f>
        <v>145447405.05000001</v>
      </c>
      <c r="M15" s="19">
        <f>IFERROR(VLOOKUP($A15,'PP DS Query'!$C$1:$R$1005,13,FALSE),0)</f>
        <v>0.25984129</v>
      </c>
      <c r="N15" s="358">
        <f>IFERROR(VLOOKUP($A15,'PP DS Query'!$C$1:$R$1005,14,FALSE),0)</f>
        <v>2535595.8199999998</v>
      </c>
      <c r="O15" s="56">
        <f>IFERROR(VLOOKUP($A15,'PP DS Query'!$C$1:$R$1005,4,FALSE),0)</f>
        <v>-0.02</v>
      </c>
      <c r="P15" s="358">
        <f>-IFERROR(VLOOKUP($A15,'PP DS Query'!$C$1:$R$1005,15,FALSE),0)</f>
        <v>195164.97</v>
      </c>
      <c r="Q15" s="358">
        <f>IFERROR(VLOOKUP($A15,'PP DS Query'!$C$1:$R$1005,16,FALSE),0)</f>
        <v>2270778.2599999998</v>
      </c>
      <c r="R15" s="48"/>
      <c r="S15" s="472">
        <f t="shared" si="0"/>
        <v>34180</v>
      </c>
      <c r="T15" s="472" t="s">
        <v>964</v>
      </c>
      <c r="U15" s="474">
        <f>IFERROR(VLOOKUP($S15,#REF!,8,FALSE),0)</f>
        <v>0</v>
      </c>
      <c r="V15" s="473">
        <f t="shared" si="1"/>
        <v>-9758248.4199999999</v>
      </c>
    </row>
    <row r="16" spans="1:22" ht="15.95" customHeight="1" thickBot="1" x14ac:dyDescent="0.25">
      <c r="A16" s="396" t="s">
        <v>905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34180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637</v>
      </c>
      <c r="B17" s="499">
        <f>IFERROR(VLOOKUP($A17,'PP DS Query'!$C$1:$R$1005,5,FALSE),0)</f>
        <v>2047</v>
      </c>
      <c r="C17" s="33"/>
      <c r="D17" s="34"/>
      <c r="E17" s="15"/>
      <c r="F17" s="443">
        <f>IFERROR(VLOOKUP($A17,'PP DS Query'!$C$1:$R$1005,6,FALSE),0)</f>
        <v>190101667.59</v>
      </c>
      <c r="G17" s="525">
        <f>IFERROR(VLOOKUP($A17,'PP DS Query'!$C$1:$R$1005,7,FALSE),0)</f>
        <v>10.13270429</v>
      </c>
      <c r="H17" s="443">
        <f>IFERROR(VLOOKUP($A17,'PP DS Query'!$C$1:$R$1005,8,FALSE),0)</f>
        <v>1926243982.2</v>
      </c>
      <c r="I17" s="525">
        <f>IFERROR(VLOOKUP($A17,'PP DS Query'!$C$1:$R$1005,9,FALSE),0)</f>
        <v>34.704318970000003</v>
      </c>
      <c r="J17" s="443">
        <f>IFERROR(VLOOKUP($A17,'PP DS Query'!$C$1:$R$1005,10,FALSE),0)</f>
        <v>6597348908.5900002</v>
      </c>
      <c r="K17" s="525">
        <f>IFERROR(VLOOKUP($A17,'PP DS Query'!$C$1:$R$1005,11,FALSE),0)</f>
        <v>26.389924260000001</v>
      </c>
      <c r="L17" s="443">
        <f>IFERROR(VLOOKUP($A17,'PP DS Query'!$C$1:$R$1005,12,FALSE),0)</f>
        <v>5016768609.8699999</v>
      </c>
      <c r="M17" s="445">
        <f>IFERROR(VLOOKUP($A17,'PP DS Query'!$C$1:$R$1005,13,FALSE),0)</f>
        <v>0.24421424999999999</v>
      </c>
      <c r="N17" s="443">
        <f>IFERROR(VLOOKUP($A17,'PP DS Query'!$C$1:$R$1005,14,FALSE),0)</f>
        <v>46425536.969999999</v>
      </c>
      <c r="O17" s="446">
        <f>IFERROR(VLOOKUP($A17,'PP DS Query'!$C$1:$R$1005,4,FALSE),0)</f>
        <v>-0.02</v>
      </c>
      <c r="P17" s="443">
        <f>-IFERROR(VLOOKUP($A17,'PP DS Query'!$C$1:$R$1005,15,FALSE),0)</f>
        <v>3802033.35</v>
      </c>
      <c r="Q17" s="443">
        <f>IFERROR(VLOOKUP($A17,'PP DS Query'!$C$1:$R$1005,16,FALSE),0)</f>
        <v>41576855.009999998</v>
      </c>
      <c r="R17" s="48"/>
      <c r="U17" s="473">
        <f>SUM(U13:U16)</f>
        <v>0</v>
      </c>
      <c r="V17" s="473">
        <f>SUM(V13:V16)</f>
        <v>-190101667.59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308"/>
      <c r="B19" s="308"/>
      <c r="C19" s="24" t="s">
        <v>1263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643</v>
      </c>
      <c r="B20" s="499">
        <f>IFERROR(VLOOKUP($A20,'PP DS Query'!$C$1:$R$1005,5,FALSE),0)</f>
        <v>2047</v>
      </c>
      <c r="C20" s="33">
        <f>IFERROR(VLOOKUP($A20,'PP DS Query'!$C$1:$R$1005,3,FALSE),0)</f>
        <v>51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5740260.7800000003</v>
      </c>
      <c r="G20" s="523">
        <f>IFERROR(VLOOKUP($A20,'PP DS Query'!$C$1:$R$1005,7,FALSE),0)</f>
        <v>8.8928463000000004</v>
      </c>
      <c r="H20" s="358">
        <f>IFERROR(VLOOKUP($A20,'PP DS Query'!$C$1:$R$1005,8,FALSE),0)</f>
        <v>51047256.829999998</v>
      </c>
      <c r="I20" s="523">
        <f>IFERROR(VLOOKUP($A20,'PP DS Query'!$C$1:$R$1005,9,FALSE),0)</f>
        <v>34.880000000000003</v>
      </c>
      <c r="J20" s="358">
        <f>IFERROR(VLOOKUP($A20,'PP DS Query'!$C$1:$R$1005,10,FALSE),0)</f>
        <v>200220296.00999999</v>
      </c>
      <c r="K20" s="523">
        <f>IFERROR(VLOOKUP($A20,'PP DS Query'!$C$1:$R$1005,11,FALSE),0)</f>
        <v>27.5</v>
      </c>
      <c r="L20" s="358">
        <f>IFERROR(VLOOKUP($A20,'PP DS Query'!$C$1:$R$1005,12,FALSE),0)</f>
        <v>157857171.44999999</v>
      </c>
      <c r="M20" s="19">
        <f>IFERROR(VLOOKUP($A20,'PP DS Query'!$C$1:$R$1005,13,FALSE),0)</f>
        <v>0.22211468000000001</v>
      </c>
      <c r="N20" s="358">
        <f>IFERROR(VLOOKUP($A20,'PP DS Query'!$C$1:$R$1005,14,FALSE),0)</f>
        <v>1274996.19</v>
      </c>
      <c r="O20" s="56">
        <f>IFERROR(VLOOKUP($A20,'PP DS Query'!$C$1:$R$1005,4,FALSE),0)</f>
        <v>-0.05</v>
      </c>
      <c r="P20" s="358">
        <f>-IFERROR(VLOOKUP($A20,'PP DS Query'!$C$1:$R$1005,15,FALSE),0)</f>
        <v>287013.03999999998</v>
      </c>
      <c r="Q20" s="358">
        <f>IFERROR(VLOOKUP($A20,'PP DS Query'!$C$1:$R$1005,16,FALSE),0)</f>
        <v>1659770.44</v>
      </c>
      <c r="R20" s="48"/>
      <c r="S20" s="472">
        <f>IFERROR(ROUND(LEFT(A20,7)*100,0),0)</f>
        <v>34280</v>
      </c>
      <c r="T20" s="472" t="s">
        <v>962</v>
      </c>
      <c r="U20" s="474">
        <f>IFERROR(VLOOKUP($S20,#REF!,6,FALSE),0)</f>
        <v>0</v>
      </c>
      <c r="V20" s="473">
        <f>U20-F20</f>
        <v>-5740260.7800000003</v>
      </c>
    </row>
    <row r="21" spans="1:22" ht="15.95" customHeight="1" x14ac:dyDescent="0.2">
      <c r="A21" s="49" t="s">
        <v>644</v>
      </c>
      <c r="B21" s="499">
        <f>IFERROR(VLOOKUP($A21,'PP DS Query'!$C$1:$R$1005,5,FALSE),0)</f>
        <v>2047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2603809.9300000002</v>
      </c>
      <c r="G21" s="523">
        <f>IFERROR(VLOOKUP($A21,'PP DS Query'!$C$1:$R$1005,7,FALSE),0)</f>
        <v>5.9271130200000002</v>
      </c>
      <c r="H21" s="358">
        <f>IFERROR(VLOOKUP($A21,'PP DS Query'!$C$1:$R$1005,8,FALSE),0)</f>
        <v>15433075.74</v>
      </c>
      <c r="I21" s="523">
        <f>IFERROR(VLOOKUP($A21,'PP DS Query'!$C$1:$R$1005,9,FALSE),0)</f>
        <v>29.06</v>
      </c>
      <c r="J21" s="358">
        <f>IFERROR(VLOOKUP($A21,'PP DS Query'!$C$1:$R$1005,10,FALSE),0)</f>
        <v>75666716.569999993</v>
      </c>
      <c r="K21" s="523">
        <f>IFERROR(VLOOKUP($A21,'PP DS Query'!$C$1:$R$1005,11,FALSE),0)</f>
        <v>22.998905000000001</v>
      </c>
      <c r="L21" s="358">
        <f>IFERROR(VLOOKUP($A21,'PP DS Query'!$C$1:$R$1005,12,FALSE),0)</f>
        <v>59884777.219999999</v>
      </c>
      <c r="M21" s="19">
        <f>IFERROR(VLOOKUP($A21,'PP DS Query'!$C$1:$R$1005,13,FALSE),0)</f>
        <v>0.21904578</v>
      </c>
      <c r="N21" s="358">
        <f>IFERROR(VLOOKUP($A21,'PP DS Query'!$C$1:$R$1005,14,FALSE),0)</f>
        <v>570353.59</v>
      </c>
      <c r="O21" s="56">
        <f>IFERROR(VLOOKUP($A21,'PP DS Query'!$C$1:$R$1005,4,FALSE),0)</f>
        <v>-0.05</v>
      </c>
      <c r="P21" s="358">
        <f>-IFERROR(VLOOKUP($A21,'PP DS Query'!$C$1:$R$1005,15,FALSE),0)</f>
        <v>130190.5</v>
      </c>
      <c r="Q21" s="358">
        <f>IFERROR(VLOOKUP($A21,'PP DS Query'!$C$1:$R$1005,16,FALSE),0)</f>
        <v>742477.54</v>
      </c>
      <c r="R21" s="48"/>
      <c r="S21" s="472">
        <f t="shared" ref="S21:S23" si="2">IFERROR(ROUND(LEFT(A21,7)*100,0),0)</f>
        <v>34280</v>
      </c>
      <c r="T21" s="472" t="s">
        <v>963</v>
      </c>
      <c r="U21" s="474">
        <f>IFERROR(VLOOKUP($S21,#REF!,7,FALSE),0)</f>
        <v>0</v>
      </c>
      <c r="V21" s="473">
        <f t="shared" ref="V21:V23" si="3">U21-F21</f>
        <v>-2603809.9300000002</v>
      </c>
    </row>
    <row r="22" spans="1:22" s="40" customFormat="1" ht="15.95" customHeight="1" x14ac:dyDescent="0.2">
      <c r="A22" s="60" t="s">
        <v>645</v>
      </c>
      <c r="B22" s="499">
        <f>IFERROR(VLOOKUP($A22,'PP DS Query'!$C$1:$R$1005,5,FALSE),0)</f>
        <v>2047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1358915.71</v>
      </c>
      <c r="G22" s="523">
        <f>IFERROR(VLOOKUP($A22,'PP DS Query'!$C$1:$R$1005,7,FALSE),0)</f>
        <v>9.0916953599999992</v>
      </c>
      <c r="H22" s="358">
        <f>IFERROR(VLOOKUP($A22,'PP DS Query'!$C$1:$R$1005,8,FALSE),0)</f>
        <v>12354847.66</v>
      </c>
      <c r="I22" s="523">
        <f>IFERROR(VLOOKUP($A22,'PP DS Query'!$C$1:$R$1005,9,FALSE),0)</f>
        <v>20</v>
      </c>
      <c r="J22" s="358">
        <f>IFERROR(VLOOKUP($A22,'PP DS Query'!$C$1:$R$1005,10,FALSE),0)</f>
        <v>27178314.199999999</v>
      </c>
      <c r="K22" s="523">
        <f>IFERROR(VLOOKUP($A22,'PP DS Query'!$C$1:$R$1005,11,FALSE),0)</f>
        <v>11.415716</v>
      </c>
      <c r="L22" s="358">
        <f>IFERROR(VLOOKUP($A22,'PP DS Query'!$C$1:$R$1005,12,FALSE),0)</f>
        <v>15512995.810000001</v>
      </c>
      <c r="M22" s="19">
        <f>IFERROR(VLOOKUP($A22,'PP DS Query'!$C$1:$R$1005,13,FALSE),0)</f>
        <v>0.45067488</v>
      </c>
      <c r="N22" s="358">
        <f>IFERROR(VLOOKUP($A22,'PP DS Query'!$C$1:$R$1005,14,FALSE),0)</f>
        <v>612429.18000000005</v>
      </c>
      <c r="O22" s="56">
        <f>IFERROR(VLOOKUP($A22,'PP DS Query'!$C$1:$R$1005,4,FALSE),0)</f>
        <v>-0.05</v>
      </c>
      <c r="P22" s="358">
        <f>-IFERROR(VLOOKUP($A22,'PP DS Query'!$C$1:$R$1005,15,FALSE),0)</f>
        <v>67945.789999999994</v>
      </c>
      <c r="Q22" s="358">
        <f>IFERROR(VLOOKUP($A22,'PP DS Query'!$C$1:$R$1005,16,FALSE),0)</f>
        <v>797250.89</v>
      </c>
      <c r="R22" s="48"/>
      <c r="S22" s="472">
        <f t="shared" si="2"/>
        <v>34280</v>
      </c>
      <c r="T22" s="472" t="s">
        <v>964</v>
      </c>
      <c r="U22" s="474">
        <f>IFERROR(VLOOKUP($S22,#REF!,8,FALSE),0)</f>
        <v>0</v>
      </c>
      <c r="V22" s="473">
        <f t="shared" si="3"/>
        <v>-1358915.71</v>
      </c>
    </row>
    <row r="23" spans="1:22" ht="15.95" customHeight="1" thickBot="1" x14ac:dyDescent="0.25">
      <c r="A23" s="398" t="s">
        <v>906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34280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646</v>
      </c>
      <c r="B24" s="499">
        <f>IFERROR(VLOOKUP($A24,'PP DS Query'!$C$1:$R$1005,5,FALSE),0)</f>
        <v>2047</v>
      </c>
      <c r="C24" s="33"/>
      <c r="D24" s="34"/>
      <c r="E24" s="15"/>
      <c r="F24" s="443">
        <f>IFERROR(VLOOKUP($A24,'PP DS Query'!$C$1:$R$1005,6,FALSE),0)</f>
        <v>9702986.4199999999</v>
      </c>
      <c r="G24" s="525">
        <f>IFERROR(VLOOKUP($A24,'PP DS Query'!$C$1:$R$1005,7,FALSE),0)</f>
        <v>8.1248367100000003</v>
      </c>
      <c r="H24" s="443">
        <f>IFERROR(VLOOKUP($A24,'PP DS Query'!$C$1:$R$1005,8,FALSE),0)</f>
        <v>78835180.230000004</v>
      </c>
      <c r="I24" s="525">
        <f>IFERROR(VLOOKUP($A24,'PP DS Query'!$C$1:$R$1005,9,FALSE),0)</f>
        <v>31.234231780000002</v>
      </c>
      <c r="J24" s="443">
        <f>IFERROR(VLOOKUP($A24,'PP DS Query'!$C$1:$R$1005,10,FALSE),0)</f>
        <v>303065326.76999998</v>
      </c>
      <c r="K24" s="525">
        <f>IFERROR(VLOOKUP($A24,'PP DS Query'!$C$1:$R$1005,11,FALSE),0)</f>
        <v>24.03950025</v>
      </c>
      <c r="L24" s="443">
        <f>IFERROR(VLOOKUP($A24,'PP DS Query'!$C$1:$R$1005,12,FALSE),0)</f>
        <v>233254944.47999999</v>
      </c>
      <c r="M24" s="445">
        <f>IFERROR(VLOOKUP($A24,'PP DS Query'!$C$1:$R$1005,13,FALSE),0)</f>
        <v>0.25330129000000001</v>
      </c>
      <c r="N24" s="443">
        <f>IFERROR(VLOOKUP($A24,'PP DS Query'!$C$1:$R$1005,14,FALSE),0)</f>
        <v>2457778.96</v>
      </c>
      <c r="O24" s="446">
        <f>IFERROR(VLOOKUP($A24,'PP DS Query'!$C$1:$R$1005,4,FALSE),0)</f>
        <v>-0.05</v>
      </c>
      <c r="P24" s="443">
        <f>-IFERROR(VLOOKUP($A24,'PP DS Query'!$C$1:$R$1005,15,FALSE),0)</f>
        <v>485149.32</v>
      </c>
      <c r="Q24" s="443">
        <f>IFERROR(VLOOKUP($A24,'PP DS Query'!$C$1:$R$1005,16,FALSE),0)</f>
        <v>3199498.87</v>
      </c>
      <c r="R24" s="48"/>
      <c r="U24" s="473">
        <f>SUM(U20:U23)</f>
        <v>0</v>
      </c>
      <c r="V24" s="473">
        <f>SUM(V20:V23)</f>
        <v>-9702986.4200000018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1264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667</v>
      </c>
      <c r="B27" s="499">
        <f>IFERROR(VLOOKUP($A27,'PP DS Query'!$C$1:$R$1005,5,FALSE),0)</f>
        <v>2047</v>
      </c>
      <c r="C27" s="33">
        <f>IFERROR(VLOOKUP($A27,'PP DS Query'!$C$1:$R$1005,3,FALSE),0)</f>
        <v>51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2411776.56</v>
      </c>
      <c r="G27" s="523">
        <f>IFERROR(VLOOKUP($A27,'PP DS Query'!$C$1:$R$1005,7,FALSE),0)</f>
        <v>23.5</v>
      </c>
      <c r="H27" s="358">
        <f>IFERROR(VLOOKUP($A27,'PP DS Query'!$C$1:$R$1005,8,FALSE),0)</f>
        <v>56676749.159999996</v>
      </c>
      <c r="I27" s="523">
        <f>IFERROR(VLOOKUP($A27,'PP DS Query'!$C$1:$R$1005,9,FALSE),0)</f>
        <v>51</v>
      </c>
      <c r="J27" s="358">
        <f>IFERROR(VLOOKUP($A27,'PP DS Query'!$C$1:$R$1005,10,FALSE),0)</f>
        <v>123000604.56</v>
      </c>
      <c r="K27" s="523">
        <f>IFERROR(VLOOKUP($A27,'PP DS Query'!$C$1:$R$1005,11,FALSE),0)</f>
        <v>27.5</v>
      </c>
      <c r="L27" s="358">
        <f>IFERROR(VLOOKUP($A27,'PP DS Query'!$C$1:$R$1005,12,FALSE),0)</f>
        <v>66323855.399999999</v>
      </c>
      <c r="M27" s="19">
        <f>IFERROR(VLOOKUP($A27,'PP DS Query'!$C$1:$R$1005,13,FALSE),0)</f>
        <v>0.49303921000000001</v>
      </c>
      <c r="N27" s="358">
        <f>IFERROR(VLOOKUP($A27,'PP DS Query'!$C$1:$R$1005,14,FALSE),0)</f>
        <v>1189100.42</v>
      </c>
      <c r="O27" s="56">
        <f>IFERROR(VLOOKUP($A27,'PP DS Query'!$C$1:$R$1005,4,FALSE),0)</f>
        <v>-7.0000000000000007E-2</v>
      </c>
      <c r="P27" s="358">
        <f>-IFERROR(VLOOKUP($A27,'PP DS Query'!$C$1:$R$1005,15,FALSE),0)</f>
        <v>168824.36</v>
      </c>
      <c r="Q27" s="358">
        <f>IFERROR(VLOOKUP($A27,'PP DS Query'!$C$1:$R$1005,16,FALSE),0)</f>
        <v>989279.83</v>
      </c>
      <c r="R27" s="48"/>
      <c r="S27" s="472">
        <f>IFERROR(ROUND(LEFT(A27,7)*100,0),0)</f>
        <v>34380</v>
      </c>
      <c r="T27" s="472" t="s">
        <v>962</v>
      </c>
      <c r="U27" s="474">
        <f>IFERROR(VLOOKUP($S27,#REF!,6,FALSE),0)</f>
        <v>0</v>
      </c>
      <c r="V27" s="473">
        <f>U27-F27</f>
        <v>-2411776.56</v>
      </c>
    </row>
    <row r="28" spans="1:22" ht="15.95" customHeight="1" x14ac:dyDescent="0.2">
      <c r="A28" s="49" t="s">
        <v>668</v>
      </c>
      <c r="B28" s="499">
        <f>IFERROR(VLOOKUP($A28,'PP DS Query'!$C$1:$R$1005,5,FALSE),0)</f>
        <v>2047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7583897.3399999999</v>
      </c>
      <c r="G28" s="523">
        <f>IFERROR(VLOOKUP($A28,'PP DS Query'!$C$1:$R$1005,7,FALSE),0)</f>
        <v>2.5067867100000001</v>
      </c>
      <c r="H28" s="358">
        <f>IFERROR(VLOOKUP($A28,'PP DS Query'!$C$1:$R$1005,8,FALSE),0)</f>
        <v>19011213.030000001</v>
      </c>
      <c r="I28" s="523">
        <f>IFERROR(VLOOKUP($A28,'PP DS Query'!$C$1:$R$1005,9,FALSE),0)</f>
        <v>28.14</v>
      </c>
      <c r="J28" s="358">
        <f>IFERROR(VLOOKUP($A28,'PP DS Query'!$C$1:$R$1005,10,FALSE),0)</f>
        <v>213410871.15000001</v>
      </c>
      <c r="K28" s="523">
        <f>IFERROR(VLOOKUP($A28,'PP DS Query'!$C$1:$R$1005,11,FALSE),0)</f>
        <v>25.402407</v>
      </c>
      <c r="L28" s="358">
        <f>IFERROR(VLOOKUP($A28,'PP DS Query'!$C$1:$R$1005,12,FALSE),0)</f>
        <v>192649246.88</v>
      </c>
      <c r="M28" s="19">
        <f>IFERROR(VLOOKUP($A28,'PP DS Query'!$C$1:$R$1005,13,FALSE),0)</f>
        <v>0.10409494</v>
      </c>
      <c r="N28" s="358">
        <f>IFERROR(VLOOKUP($A28,'PP DS Query'!$C$1:$R$1005,14,FALSE),0)</f>
        <v>789445.34</v>
      </c>
      <c r="O28" s="56">
        <f>IFERROR(VLOOKUP($A28,'PP DS Query'!$C$1:$R$1005,4,FALSE),0)</f>
        <v>-7.0000000000000007E-2</v>
      </c>
      <c r="P28" s="358">
        <f>-IFERROR(VLOOKUP($A28,'PP DS Query'!$C$1:$R$1005,15,FALSE),0)</f>
        <v>530872.81000000006</v>
      </c>
      <c r="Q28" s="358">
        <f>IFERROR(VLOOKUP($A28,'PP DS Query'!$C$1:$R$1005,16,FALSE),0)</f>
        <v>656784.18000000005</v>
      </c>
      <c r="R28" s="48"/>
      <c r="S28" s="472">
        <f t="shared" ref="S28:S30" si="4">IFERROR(ROUND(LEFT(A28,7)*100,0),0)</f>
        <v>34380</v>
      </c>
      <c r="T28" s="472" t="s">
        <v>963</v>
      </c>
      <c r="U28" s="474">
        <f>IFERROR(VLOOKUP($S28,#REF!,7,FALSE),0)</f>
        <v>0</v>
      </c>
      <c r="V28" s="473">
        <f t="shared" ref="V28:V30" si="5">U28-F28</f>
        <v>-7583897.3399999999</v>
      </c>
    </row>
    <row r="29" spans="1:22" s="40" customFormat="1" ht="15.95" customHeight="1" x14ac:dyDescent="0.2">
      <c r="A29" s="396" t="s">
        <v>907</v>
      </c>
      <c r="B29" s="499">
        <f>IFERROR(VLOOKUP($A29,'PP DS Query'!$C$1:$R$1005,5,FALSE),0)</f>
        <v>0</v>
      </c>
      <c r="C29" s="33">
        <f>IFERROR(VLOOKUP($A29,'PP DS Query'!$C$1:$R$1005,3,FALSE),0)</f>
        <v>0</v>
      </c>
      <c r="D29" s="34" t="s">
        <v>22</v>
      </c>
      <c r="E29" s="360">
        <f>IFERROR(VLOOKUP($A29,'PP DS Query'!$C$1:$R$1005,2,FALSE),0)</f>
        <v>0</v>
      </c>
      <c r="F29" s="358">
        <f>IFERROR(VLOOKUP($A29,'PP DS Query'!$C$1:$R$1005,6,FALSE),0)</f>
        <v>0</v>
      </c>
      <c r="G29" s="523">
        <f>IFERROR(VLOOKUP($A29,'PP DS Query'!$C$1:$R$1005,7,FALSE),0)</f>
        <v>0</v>
      </c>
      <c r="H29" s="358">
        <f>IFERROR(VLOOKUP($A29,'PP DS Query'!$C$1:$R$1005,8,FALSE),0)</f>
        <v>0</v>
      </c>
      <c r="I29" s="523">
        <f>IFERROR(VLOOKUP($A29,'PP DS Query'!$C$1:$R$1005,9,FALSE),0)</f>
        <v>0</v>
      </c>
      <c r="J29" s="358">
        <f>IFERROR(VLOOKUP($A29,'PP DS Query'!$C$1:$R$1005,10,FALSE),0)</f>
        <v>0</v>
      </c>
      <c r="K29" s="523">
        <f>IFERROR(VLOOKUP($A29,'PP DS Query'!$C$1:$R$1005,11,FALSE),0)</f>
        <v>0</v>
      </c>
      <c r="L29" s="358">
        <f>IFERROR(VLOOKUP($A29,'PP DS Query'!$C$1:$R$1005,12,FALSE),0)</f>
        <v>0</v>
      </c>
      <c r="M29" s="19">
        <f>IFERROR(VLOOKUP($A29,'PP DS Query'!$C$1:$R$1005,13,FALSE),0)</f>
        <v>0</v>
      </c>
      <c r="N29" s="358">
        <f>IFERROR(VLOOKUP($A29,'PP DS Query'!$C$1:$R$1005,14,FALSE),0)</f>
        <v>0</v>
      </c>
      <c r="O29" s="56">
        <f>IFERROR(VLOOKUP($A29,'PP DS Query'!$C$1:$R$1005,4,FALSE),0)</f>
        <v>0</v>
      </c>
      <c r="P29" s="358">
        <f>-IFERROR(VLOOKUP($A29,'PP DS Query'!$C$1:$R$1005,15,FALSE),0)</f>
        <v>0</v>
      </c>
      <c r="Q29" s="358">
        <f>IFERROR(VLOOKUP($A29,'PP DS Query'!$C$1:$R$1005,16,FALSE),0)</f>
        <v>0</v>
      </c>
      <c r="R29" s="48"/>
      <c r="S29" s="472">
        <f t="shared" si="4"/>
        <v>34380</v>
      </c>
      <c r="T29" s="472" t="s">
        <v>964</v>
      </c>
      <c r="U29" s="474">
        <f>IFERROR(VLOOKUP($S29,#REF!,8,FALSE),0)</f>
        <v>0</v>
      </c>
      <c r="V29" s="473">
        <f t="shared" si="5"/>
        <v>0</v>
      </c>
    </row>
    <row r="30" spans="1:22" ht="15.95" customHeight="1" thickBot="1" x14ac:dyDescent="0.25">
      <c r="A30" s="396" t="s">
        <v>908</v>
      </c>
      <c r="B30" s="499">
        <f>IFERROR(VLOOKUP($A30,'PP DS Query'!$C$1:$R$1005,5,FALSE),0)</f>
        <v>0</v>
      </c>
      <c r="C30" s="33">
        <f>IFERROR(VLOOKUP($A30,'PP DS Query'!$C$1:$R$1005,3,FALSE),0)</f>
        <v>0</v>
      </c>
      <c r="D30" s="34" t="s">
        <v>22</v>
      </c>
      <c r="E30" s="61">
        <f>IFERROR(VLOOKUP($A30,'PP DS Query'!$C$1:$R$1005,2,FALSE),0)</f>
        <v>0</v>
      </c>
      <c r="F30" s="250">
        <f>IFERROR(VLOOKUP($A30,'PP DS Query'!$C$1:$R$1005,6,FALSE),0)</f>
        <v>0</v>
      </c>
      <c r="G30" s="524">
        <f>IFERROR(VLOOKUP($A30,'PP DS Query'!$C$1:$R$1005,7,FALSE),0)</f>
        <v>0</v>
      </c>
      <c r="H30" s="250">
        <f>IFERROR(VLOOKUP($A30,'PP DS Query'!$C$1:$R$1005,8,FALSE),0)</f>
        <v>0</v>
      </c>
      <c r="I30" s="524">
        <f>IFERROR(VLOOKUP($A30,'PP DS Query'!$C$1:$R$1005,9,FALSE),0)</f>
        <v>0</v>
      </c>
      <c r="J30" s="250">
        <f>IFERROR(VLOOKUP($A30,'PP DS Query'!$C$1:$R$1005,10,FALSE),0)</f>
        <v>0</v>
      </c>
      <c r="K30" s="524">
        <f>IFERROR(VLOOKUP($A30,'PP DS Query'!$C$1:$R$1005,11,FALSE),0)</f>
        <v>0</v>
      </c>
      <c r="L30" s="250">
        <f>IFERROR(VLOOKUP($A30,'PP DS Query'!$C$1:$R$1005,12,FALSE),0)</f>
        <v>0</v>
      </c>
      <c r="M30" s="21">
        <f>IFERROR(VLOOKUP($A30,'PP DS Query'!$C$1:$R$1005,13,FALSE),0)</f>
        <v>0</v>
      </c>
      <c r="N30" s="250">
        <f>IFERROR(VLOOKUP($A30,'PP DS Query'!$C$1:$R$1005,14,FALSE),0)</f>
        <v>0</v>
      </c>
      <c r="O30" s="57">
        <f>IFERROR(VLOOKUP($A30,'PP DS Query'!$C$1:$R$1005,4,FALSE),0)</f>
        <v>0</v>
      </c>
      <c r="P30" s="250">
        <f>-IFERROR(VLOOKUP($A30,'PP DS Query'!$C$1:$R$1005,15,FALSE),0)</f>
        <v>0</v>
      </c>
      <c r="Q30" s="250">
        <f>IFERROR(VLOOKUP($A30,'PP DS Query'!$C$1:$R$1005,16,FALSE),0)</f>
        <v>0</v>
      </c>
      <c r="R30" s="48"/>
      <c r="S30" s="472">
        <f t="shared" si="4"/>
        <v>34380</v>
      </c>
      <c r="T30" s="472" t="s">
        <v>961</v>
      </c>
      <c r="U30" s="475">
        <f>IFERROR(VLOOKUP($S30,#REF!,9,FALSE),0)</f>
        <v>0</v>
      </c>
      <c r="V30" s="476">
        <f t="shared" si="5"/>
        <v>0</v>
      </c>
    </row>
    <row r="31" spans="1:22" ht="15.95" customHeight="1" x14ac:dyDescent="0.2">
      <c r="A31" s="49" t="s">
        <v>669</v>
      </c>
      <c r="B31" s="499">
        <f>IFERROR(VLOOKUP($A31,'PP DS Query'!$C$1:$R$1005,5,FALSE),0)</f>
        <v>2047</v>
      </c>
      <c r="C31" s="33"/>
      <c r="D31" s="34"/>
      <c r="E31" s="15"/>
      <c r="F31" s="443">
        <f>IFERROR(VLOOKUP($A31,'PP DS Query'!$C$1:$R$1005,6,FALSE),0)</f>
        <v>10424249.140000001</v>
      </c>
      <c r="G31" s="525">
        <f>IFERROR(VLOOKUP($A31,'PP DS Query'!$C$1:$R$1005,7,FALSE),0)</f>
        <v>7.2607591370365112</v>
      </c>
      <c r="H31" s="443">
        <f>IFERROR(VLOOKUP($A31,'PP DS Query'!$C$1:$R$1005,8,FALSE),0)</f>
        <v>75687962.189999998</v>
      </c>
      <c r="I31" s="525">
        <f>IFERROR(VLOOKUP($A31,'PP DS Query'!$C$1:$R$1005,9,FALSE),0)</f>
        <v>32.27201030903219</v>
      </c>
      <c r="J31" s="443">
        <f>IFERROR(VLOOKUP($A31,'PP DS Query'!$C$1:$R$1005,10,FALSE),0)</f>
        <v>336411475.70999998</v>
      </c>
      <c r="K31" s="525">
        <f>IFERROR(VLOOKUP($A31,'PP DS Query'!$C$1:$R$1005,11,FALSE),0)</f>
        <v>24.843333922849812</v>
      </c>
      <c r="L31" s="443">
        <f>IFERROR(VLOOKUP($A31,'PP DS Query'!$C$1:$R$1005,12,FALSE),0)</f>
        <v>258973102.28</v>
      </c>
      <c r="M31" s="445">
        <f>IFERROR(VLOOKUP($A31,'PP DS Query'!$C$1:$R$1005,13,FALSE),0)</f>
        <v>0.18980223260473605</v>
      </c>
      <c r="N31" s="443">
        <f>IFERROR(VLOOKUP($A31,'PP DS Query'!$C$1:$R$1005,14,FALSE),0)</f>
        <v>1978545.76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699697.17</v>
      </c>
      <c r="Q31" s="443">
        <f>IFERROR(VLOOKUP($A31,'PP DS Query'!$C$1:$R$1005,16,FALSE),0)</f>
        <v>1646064.01</v>
      </c>
      <c r="R31" s="48"/>
      <c r="U31" s="473">
        <f>SUM(U27:U30)</f>
        <v>0</v>
      </c>
      <c r="V31" s="473">
        <f>SUM(V27:V30)</f>
        <v>-9995673.9000000004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1265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693</v>
      </c>
      <c r="B34" s="499">
        <f>IFERROR(VLOOKUP($A34,'PP DS Query'!$C$1:$R$1005,5,FALSE),0)</f>
        <v>2047</v>
      </c>
      <c r="C34" s="33">
        <f>IFERROR(VLOOKUP($A34,'PP DS Query'!$C$1:$R$1005,3,FALSE),0)</f>
        <v>51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9492323.9399999995</v>
      </c>
      <c r="G34" s="523">
        <f>IFERROR(VLOOKUP($A34,'PP DS Query'!$C$1:$R$1005,7,FALSE),0)</f>
        <v>4.71238855</v>
      </c>
      <c r="H34" s="358">
        <f>IFERROR(VLOOKUP($A34,'PP DS Query'!$C$1:$R$1005,8,FALSE),0)</f>
        <v>44731518.649999999</v>
      </c>
      <c r="I34" s="523">
        <f>IFERROR(VLOOKUP($A34,'PP DS Query'!$C$1:$R$1005,9,FALSE),0)</f>
        <v>31.44</v>
      </c>
      <c r="J34" s="358">
        <f>IFERROR(VLOOKUP($A34,'PP DS Query'!$C$1:$R$1005,10,FALSE),0)</f>
        <v>298438664.67000002</v>
      </c>
      <c r="K34" s="523">
        <f>IFERROR(VLOOKUP($A34,'PP DS Query'!$C$1:$R$1005,11,FALSE),0)</f>
        <v>27.5</v>
      </c>
      <c r="L34" s="358">
        <f>IFERROR(VLOOKUP($A34,'PP DS Query'!$C$1:$R$1005,12,FALSE),0)</f>
        <v>261038908.34999999</v>
      </c>
      <c r="M34" s="19">
        <f>IFERROR(VLOOKUP($A34,'PP DS Query'!$C$1:$R$1005,13,FALSE),0)</f>
        <v>0.13147492999999999</v>
      </c>
      <c r="N34" s="358">
        <f>IFERROR(VLOOKUP($A34,'PP DS Query'!$C$1:$R$1005,14,FALSE),0)</f>
        <v>1248002.6299999999</v>
      </c>
      <c r="O34" s="56">
        <f>IFERROR(VLOOKUP($A34,'PP DS Query'!$C$1:$R$1005,4,FALSE),0)</f>
        <v>-0.05</v>
      </c>
      <c r="P34" s="358">
        <f>-IFERROR(VLOOKUP($A34,'PP DS Query'!$C$1:$R$1005,15,FALSE),0)</f>
        <v>474616.2</v>
      </c>
      <c r="Q34" s="358">
        <f>IFERROR(VLOOKUP($A34,'PP DS Query'!$C$1:$R$1005,16,FALSE),0)</f>
        <v>997794.65</v>
      </c>
      <c r="R34" s="48"/>
      <c r="S34" s="472">
        <f>IFERROR(ROUND(LEFT(A34,7)*100,0),0)</f>
        <v>34580</v>
      </c>
      <c r="T34" s="472" t="s">
        <v>962</v>
      </c>
      <c r="U34" s="474">
        <f>IFERROR(VLOOKUP($S34,#REF!,6,FALSE),0)</f>
        <v>0</v>
      </c>
      <c r="V34" s="473">
        <f>U34-F34</f>
        <v>-9492323.9399999995</v>
      </c>
    </row>
    <row r="35" spans="1:22" ht="15.95" customHeight="1" x14ac:dyDescent="0.2">
      <c r="A35" s="49" t="s">
        <v>694</v>
      </c>
      <c r="B35" s="499">
        <f>IFERROR(VLOOKUP($A35,'PP DS Query'!$C$1:$R$1005,5,FALSE),0)</f>
        <v>2047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4041048.36</v>
      </c>
      <c r="G35" s="523">
        <f>IFERROR(VLOOKUP($A35,'PP DS Query'!$C$1:$R$1005,7,FALSE),0)</f>
        <v>7.9363718600000004</v>
      </c>
      <c r="H35" s="358">
        <f>IFERROR(VLOOKUP($A35,'PP DS Query'!$C$1:$R$1005,8,FALSE),0)</f>
        <v>32071262.469999999</v>
      </c>
      <c r="I35" s="523">
        <f>IFERROR(VLOOKUP($A35,'PP DS Query'!$C$1:$R$1005,9,FALSE),0)</f>
        <v>29.2</v>
      </c>
      <c r="J35" s="358">
        <f>IFERROR(VLOOKUP($A35,'PP DS Query'!$C$1:$R$1005,10,FALSE),0)</f>
        <v>117998612.11</v>
      </c>
      <c r="K35" s="523">
        <f>IFERROR(VLOOKUP($A35,'PP DS Query'!$C$1:$R$1005,11,FALSE),0)</f>
        <v>21.305429</v>
      </c>
      <c r="L35" s="358">
        <f>IFERROR(VLOOKUP($A35,'PP DS Query'!$C$1:$R$1005,12,FALSE),0)</f>
        <v>86096268.920000002</v>
      </c>
      <c r="M35" s="19">
        <f>IFERROR(VLOOKUP($A35,'PP DS Query'!$C$1:$R$1005,13,FALSE),0)</f>
        <v>0.28377561000000001</v>
      </c>
      <c r="N35" s="358">
        <f>IFERROR(VLOOKUP($A35,'PP DS Query'!$C$1:$R$1005,14,FALSE),0)</f>
        <v>1146750.96</v>
      </c>
      <c r="O35" s="56">
        <f>IFERROR(VLOOKUP($A35,'PP DS Query'!$C$1:$R$1005,4,FALSE),0)</f>
        <v>-0.05</v>
      </c>
      <c r="P35" s="358">
        <f>-IFERROR(VLOOKUP($A35,'PP DS Query'!$C$1:$R$1005,15,FALSE),0)</f>
        <v>202052.42</v>
      </c>
      <c r="Q35" s="358">
        <f>IFERROR(VLOOKUP($A35,'PP DS Query'!$C$1:$R$1005,16,FALSE),0)</f>
        <v>916842.6</v>
      </c>
      <c r="R35" s="48"/>
      <c r="S35" s="472">
        <f t="shared" ref="S35:S37" si="6">IFERROR(ROUND(LEFT(A35,7)*100,0),0)</f>
        <v>34580</v>
      </c>
      <c r="T35" s="472" t="s">
        <v>963</v>
      </c>
      <c r="U35" s="474">
        <f>IFERROR(VLOOKUP($S35,#REF!,7,FALSE),0)</f>
        <v>0</v>
      </c>
      <c r="V35" s="473">
        <f t="shared" ref="V35:V37" si="7">U35-F35</f>
        <v>-4041048.36</v>
      </c>
    </row>
    <row r="36" spans="1:22" ht="15.95" customHeight="1" x14ac:dyDescent="0.2">
      <c r="A36" s="49" t="s">
        <v>695</v>
      </c>
      <c r="B36" s="499">
        <f>IFERROR(VLOOKUP($A36,'PP DS Query'!$C$1:$R$1005,5,FALSE),0)</f>
        <v>2047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370773.39</v>
      </c>
      <c r="G36" s="523">
        <f>IFERROR(VLOOKUP($A36,'PP DS Query'!$C$1:$R$1005,7,FALSE),0)</f>
        <v>6.5724466499999998</v>
      </c>
      <c r="H36" s="358">
        <f>IFERROR(VLOOKUP($A36,'PP DS Query'!$C$1:$R$1005,8,FALSE),0)</f>
        <v>2436888.33</v>
      </c>
      <c r="I36" s="523">
        <f>IFERROR(VLOOKUP($A36,'PP DS Query'!$C$1:$R$1005,9,FALSE),0)</f>
        <v>20</v>
      </c>
      <c r="J36" s="358">
        <f>IFERROR(VLOOKUP($A36,'PP DS Query'!$C$1:$R$1005,10,FALSE),0)</f>
        <v>7415467.7999999998</v>
      </c>
      <c r="K36" s="523">
        <f>IFERROR(VLOOKUP($A36,'PP DS Query'!$C$1:$R$1005,11,FALSE),0)</f>
        <v>13.725464000000001</v>
      </c>
      <c r="L36" s="358">
        <f>IFERROR(VLOOKUP($A36,'PP DS Query'!$C$1:$R$1005,12,FALSE),0)</f>
        <v>5089036.82</v>
      </c>
      <c r="M36" s="19">
        <f>IFERROR(VLOOKUP($A36,'PP DS Query'!$C$1:$R$1005,13,FALSE),0)</f>
        <v>0.32941314999999999</v>
      </c>
      <c r="N36" s="358">
        <f>IFERROR(VLOOKUP($A36,'PP DS Query'!$C$1:$R$1005,14,FALSE),0)</f>
        <v>122137.63</v>
      </c>
      <c r="O36" s="56">
        <f>IFERROR(VLOOKUP($A36,'PP DS Query'!$C$1:$R$1005,4,FALSE),0)</f>
        <v>-0.05</v>
      </c>
      <c r="P36" s="358">
        <f>-IFERROR(VLOOKUP($A36,'PP DS Query'!$C$1:$R$1005,15,FALSE),0)</f>
        <v>18538.669999999998</v>
      </c>
      <c r="Q36" s="358">
        <f>IFERROR(VLOOKUP($A36,'PP DS Query'!$C$1:$R$1005,16,FALSE),0)</f>
        <v>97650.66</v>
      </c>
      <c r="R36" s="48"/>
      <c r="S36" s="472">
        <f t="shared" si="6"/>
        <v>34580</v>
      </c>
      <c r="T36" s="472" t="s">
        <v>964</v>
      </c>
      <c r="U36" s="474">
        <f>IFERROR(VLOOKUP($S36,#REF!,8,FALSE),0)</f>
        <v>0</v>
      </c>
      <c r="V36" s="473">
        <f t="shared" si="7"/>
        <v>-370773.39</v>
      </c>
    </row>
    <row r="37" spans="1:22" ht="15.95" customHeight="1" thickBot="1" x14ac:dyDescent="0.25">
      <c r="A37" s="396" t="s">
        <v>909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34580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696</v>
      </c>
      <c r="B38" s="499">
        <f>IFERROR(VLOOKUP($A38,'PP DS Query'!$C$1:$R$1005,5,FALSE),0)</f>
        <v>2047</v>
      </c>
      <c r="C38" s="33"/>
      <c r="D38" s="34"/>
      <c r="E38" s="15"/>
      <c r="F38" s="443">
        <f>IFERROR(VLOOKUP($A38,'PP DS Query'!$C$1:$R$1005,6,FALSE),0)</f>
        <v>13904145.689999999</v>
      </c>
      <c r="G38" s="525">
        <f>IFERROR(VLOOKUP($A38,'PP DS Query'!$C$1:$R$1005,7,FALSE),0)</f>
        <v>5.6989959099999998</v>
      </c>
      <c r="H38" s="443">
        <f>IFERROR(VLOOKUP($A38,'PP DS Query'!$C$1:$R$1005,8,FALSE),0)</f>
        <v>79239669.439999998</v>
      </c>
      <c r="I38" s="525">
        <f>IFERROR(VLOOKUP($A38,'PP DS Query'!$C$1:$R$1005,9,FALSE),0)</f>
        <v>30.48391135</v>
      </c>
      <c r="J38" s="443">
        <f>IFERROR(VLOOKUP($A38,'PP DS Query'!$C$1:$R$1005,10,FALSE),0)</f>
        <v>423852744.58999997</v>
      </c>
      <c r="K38" s="525">
        <f>IFERROR(VLOOKUP($A38,'PP DS Query'!$C$1:$R$1005,11,FALSE),0)</f>
        <v>25.332316129999999</v>
      </c>
      <c r="L38" s="443">
        <f>IFERROR(VLOOKUP($A38,'PP DS Query'!$C$1:$R$1005,12,FALSE),0)</f>
        <v>352224214.08999997</v>
      </c>
      <c r="M38" s="445">
        <f>IFERROR(VLOOKUP($A38,'PP DS Query'!$C$1:$R$1005,13,FALSE),0)</f>
        <v>0.18101732000000001</v>
      </c>
      <c r="N38" s="443">
        <f>IFERROR(VLOOKUP($A38,'PP DS Query'!$C$1:$R$1005,14,FALSE),0)</f>
        <v>2516891.2200000002</v>
      </c>
      <c r="O38" s="446">
        <f>IFERROR(VLOOKUP($A38,'PP DS Query'!$C$1:$R$1005,4,FALSE),0)</f>
        <v>-0.05</v>
      </c>
      <c r="P38" s="443">
        <f>-IFERROR(VLOOKUP($A38,'PP DS Query'!$C$1:$R$1005,15,FALSE),0)</f>
        <v>695207.28</v>
      </c>
      <c r="Q38" s="443">
        <f>IFERROR(VLOOKUP($A38,'PP DS Query'!$C$1:$R$1005,16,FALSE),0)</f>
        <v>2012287.91</v>
      </c>
      <c r="R38" s="48"/>
      <c r="U38" s="473">
        <f>SUM(U34:U37)</f>
        <v>0</v>
      </c>
      <c r="V38" s="473">
        <f>SUM(V34:V37)</f>
        <v>-13904145.689999999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1266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717</v>
      </c>
      <c r="B41" s="499">
        <f>IFERROR(VLOOKUP($A41,'PP DS Query'!$C$1:$R$1005,5,FALSE),0)</f>
        <v>2047</v>
      </c>
      <c r="C41" s="33">
        <f>IFERROR(VLOOKUP($A41,'PP DS Query'!$C$1:$R$1005,3,FALSE),0)</f>
        <v>51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240991.62</v>
      </c>
      <c r="G41" s="523">
        <f>IFERROR(VLOOKUP($A41,'PP DS Query'!$C$1:$R$1005,7,FALSE),0)</f>
        <v>11.07209898</v>
      </c>
      <c r="H41" s="358">
        <f>IFERROR(VLOOKUP($A41,'PP DS Query'!$C$1:$R$1005,8,FALSE),0)</f>
        <v>2668283.0699999998</v>
      </c>
      <c r="I41" s="523">
        <f>IFERROR(VLOOKUP($A41,'PP DS Query'!$C$1:$R$1005,9,FALSE),0)</f>
        <v>36.06</v>
      </c>
      <c r="J41" s="358">
        <f>IFERROR(VLOOKUP($A41,'PP DS Query'!$C$1:$R$1005,10,FALSE),0)</f>
        <v>8690157.8200000003</v>
      </c>
      <c r="K41" s="523">
        <f>IFERROR(VLOOKUP($A41,'PP DS Query'!$C$1:$R$1005,11,FALSE),0)</f>
        <v>27.5</v>
      </c>
      <c r="L41" s="358">
        <f>IFERROR(VLOOKUP($A41,'PP DS Query'!$C$1:$R$1005,12,FALSE),0)</f>
        <v>6627269.5499999998</v>
      </c>
      <c r="M41" s="19">
        <f>IFERROR(VLOOKUP($A41,'PP DS Query'!$C$1:$R$1005,13,FALSE),0)</f>
        <v>0.24215513999999999</v>
      </c>
      <c r="N41" s="358">
        <f>IFERROR(VLOOKUP($A41,'PP DS Query'!$C$1:$R$1005,14,FALSE),0)</f>
        <v>58357.36</v>
      </c>
      <c r="O41" s="56">
        <f>IFERROR(VLOOKUP($A41,'PP DS Query'!$C$1:$R$1005,4,FALSE),0)</f>
        <v>-0.02</v>
      </c>
      <c r="P41" s="358">
        <f>-IFERROR(VLOOKUP($A41,'PP DS Query'!$C$1:$R$1005,15,FALSE),0)</f>
        <v>4819.83</v>
      </c>
      <c r="Q41" s="358">
        <f>IFERROR(VLOOKUP($A41,'PP DS Query'!$C$1:$R$1005,16,FALSE),0)</f>
        <v>-26529.95</v>
      </c>
      <c r="R41" s="48"/>
      <c r="S41" s="472">
        <f>IFERROR(ROUND(LEFT(A41,7)*100,0),0)</f>
        <v>34680</v>
      </c>
      <c r="T41" s="472" t="s">
        <v>962</v>
      </c>
      <c r="U41" s="474">
        <f>IFERROR(VLOOKUP($S41,#REF!,6,FALSE),0)</f>
        <v>0</v>
      </c>
      <c r="V41" s="473">
        <f>U41-F41</f>
        <v>-240991.62</v>
      </c>
    </row>
    <row r="42" spans="1:22" ht="15.95" customHeight="1" x14ac:dyDescent="0.2">
      <c r="A42" s="49" t="s">
        <v>718</v>
      </c>
      <c r="B42" s="499">
        <f>IFERROR(VLOOKUP($A42,'PP DS Query'!$C$1:$R$1005,5,FALSE),0)</f>
        <v>2047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535652</v>
      </c>
      <c r="G42" s="523">
        <f>IFERROR(VLOOKUP($A42,'PP DS Query'!$C$1:$R$1005,7,FALSE),0)</f>
        <v>8.8965665600000001</v>
      </c>
      <c r="H42" s="358">
        <f>IFERROR(VLOOKUP($A42,'PP DS Query'!$C$1:$R$1005,8,FALSE),0)</f>
        <v>4765463.67</v>
      </c>
      <c r="I42" s="523">
        <f>IFERROR(VLOOKUP($A42,'PP DS Query'!$C$1:$R$1005,9,FALSE),0)</f>
        <v>29.7</v>
      </c>
      <c r="J42" s="358">
        <f>IFERROR(VLOOKUP($A42,'PP DS Query'!$C$1:$R$1005,10,FALSE),0)</f>
        <v>15908864.4</v>
      </c>
      <c r="K42" s="523">
        <f>IFERROR(VLOOKUP($A42,'PP DS Query'!$C$1:$R$1005,11,FALSE),0)</f>
        <v>20.689226000000001</v>
      </c>
      <c r="L42" s="358">
        <f>IFERROR(VLOOKUP($A42,'PP DS Query'!$C$1:$R$1005,12,FALSE),0)</f>
        <v>11082225.289999999</v>
      </c>
      <c r="M42" s="19">
        <f>IFERROR(VLOOKUP($A42,'PP DS Query'!$C$1:$R$1005,13,FALSE),0)</f>
        <v>0.30957290999999998</v>
      </c>
      <c r="N42" s="358">
        <f>IFERROR(VLOOKUP($A42,'PP DS Query'!$C$1:$R$1005,14,FALSE),0)</f>
        <v>165823.35</v>
      </c>
      <c r="O42" s="56">
        <f>IFERROR(VLOOKUP($A42,'PP DS Query'!$C$1:$R$1005,4,FALSE),0)</f>
        <v>-0.02</v>
      </c>
      <c r="P42" s="358">
        <f>-IFERROR(VLOOKUP($A42,'PP DS Query'!$C$1:$R$1005,15,FALSE),0)</f>
        <v>10713.04</v>
      </c>
      <c r="Q42" s="358">
        <f>IFERROR(VLOOKUP($A42,'PP DS Query'!$C$1:$R$1005,16,FALSE),0)</f>
        <v>-75385.27</v>
      </c>
      <c r="R42" s="48"/>
      <c r="S42" s="472">
        <f t="shared" ref="S42:S44" si="8">IFERROR(ROUND(LEFT(A42,7)*100,0),0)</f>
        <v>34680</v>
      </c>
      <c r="T42" s="472" t="s">
        <v>963</v>
      </c>
      <c r="U42" s="474">
        <f>IFERROR(VLOOKUP($S42,#REF!,7,FALSE),0)</f>
        <v>0</v>
      </c>
      <c r="V42" s="473">
        <f t="shared" ref="V42:V44" si="9">U42-F42</f>
        <v>-535652</v>
      </c>
    </row>
    <row r="43" spans="1:22" ht="15.95" customHeight="1" x14ac:dyDescent="0.2">
      <c r="A43" s="49" t="s">
        <v>719</v>
      </c>
      <c r="B43" s="499">
        <f>IFERROR(VLOOKUP($A43,'PP DS Query'!$C$1:$R$1005,5,FALSE),0)</f>
        <v>2047</v>
      </c>
      <c r="C43" s="33">
        <f>IFERROR(VLOOKUP($A43,'PP DS Query'!$C$1:$R$1005,3,FALSE),0)</f>
        <v>20</v>
      </c>
      <c r="D43" s="34" t="s">
        <v>22</v>
      </c>
      <c r="E43" s="360" t="str">
        <f>IFERROR(VLOOKUP($A43,'PP DS Query'!$C$1:$R$1005,2,FALSE),0)</f>
        <v>S3</v>
      </c>
      <c r="F43" s="358">
        <f>IFERROR(VLOOKUP($A43,'PP DS Query'!$C$1:$R$1005,6,FALSE),0)</f>
        <v>73987.240000000005</v>
      </c>
      <c r="G43" s="523">
        <f>IFERROR(VLOOKUP($A43,'PP DS Query'!$C$1:$R$1005,7,FALSE),0)</f>
        <v>23.5</v>
      </c>
      <c r="H43" s="358">
        <f>IFERROR(VLOOKUP($A43,'PP DS Query'!$C$1:$R$1005,8,FALSE),0)</f>
        <v>1738700.14</v>
      </c>
      <c r="I43" s="523">
        <f>IFERROR(VLOOKUP($A43,'PP DS Query'!$C$1:$R$1005,9,FALSE),0)</f>
        <v>20</v>
      </c>
      <c r="J43" s="358">
        <f>IFERROR(VLOOKUP($A43,'PP DS Query'!$C$1:$R$1005,10,FALSE),0)</f>
        <v>1479744.8</v>
      </c>
      <c r="K43" s="523">
        <f>IFERROR(VLOOKUP($A43,'PP DS Query'!$C$1:$R$1005,11,FALSE),0)</f>
        <v>2.8248929999999999</v>
      </c>
      <c r="L43" s="358">
        <f>IFERROR(VLOOKUP($A43,'PP DS Query'!$C$1:$R$1005,12,FALSE),0)</f>
        <v>209006.04</v>
      </c>
      <c r="M43" s="19">
        <f>IFERROR(VLOOKUP($A43,'PP DS Query'!$C$1:$R$1005,13,FALSE),0)</f>
        <v>0.87593049999999995</v>
      </c>
      <c r="N43" s="358">
        <f>IFERROR(VLOOKUP($A43,'PP DS Query'!$C$1:$R$1005,14,FALSE),0)</f>
        <v>64807.68</v>
      </c>
      <c r="O43" s="56">
        <f>IFERROR(VLOOKUP($A43,'PP DS Query'!$C$1:$R$1005,4,FALSE),0)</f>
        <v>-0.02</v>
      </c>
      <c r="P43" s="358">
        <f>-IFERROR(VLOOKUP($A43,'PP DS Query'!$C$1:$R$1005,15,FALSE),0)</f>
        <v>1479.74</v>
      </c>
      <c r="Q43" s="358">
        <f>IFERROR(VLOOKUP($A43,'PP DS Query'!$C$1:$R$1005,16,FALSE),0)</f>
        <v>-29462.35</v>
      </c>
      <c r="R43" s="48"/>
      <c r="S43" s="472">
        <f t="shared" si="8"/>
        <v>34680</v>
      </c>
      <c r="T43" s="472" t="s">
        <v>964</v>
      </c>
      <c r="U43" s="474">
        <f>IFERROR(VLOOKUP($S43,#REF!,8,FALSE),0)</f>
        <v>0</v>
      </c>
      <c r="V43" s="473">
        <f t="shared" si="9"/>
        <v>-73987.240000000005</v>
      </c>
    </row>
    <row r="44" spans="1:22" ht="15.95" customHeight="1" thickBot="1" x14ac:dyDescent="0.25">
      <c r="A44" s="396" t="s">
        <v>910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34680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720</v>
      </c>
      <c r="B45" s="499">
        <f>IFERROR(VLOOKUP($A45,'PP DS Query'!$C$1:$R$1005,5,FALSE),0)</f>
        <v>2047</v>
      </c>
      <c r="C45" s="33"/>
      <c r="D45" s="34"/>
      <c r="E45" s="15"/>
      <c r="F45" s="443">
        <f>IFERROR(VLOOKUP($A45,'PP DS Query'!$C$1:$R$1005,6,FALSE),0)</f>
        <v>850630.86</v>
      </c>
      <c r="G45" s="525">
        <f>IFERROR(VLOOKUP($A45,'PP DS Query'!$C$1:$R$1005,7,FALSE),0)</f>
        <v>10.783110880000001</v>
      </c>
      <c r="H45" s="443">
        <f>IFERROR(VLOOKUP($A45,'PP DS Query'!$C$1:$R$1005,8,FALSE),0)</f>
        <v>9172446.8800000008</v>
      </c>
      <c r="I45" s="525">
        <f>IFERROR(VLOOKUP($A45,'PP DS Query'!$C$1:$R$1005,9,FALSE),0)</f>
        <v>30.658148260000001</v>
      </c>
      <c r="J45" s="443">
        <f>IFERROR(VLOOKUP($A45,'PP DS Query'!$C$1:$R$1005,10,FALSE),0)</f>
        <v>26078767.02</v>
      </c>
      <c r="K45" s="525">
        <f>IFERROR(VLOOKUP($A45,'PP DS Query'!$C$1:$R$1005,11,FALSE),0)</f>
        <v>21.064955099999999</v>
      </c>
      <c r="L45" s="443">
        <f>IFERROR(VLOOKUP($A45,'PP DS Query'!$C$1:$R$1005,12,FALSE),0)</f>
        <v>17918500.870000001</v>
      </c>
      <c r="M45" s="445">
        <f>IFERROR(VLOOKUP($A45,'PP DS Query'!$C$1:$R$1005,13,FALSE),0)</f>
        <v>0.33973418999999999</v>
      </c>
      <c r="N45" s="443">
        <f>IFERROR(VLOOKUP($A45,'PP DS Query'!$C$1:$R$1005,14,FALSE),0)</f>
        <v>288988.39</v>
      </c>
      <c r="O45" s="446">
        <f>IFERROR(VLOOKUP($A45,'PP DS Query'!$C$1:$R$1005,4,FALSE),0)</f>
        <v>-0.02</v>
      </c>
      <c r="P45" s="443">
        <f>-IFERROR(VLOOKUP($A45,'PP DS Query'!$C$1:$R$1005,15,FALSE),0)</f>
        <v>17012.62</v>
      </c>
      <c r="Q45" s="443">
        <f>IFERROR(VLOOKUP($A45,'PP DS Query'!$C$1:$R$1005,16,FALSE),0)</f>
        <v>-131377.57</v>
      </c>
      <c r="R45" s="48"/>
      <c r="U45" s="473">
        <f>SUM(U41:U44)</f>
        <v>0</v>
      </c>
      <c r="V45" s="473">
        <f>SUM(V41:V44)</f>
        <v>-850630.86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Common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51</v>
      </c>
      <c r="D49" s="34" t="s">
        <v>22</v>
      </c>
      <c r="E49" s="360" t="s">
        <v>359</v>
      </c>
      <c r="F49" s="358">
        <f>F13+F20+F27+F34+F41</f>
        <v>179879583.46000001</v>
      </c>
      <c r="G49" s="523">
        <f>IF($F49=0,0,H49/$F49)</f>
        <v>10.654981578141129</v>
      </c>
      <c r="H49" s="358">
        <f t="shared" ref="H49:H52" si="10">H13+H20+H27+H34+H41</f>
        <v>1916613648.05</v>
      </c>
      <c r="I49" s="523">
        <f>IF($F49=0,0,J49/$F49)</f>
        <v>36.158970340379724</v>
      </c>
      <c r="J49" s="358">
        <f>J13+J20+J27+J34+J41</f>
        <v>6504260523.1700001</v>
      </c>
      <c r="K49" s="523">
        <f>IF($F49=0,0,L49/$F49)</f>
        <v>27.499999999999996</v>
      </c>
      <c r="L49" s="358">
        <f>L13+L20+L27+L34+L41</f>
        <v>4946688545.1499996</v>
      </c>
      <c r="M49" s="19">
        <f>IF($F49=0,0,N49/$F49)</f>
        <v>0.24294163995391763</v>
      </c>
      <c r="N49" s="358">
        <f t="shared" ref="N49:P52" si="11">N13+N20+N27+N34+N41</f>
        <v>43700241</v>
      </c>
      <c r="O49" s="56">
        <f>-IF($F49=0,0,P49/$F49)</f>
        <v>-2.3210850056968439E-2</v>
      </c>
      <c r="P49" s="358">
        <f t="shared" si="11"/>
        <v>4175158.04</v>
      </c>
      <c r="Q49" s="358">
        <f t="shared" ref="Q49" si="12">Q13+Q20+Q27+Q34+Q41</f>
        <v>39379833.649999991</v>
      </c>
      <c r="R49" s="48"/>
    </row>
    <row r="50" spans="1:18" ht="15.95" customHeight="1" x14ac:dyDescent="0.2">
      <c r="A50" s="45"/>
      <c r="B50" s="45"/>
      <c r="C50" s="33">
        <v>30</v>
      </c>
      <c r="D50" s="34" t="s">
        <v>22</v>
      </c>
      <c r="E50" s="360" t="s">
        <v>405</v>
      </c>
      <c r="F50" s="358">
        <f>F14+F21+F28+F35+F42</f>
        <v>33113596.239999998</v>
      </c>
      <c r="G50" s="523">
        <f>IF($F50=0,0,H50/$F50)</f>
        <v>5.5321297035298986</v>
      </c>
      <c r="H50" s="358">
        <f t="shared" si="10"/>
        <v>183188709.34999996</v>
      </c>
      <c r="I50" s="523">
        <f>IF($F50=0,0,J50/$F50)</f>
        <v>28.727118535102367</v>
      </c>
      <c r="J50" s="358">
        <f>J14+J21+J28+J35+J42</f>
        <v>951258204.30999994</v>
      </c>
      <c r="K50" s="523">
        <f>IF($F50=0,0,L50/$F50)</f>
        <v>23.138301776913856</v>
      </c>
      <c r="L50" s="358">
        <f>L14+L21+L28+L35+L42</f>
        <v>766192382.71999991</v>
      </c>
      <c r="M50" s="19">
        <f>IF($F50=0,0,N50/$F50)</f>
        <v>0.20029627534046418</v>
      </c>
      <c r="N50" s="358">
        <f t="shared" si="11"/>
        <v>6632529.9899999993</v>
      </c>
      <c r="O50" s="56">
        <f>-IF($F50=0,0,P50/$F50)</f>
        <v>-3.7471391841794106E-2</v>
      </c>
      <c r="P50" s="358">
        <f t="shared" si="11"/>
        <v>1240812.54</v>
      </c>
      <c r="Q50" s="358">
        <f t="shared" ref="Q50" si="13">Q14+Q21+Q28+Q35+Q42</f>
        <v>5787277.1199999992</v>
      </c>
      <c r="R50" s="48"/>
    </row>
    <row r="51" spans="1:18" ht="15.95" customHeight="1" x14ac:dyDescent="0.2">
      <c r="A51" s="45"/>
      <c r="B51" s="45"/>
      <c r="C51" s="33">
        <v>20</v>
      </c>
      <c r="D51" s="34" t="s">
        <v>22</v>
      </c>
      <c r="E51" s="360" t="s">
        <v>407</v>
      </c>
      <c r="F51" s="358">
        <f>F15+F22+F29+F36+F43</f>
        <v>11561924.76</v>
      </c>
      <c r="G51" s="523">
        <f>IF($F51=0,0,H51/$F51)</f>
        <v>6.0004614283616915</v>
      </c>
      <c r="H51" s="358">
        <f t="shared" si="10"/>
        <v>69376883.560000002</v>
      </c>
      <c r="I51" s="523">
        <f>IF($F51=0,0,J51/$F51)</f>
        <v>20.000000000000004</v>
      </c>
      <c r="J51" s="358">
        <f>J15+J22+J29+J36+J43</f>
        <v>231238495.20000002</v>
      </c>
      <c r="K51" s="523">
        <f>IF($F51=0,0,L51/$F51)</f>
        <v>14.379824049296097</v>
      </c>
      <c r="L51" s="358">
        <f>L15+L22+L29+L36+L43</f>
        <v>166258443.72</v>
      </c>
      <c r="M51" s="19">
        <f>IF($F51=0,0,N51/$F51)</f>
        <v>0.28844421488866356</v>
      </c>
      <c r="N51" s="358">
        <f t="shared" si="11"/>
        <v>3334970.31</v>
      </c>
      <c r="O51" s="56">
        <f>-IF($F51=0,0,P51/$F51)</f>
        <v>-2.4488065428303306E-2</v>
      </c>
      <c r="P51" s="358">
        <f t="shared" si="11"/>
        <v>283129.17</v>
      </c>
      <c r="Q51" s="358">
        <f t="shared" ref="Q51" si="14">Q15+Q22+Q29+Q36+Q43</f>
        <v>3136217.46</v>
      </c>
      <c r="R51" s="48"/>
    </row>
    <row r="52" spans="1:18" ht="15.95" customHeight="1" thickBot="1" x14ac:dyDescent="0.25">
      <c r="A52" s="45"/>
      <c r="B52" s="45"/>
      <c r="C52" s="33">
        <v>12</v>
      </c>
      <c r="D52" s="34" t="s">
        <v>22</v>
      </c>
      <c r="E52" s="61" t="s">
        <v>359</v>
      </c>
      <c r="F52" s="250">
        <f>F16+F23+F30+F37+F44</f>
        <v>0</v>
      </c>
      <c r="G52" s="524">
        <f>IF($F52=0,0,H52/$F52)</f>
        <v>0</v>
      </c>
      <c r="H52" s="250">
        <f t="shared" si="10"/>
        <v>0</v>
      </c>
      <c r="I52" s="524">
        <f>IF($F52=0,0,J52/$F52)</f>
        <v>0</v>
      </c>
      <c r="J52" s="250">
        <f>J16+J23+J30+J37+J44</f>
        <v>0</v>
      </c>
      <c r="K52" s="524">
        <f>IF($F52=0,0,L52/$F52)</f>
        <v>0</v>
      </c>
      <c r="L52" s="250">
        <f>L16+L23+L30+L37+L44</f>
        <v>0</v>
      </c>
      <c r="M52" s="21">
        <f>IF($F52=0,0,N52/$F52)</f>
        <v>0</v>
      </c>
      <c r="N52" s="250">
        <f t="shared" si="11"/>
        <v>0</v>
      </c>
      <c r="O52" s="57">
        <f>-IF($F52=0,0,P52/$F52)</f>
        <v>0</v>
      </c>
      <c r="P52" s="250">
        <f t="shared" si="11"/>
        <v>0</v>
      </c>
      <c r="Q52" s="250">
        <f t="shared" ref="Q52" si="15">Q16+Q23+Q30+Q37+Q44</f>
        <v>0</v>
      </c>
      <c r="R52" s="48"/>
    </row>
    <row r="53" spans="1:18" ht="15.95" customHeight="1" x14ac:dyDescent="0.2">
      <c r="A53" s="45"/>
      <c r="B53" s="45"/>
      <c r="C53" s="33"/>
      <c r="D53" s="34"/>
      <c r="E53" s="15"/>
      <c r="F53" s="443">
        <f>SUM(F49:F52)</f>
        <v>224555104.46000001</v>
      </c>
      <c r="G53" s="525">
        <f>IF($F53=0,0,H53/$F53)</f>
        <v>9.6598972718805243</v>
      </c>
      <c r="H53" s="443">
        <f t="shared" ref="H53" si="16">SUM(H49:H52)</f>
        <v>2169179240.96</v>
      </c>
      <c r="I53" s="525">
        <f>IF($F53=0,0,J53/$F53)</f>
        <v>34.231050953683578</v>
      </c>
      <c r="J53" s="443">
        <f>SUM(J49:J52)</f>
        <v>7686757222.6799994</v>
      </c>
      <c r="K53" s="525">
        <f>IF($F53=0,0,L53/$F53)</f>
        <v>26.181276910751549</v>
      </c>
      <c r="L53" s="443">
        <f>SUM(L49:L52)</f>
        <v>5879139371.5900002</v>
      </c>
      <c r="M53" s="445">
        <f>IF($F53=0,0,N53/$F53)</f>
        <v>0.23899586441848103</v>
      </c>
      <c r="N53" s="443">
        <f t="shared" ref="N53:P53" si="17">SUM(N49:N52)</f>
        <v>53667741.300000004</v>
      </c>
      <c r="O53" s="446">
        <f>-IF($F53=0,0,P53/$F53)</f>
        <v>-2.5379515481088431E-2</v>
      </c>
      <c r="P53" s="443">
        <f t="shared" si="17"/>
        <v>5699099.75</v>
      </c>
      <c r="Q53" s="443">
        <f t="shared" ref="Q53" si="18">SUM(Q49:Q52)</f>
        <v>48303328.229999989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H55" s="39"/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34180</v>
      </c>
      <c r="F56" s="352">
        <f>IFERROR(VLOOKUP(E56,'2019 B-7'!C:P,14,FALSE),0)</f>
        <v>190101667.59000006</v>
      </c>
      <c r="G56" s="353">
        <f>F56-F17</f>
        <v>0</v>
      </c>
      <c r="H56" s="395"/>
      <c r="P56" s="260">
        <f>E56</f>
        <v>34180</v>
      </c>
      <c r="Q56" s="352">
        <f>IFERROR(VLOOKUP(P56,'2019 B-9'!C:R,16,FALSE),0)</f>
        <v>41576855.01000002</v>
      </c>
      <c r="R56" s="353">
        <f>Q56-Q17</f>
        <v>0</v>
      </c>
    </row>
    <row r="57" spans="1:18" x14ac:dyDescent="0.2">
      <c r="E57" s="260">
        <v>34280</v>
      </c>
      <c r="F57" s="352">
        <f>IFERROR(VLOOKUP(E57,'2019 B-7'!C:P,14,FALSE),0)</f>
        <v>9702986.4199999962</v>
      </c>
      <c r="G57" s="353">
        <f>F57-F24</f>
        <v>0</v>
      </c>
      <c r="H57" s="395"/>
      <c r="P57" s="260">
        <f t="shared" ref="P57:P60" si="19">E57</f>
        <v>34280</v>
      </c>
      <c r="Q57" s="352">
        <f>IFERROR(VLOOKUP(P57,'2019 B-9'!C:R,16,FALSE),0)</f>
        <v>3199498.8699999987</v>
      </c>
      <c r="R57" s="353">
        <f>Q57-Q24</f>
        <v>0</v>
      </c>
    </row>
    <row r="58" spans="1:18" x14ac:dyDescent="0.2">
      <c r="E58" s="260">
        <v>34380</v>
      </c>
      <c r="F58" s="352">
        <f>IFERROR(VLOOKUP(E58,'2019 B-7'!C:P,14,FALSE),0)</f>
        <v>10424249.149999999</v>
      </c>
      <c r="G58" s="353">
        <f>F58-F31</f>
        <v>9.9999979138374329E-3</v>
      </c>
      <c r="H58" s="395"/>
      <c r="P58" s="260">
        <f t="shared" si="19"/>
        <v>34380</v>
      </c>
      <c r="Q58" s="352">
        <f>IFERROR(VLOOKUP(P58,'2019 B-9'!C:R,16,FALSE),0)</f>
        <v>1646064.0100000002</v>
      </c>
      <c r="R58" s="353">
        <f>Q58-Q31</f>
        <v>0</v>
      </c>
    </row>
    <row r="59" spans="1:18" x14ac:dyDescent="0.2">
      <c r="E59" s="260">
        <v>34580</v>
      </c>
      <c r="F59" s="352">
        <f>IFERROR(VLOOKUP(E59,'2019 B-7'!C:P,14,FALSE),0)</f>
        <v>13904145.690000003</v>
      </c>
      <c r="G59" s="353">
        <f>F59-F38</f>
        <v>0</v>
      </c>
      <c r="H59" s="348"/>
      <c r="P59" s="260">
        <f t="shared" si="19"/>
        <v>34580</v>
      </c>
      <c r="Q59" s="352">
        <f>IFERROR(VLOOKUP(P59,'2019 B-9'!C:R,16,FALSE),0)</f>
        <v>2012287.9100000018</v>
      </c>
      <c r="R59" s="353">
        <f>Q59-Q38</f>
        <v>1.862645149230957E-9</v>
      </c>
    </row>
    <row r="60" spans="1:18" x14ac:dyDescent="0.2">
      <c r="E60" s="260">
        <v>34680</v>
      </c>
      <c r="F60" s="352">
        <f>IFERROR(VLOOKUP(E60,'2019 B-7'!C:P,14,FALSE),0)</f>
        <v>850630.8600000001</v>
      </c>
      <c r="G60" s="353">
        <f>F60-F45</f>
        <v>0</v>
      </c>
      <c r="H60" s="348"/>
      <c r="P60" s="260">
        <f t="shared" si="19"/>
        <v>34680</v>
      </c>
      <c r="Q60" s="352">
        <f>IFERROR(VLOOKUP(P60,'2019 B-9'!C:R,16,FALSE),0)</f>
        <v>-131377.57000000033</v>
      </c>
      <c r="R60" s="353">
        <f>Q60-Q45</f>
        <v>-3.2014213502407074E-10</v>
      </c>
    </row>
    <row r="61" spans="1:18" ht="13.5" thickBot="1" x14ac:dyDescent="0.25">
      <c r="E61" s="349" t="s">
        <v>40</v>
      </c>
      <c r="F61" s="354">
        <f>SUM(F56:F60)</f>
        <v>224983679.71000007</v>
      </c>
      <c r="G61" s="354">
        <f>SUM(G56:G60)</f>
        <v>9.9999979138374329E-3</v>
      </c>
      <c r="P61" s="349" t="s">
        <v>40</v>
      </c>
      <c r="Q61" s="354">
        <f>SUM(Q56:Q60)</f>
        <v>48303328.230000019</v>
      </c>
      <c r="R61" s="354">
        <f>SUM(R56:R60)</f>
        <v>1.5425030142068863E-9</v>
      </c>
    </row>
    <row r="62" spans="1:18" ht="13.5" thickTop="1" x14ac:dyDescent="0.2">
      <c r="E62" s="29"/>
      <c r="F62" s="353">
        <v>0</v>
      </c>
      <c r="G62" s="353">
        <v>0</v>
      </c>
      <c r="H62" s="39"/>
      <c r="P62" s="50"/>
      <c r="Q62" s="353">
        <f>Q61-Q53</f>
        <v>0</v>
      </c>
      <c r="R62" s="353">
        <f>R61-Q62</f>
        <v>1.5425030142068863E-9</v>
      </c>
    </row>
    <row r="63" spans="1:18" x14ac:dyDescent="0.2">
      <c r="E63" s="50"/>
      <c r="G63" s="18"/>
      <c r="H63" s="18"/>
    </row>
    <row r="64" spans="1:18" x14ac:dyDescent="0.2">
      <c r="E64" s="50"/>
      <c r="G64" s="29"/>
      <c r="H64" s="18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rowBreaks count="1" manualBreakCount="1">
    <brk id="53" max="13" man="1"/>
  </rowBreaks>
  <customProperties>
    <customPr name="_pios_id" r:id="rId2"/>
    <customPr name="EpmWorksheetKeyString_GUID" r:id="rId3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9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2.28515625" bestFit="1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32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2036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1267</v>
      </c>
      <c r="E12" s="50"/>
      <c r="P12" s="18"/>
      <c r="Q12" s="18"/>
      <c r="R12" s="48"/>
    </row>
    <row r="13" spans="1:22" ht="15.95" customHeight="1" x14ac:dyDescent="0.2">
      <c r="A13" s="396" t="s">
        <v>1055</v>
      </c>
      <c r="B13" s="499">
        <f>IFERROR(VLOOKUP($A13,'PP DS Query'!$C$1:$R$1005,5,FALSE),0)</f>
        <v>2036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42791705.539999999</v>
      </c>
      <c r="G13" s="523">
        <f>IFERROR(VLOOKUP($A13,'PP DS Query'!$C$1:$R$1005,7,FALSE),0)</f>
        <v>21.332751940000001</v>
      </c>
      <c r="H13" s="358">
        <f>IFERROR(VLOOKUP($A13,'PP DS Query'!$C$1:$R$1005,8,FALSE),0)</f>
        <v>912864839.40999997</v>
      </c>
      <c r="I13" s="523">
        <f>IFERROR(VLOOKUP($A13,'PP DS Query'!$C$1:$R$1005,9,FALSE),0)</f>
        <v>36.36</v>
      </c>
      <c r="J13" s="358">
        <f>IFERROR(VLOOKUP($A13,'PP DS Query'!$C$1:$R$1005,10,FALSE),0)</f>
        <v>1555906413.4300001</v>
      </c>
      <c r="K13" s="523">
        <f>IFERROR(VLOOKUP($A13,'PP DS Query'!$C$1:$R$1005,11,FALSE),0)</f>
        <v>16.5</v>
      </c>
      <c r="L13" s="358">
        <f>IFERROR(VLOOKUP($A13,'PP DS Query'!$C$1:$R$1005,12,FALSE),0)</f>
        <v>706063141.40999997</v>
      </c>
      <c r="M13" s="19">
        <f>IFERROR(VLOOKUP($A13,'PP DS Query'!$C$1:$R$1005,13,FALSE),0)</f>
        <v>0.55714465999999996</v>
      </c>
      <c r="N13" s="358">
        <f>IFERROR(VLOOKUP($A13,'PP DS Query'!$C$1:$R$1005,14,FALSE),0)</f>
        <v>23841170.170000002</v>
      </c>
      <c r="O13" s="56">
        <f>IFERROR(VLOOKUP($A13,'PP DS Query'!$C$1:$R$1005,4,FALSE),0)</f>
        <v>-0.02</v>
      </c>
      <c r="P13" s="358">
        <f>-IFERROR(VLOOKUP($A13,'PP DS Query'!$C$1:$R$1005,15,FALSE),0)</f>
        <v>855834.11</v>
      </c>
      <c r="Q13" s="358">
        <f>IFERROR(VLOOKUP($A13,'PP DS Query'!$C$1:$R$1005,16,FALSE),0)</f>
        <v>18817076.379999999</v>
      </c>
      <c r="R13" s="48"/>
      <c r="S13" s="472">
        <f>IFERROR(ROUND(LEFT(A13,7)*100,0),0)</f>
        <v>34181</v>
      </c>
      <c r="T13" s="472" t="s">
        <v>962</v>
      </c>
      <c r="U13" s="474">
        <f>IFERROR(VLOOKUP($S13,#REF!,6,FALSE),0)</f>
        <v>0</v>
      </c>
      <c r="V13" s="473">
        <f>U13-F13</f>
        <v>-42791705.539999999</v>
      </c>
    </row>
    <row r="14" spans="1:22" ht="15.95" customHeight="1" x14ac:dyDescent="0.2">
      <c r="A14" s="396" t="s">
        <v>1056</v>
      </c>
      <c r="B14" s="499">
        <f>IFERROR(VLOOKUP($A14,'PP DS Query'!$C$1:$R$1005,5,FALSE),0)</f>
        <v>2036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3239850.36</v>
      </c>
      <c r="G14" s="523">
        <f>IFERROR(VLOOKUP($A14,'PP DS Query'!$C$1:$R$1005,7,FALSE),0)</f>
        <v>15.32490351</v>
      </c>
      <c r="H14" s="358">
        <f>IFERROR(VLOOKUP($A14,'PP DS Query'!$C$1:$R$1005,8,FALSE),0)</f>
        <v>49650394.140000001</v>
      </c>
      <c r="I14" s="523">
        <f>IFERROR(VLOOKUP($A14,'PP DS Query'!$C$1:$R$1005,9,FALSE),0)</f>
        <v>25.41</v>
      </c>
      <c r="J14" s="358">
        <f>IFERROR(VLOOKUP($A14,'PP DS Query'!$C$1:$R$1005,10,FALSE),0)</f>
        <v>82324597.650000006</v>
      </c>
      <c r="K14" s="523">
        <f>IFERROR(VLOOKUP($A14,'PP DS Query'!$C$1:$R$1005,11,FALSE),0)</f>
        <v>12.278464</v>
      </c>
      <c r="L14" s="358">
        <f>IFERROR(VLOOKUP($A14,'PP DS Query'!$C$1:$R$1005,12,FALSE),0)</f>
        <v>39780386.009999998</v>
      </c>
      <c r="M14" s="19">
        <f>IFERROR(VLOOKUP($A14,'PP DS Query'!$C$1:$R$1005,13,FALSE),0)</f>
        <v>0.52713692999999995</v>
      </c>
      <c r="N14" s="358">
        <f>IFERROR(VLOOKUP($A14,'PP DS Query'!$C$1:$R$1005,14,FALSE),0)</f>
        <v>1707844.78</v>
      </c>
      <c r="O14" s="56">
        <f>IFERROR(VLOOKUP($A14,'PP DS Query'!$C$1:$R$1005,4,FALSE),0)</f>
        <v>-0.02</v>
      </c>
      <c r="P14" s="358">
        <f>-IFERROR(VLOOKUP($A14,'PP DS Query'!$C$1:$R$1005,15,FALSE),0)</f>
        <v>64797.01</v>
      </c>
      <c r="Q14" s="358">
        <f>IFERROR(VLOOKUP($A14,'PP DS Query'!$C$1:$R$1005,16,FALSE),0)</f>
        <v>1347947.5</v>
      </c>
      <c r="R14" s="48"/>
      <c r="S14" s="472">
        <f t="shared" ref="S14:S16" si="0">IFERROR(ROUND(LEFT(A14,7)*100,0),0)</f>
        <v>34181</v>
      </c>
      <c r="T14" s="472" t="s">
        <v>963</v>
      </c>
      <c r="U14" s="474">
        <f>IFERROR(VLOOKUP($S14,#REF!,7,FALSE),0)</f>
        <v>0</v>
      </c>
      <c r="V14" s="473">
        <f t="shared" ref="V14:V16" si="1">U14-F14</f>
        <v>-3239850.36</v>
      </c>
    </row>
    <row r="15" spans="1:22" ht="15.95" customHeight="1" x14ac:dyDescent="0.2">
      <c r="A15" s="396" t="s">
        <v>1057</v>
      </c>
      <c r="B15" s="499">
        <f>IFERROR(VLOOKUP($A15,'PP DS Query'!$C$1:$R$1005,5,FALSE),0)</f>
        <v>2036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S4</v>
      </c>
      <c r="F15" s="358">
        <f>IFERROR(VLOOKUP($A15,'PP DS Query'!$C$1:$R$1005,6,FALSE),0)</f>
        <v>3588388.05</v>
      </c>
      <c r="G15" s="523">
        <f>IFERROR(VLOOKUP($A15,'PP DS Query'!$C$1:$R$1005,7,FALSE),0)</f>
        <v>16.02768536</v>
      </c>
      <c r="H15" s="358">
        <f>IFERROR(VLOOKUP($A15,'PP DS Query'!$C$1:$R$1005,8,FALSE),0)</f>
        <v>57513554.600000001</v>
      </c>
      <c r="I15" s="523">
        <f>IFERROR(VLOOKUP($A15,'PP DS Query'!$C$1:$R$1005,9,FALSE),0)</f>
        <v>19.850000000000001</v>
      </c>
      <c r="J15" s="358">
        <f>IFERROR(VLOOKUP($A15,'PP DS Query'!$C$1:$R$1005,10,FALSE),0)</f>
        <v>71229502.790000007</v>
      </c>
      <c r="K15" s="523">
        <f>IFERROR(VLOOKUP($A15,'PP DS Query'!$C$1:$R$1005,11,FALSE),0)</f>
        <v>6.233949</v>
      </c>
      <c r="L15" s="358">
        <f>IFERROR(VLOOKUP($A15,'PP DS Query'!$C$1:$R$1005,12,FALSE),0)</f>
        <v>22369828.100000001</v>
      </c>
      <c r="M15" s="19">
        <f>IFERROR(VLOOKUP($A15,'PP DS Query'!$C$1:$R$1005,13,FALSE),0)</f>
        <v>0.69962594</v>
      </c>
      <c r="N15" s="358">
        <f>IFERROR(VLOOKUP($A15,'PP DS Query'!$C$1:$R$1005,14,FALSE),0)</f>
        <v>2510529.38</v>
      </c>
      <c r="O15" s="56">
        <f>IFERROR(VLOOKUP($A15,'PP DS Query'!$C$1:$R$1005,4,FALSE),0)</f>
        <v>-0.02</v>
      </c>
      <c r="P15" s="358">
        <f>-IFERROR(VLOOKUP($A15,'PP DS Query'!$C$1:$R$1005,15,FALSE),0)</f>
        <v>71767.759999999995</v>
      </c>
      <c r="Q15" s="358">
        <f>IFERROR(VLOOKUP($A15,'PP DS Query'!$C$1:$R$1005,16,FALSE),0)</f>
        <v>1981480.89</v>
      </c>
      <c r="R15" s="48"/>
      <c r="S15" s="472">
        <f t="shared" si="0"/>
        <v>34181</v>
      </c>
      <c r="T15" s="472" t="s">
        <v>964</v>
      </c>
      <c r="U15" s="474">
        <f>IFERROR(VLOOKUP($S15,#REF!,8,FALSE),0)</f>
        <v>0</v>
      </c>
      <c r="V15" s="473">
        <f t="shared" si="1"/>
        <v>-3588388.05</v>
      </c>
    </row>
    <row r="16" spans="1:22" ht="15.95" customHeight="1" thickBot="1" x14ac:dyDescent="0.25">
      <c r="A16" s="396" t="s">
        <v>1068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34181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638</v>
      </c>
      <c r="B17" s="499">
        <f>IFERROR(VLOOKUP($A17,'PP DS Query'!$C$1:$R$1005,5,FALSE),0)</f>
        <v>2036</v>
      </c>
      <c r="C17" s="33"/>
      <c r="D17" s="34"/>
      <c r="E17" s="15"/>
      <c r="F17" s="443">
        <f>IFERROR(VLOOKUP($A17,'PP DS Query'!$C$1:$R$1005,6,FALSE),0)</f>
        <v>49619943.950000003</v>
      </c>
      <c r="G17" s="525">
        <f>IFERROR(VLOOKUP($A17,'PP DS Query'!$C$1:$R$1005,7,FALSE),0)</f>
        <v>20.556830720000001</v>
      </c>
      <c r="H17" s="443">
        <f>IFERROR(VLOOKUP($A17,'PP DS Query'!$C$1:$R$1005,8,FALSE),0)</f>
        <v>1020028788.16</v>
      </c>
      <c r="I17" s="525">
        <f>IFERROR(VLOOKUP($A17,'PP DS Query'!$C$1:$R$1005,9,FALSE),0)</f>
        <v>34.451077079999997</v>
      </c>
      <c r="J17" s="443">
        <f>IFERROR(VLOOKUP($A17,'PP DS Query'!$C$1:$R$1005,10,FALSE),0)</f>
        <v>1709460513.8699999</v>
      </c>
      <c r="K17" s="525">
        <f>IFERROR(VLOOKUP($A17,'PP DS Query'!$C$1:$R$1005,11,FALSE),0)</f>
        <v>15.48194726</v>
      </c>
      <c r="L17" s="443">
        <f>IFERROR(VLOOKUP($A17,'PP DS Query'!$C$1:$R$1005,12,FALSE),0)</f>
        <v>768213355.51999998</v>
      </c>
      <c r="M17" s="445">
        <f>IFERROR(VLOOKUP($A17,'PP DS Query'!$C$1:$R$1005,13,FALSE),0)</f>
        <v>0.56548924</v>
      </c>
      <c r="N17" s="443">
        <f>IFERROR(VLOOKUP($A17,'PP DS Query'!$C$1:$R$1005,14,FALSE),0)</f>
        <v>28059544.329999998</v>
      </c>
      <c r="O17" s="446">
        <f>IFERROR(VLOOKUP($A17,'PP DS Query'!$C$1:$R$1005,4,FALSE),0)</f>
        <v>-0.02</v>
      </c>
      <c r="P17" s="443">
        <f>-IFERROR(VLOOKUP($A17,'PP DS Query'!$C$1:$R$1005,15,FALSE),0)</f>
        <v>992398.88</v>
      </c>
      <c r="Q17" s="443">
        <f>IFERROR(VLOOKUP($A17,'PP DS Query'!$C$1:$R$1005,16,FALSE),0)</f>
        <v>22146504.77</v>
      </c>
      <c r="R17" s="48"/>
      <c r="U17" s="473">
        <f>SUM(U13:U16)</f>
        <v>0</v>
      </c>
      <c r="V17" s="473">
        <f>SUM(V13:V16)</f>
        <v>-49619943.949999996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1268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647</v>
      </c>
      <c r="B20" s="499">
        <f>IFERROR(VLOOKUP($A20,'PP DS Query'!$C$1:$R$1005,5,FALSE),0)</f>
        <v>2036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140383590.97</v>
      </c>
      <c r="G20" s="523">
        <f>IFERROR(VLOOKUP($A20,'PP DS Query'!$C$1:$R$1005,7,FALSE),0)</f>
        <v>20.025244359999999</v>
      </c>
      <c r="H20" s="358">
        <f>IFERROR(VLOOKUP($A20,'PP DS Query'!$C$1:$R$1005,8,FALSE),0)</f>
        <v>2811215712.73</v>
      </c>
      <c r="I20" s="523">
        <f>IFERROR(VLOOKUP($A20,'PP DS Query'!$C$1:$R$1005,9,FALSE),0)</f>
        <v>34.67</v>
      </c>
      <c r="J20" s="358">
        <f>IFERROR(VLOOKUP($A20,'PP DS Query'!$C$1:$R$1005,10,FALSE),0)</f>
        <v>4867099098.9300003</v>
      </c>
      <c r="K20" s="523">
        <f>IFERROR(VLOOKUP($A20,'PP DS Query'!$C$1:$R$1005,11,FALSE),0)</f>
        <v>16.5</v>
      </c>
      <c r="L20" s="358">
        <f>IFERROR(VLOOKUP($A20,'PP DS Query'!$C$1:$R$1005,12,FALSE),0)</f>
        <v>2316329251.0100002</v>
      </c>
      <c r="M20" s="19">
        <f>IFERROR(VLOOKUP($A20,'PP DS Query'!$C$1:$R$1005,13,FALSE),0)</f>
        <v>0.55028164999999996</v>
      </c>
      <c r="N20" s="358">
        <f>IFERROR(VLOOKUP($A20,'PP DS Query'!$C$1:$R$1005,14,FALSE),0)</f>
        <v>77250514.379999995</v>
      </c>
      <c r="O20" s="56">
        <f>IFERROR(VLOOKUP($A20,'PP DS Query'!$C$1:$R$1005,4,FALSE),0)</f>
        <v>-0.05</v>
      </c>
      <c r="P20" s="358">
        <f>-IFERROR(VLOOKUP($A20,'PP DS Query'!$C$1:$R$1005,15,FALSE),0)</f>
        <v>7019179.5499999998</v>
      </c>
      <c r="Q20" s="358">
        <f>IFERROR(VLOOKUP($A20,'PP DS Query'!$C$1:$R$1005,16,FALSE),0)</f>
        <v>64932709.689999998</v>
      </c>
      <c r="R20" s="48"/>
      <c r="S20" s="472">
        <f>IFERROR(ROUND(LEFT(A20,7)*100,0),0)</f>
        <v>34281</v>
      </c>
      <c r="T20" s="472" t="s">
        <v>962</v>
      </c>
      <c r="U20" s="474">
        <f>IFERROR(VLOOKUP($S20,#REF!,6,FALSE),0)</f>
        <v>0</v>
      </c>
      <c r="V20" s="473">
        <f>U20-F20</f>
        <v>-140383590.97</v>
      </c>
    </row>
    <row r="21" spans="1:22" ht="15.95" customHeight="1" x14ac:dyDescent="0.2">
      <c r="A21" s="49" t="s">
        <v>648</v>
      </c>
      <c r="B21" s="499">
        <f>IFERROR(VLOOKUP($A21,'PP DS Query'!$C$1:$R$1005,5,FALSE),0)</f>
        <v>2036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91527617.719999999</v>
      </c>
      <c r="G21" s="523">
        <f>IFERROR(VLOOKUP($A21,'PP DS Query'!$C$1:$R$1005,7,FALSE),0)</f>
        <v>14.125352169999999</v>
      </c>
      <c r="H21" s="358">
        <f>IFERROR(VLOOKUP($A21,'PP DS Query'!$C$1:$R$1005,8,FALSE),0)</f>
        <v>1292859833.98</v>
      </c>
      <c r="I21" s="523">
        <f>IFERROR(VLOOKUP($A21,'PP DS Query'!$C$1:$R$1005,9,FALSE),0)</f>
        <v>24.71</v>
      </c>
      <c r="J21" s="358">
        <f>IFERROR(VLOOKUP($A21,'PP DS Query'!$C$1:$R$1005,10,FALSE),0)</f>
        <v>2261647433.8600001</v>
      </c>
      <c r="K21" s="523">
        <f>IFERROR(VLOOKUP($A21,'PP DS Query'!$C$1:$R$1005,11,FALSE),0)</f>
        <v>12.845116000000001</v>
      </c>
      <c r="L21" s="358">
        <f>IFERROR(VLOOKUP($A21,'PP DS Query'!$C$1:$R$1005,12,FALSE),0)</f>
        <v>1175682866.8199999</v>
      </c>
      <c r="M21" s="19">
        <f>IFERROR(VLOOKUP($A21,'PP DS Query'!$C$1:$R$1005,13,FALSE),0)</f>
        <v>0.50418943999999999</v>
      </c>
      <c r="N21" s="358">
        <f>IFERROR(VLOOKUP($A21,'PP DS Query'!$C$1:$R$1005,14,FALSE),0)</f>
        <v>46147258.420000002</v>
      </c>
      <c r="O21" s="56">
        <f>IFERROR(VLOOKUP($A21,'PP DS Query'!$C$1:$R$1005,4,FALSE),0)</f>
        <v>-0.05</v>
      </c>
      <c r="P21" s="358">
        <f>-IFERROR(VLOOKUP($A21,'PP DS Query'!$C$1:$R$1005,15,FALSE),0)</f>
        <v>4576380.8899999997</v>
      </c>
      <c r="Q21" s="358">
        <f>IFERROR(VLOOKUP($A21,'PP DS Query'!$C$1:$R$1005,16,FALSE),0)</f>
        <v>38788952.509999998</v>
      </c>
      <c r="R21" s="48"/>
      <c r="S21" s="472">
        <f t="shared" ref="S21:S23" si="2">IFERROR(ROUND(LEFT(A21,7)*100,0),0)</f>
        <v>34281</v>
      </c>
      <c r="T21" s="472" t="s">
        <v>963</v>
      </c>
      <c r="U21" s="474">
        <f>IFERROR(VLOOKUP($S21,#REF!,7,FALSE),0)</f>
        <v>0</v>
      </c>
      <c r="V21" s="473">
        <f t="shared" ref="V21:V23" si="3">U21-F21</f>
        <v>-91527617.719999999</v>
      </c>
    </row>
    <row r="22" spans="1:22" s="40" customFormat="1" ht="15.95" customHeight="1" x14ac:dyDescent="0.2">
      <c r="A22" s="60" t="s">
        <v>649</v>
      </c>
      <c r="B22" s="499">
        <f>IFERROR(VLOOKUP($A22,'PP DS Query'!$C$1:$R$1005,5,FALSE),0)</f>
        <v>2036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11926613.07</v>
      </c>
      <c r="G22" s="523">
        <f>IFERROR(VLOOKUP($A22,'PP DS Query'!$C$1:$R$1005,7,FALSE),0)</f>
        <v>11.94346702</v>
      </c>
      <c r="H22" s="358">
        <f>IFERROR(VLOOKUP($A22,'PP DS Query'!$C$1:$R$1005,8,FALSE),0)</f>
        <v>142445109.88</v>
      </c>
      <c r="I22" s="523">
        <f>IFERROR(VLOOKUP($A22,'PP DS Query'!$C$1:$R$1005,9,FALSE),0)</f>
        <v>19.100000000000001</v>
      </c>
      <c r="J22" s="358">
        <f>IFERROR(VLOOKUP($A22,'PP DS Query'!$C$1:$R$1005,10,FALSE),0)</f>
        <v>227798309.63999999</v>
      </c>
      <c r="K22" s="523">
        <f>IFERROR(VLOOKUP($A22,'PP DS Query'!$C$1:$R$1005,11,FALSE),0)</f>
        <v>9.5829529999999998</v>
      </c>
      <c r="L22" s="358">
        <f>IFERROR(VLOOKUP($A22,'PP DS Query'!$C$1:$R$1005,12,FALSE),0)</f>
        <v>114292172.5</v>
      </c>
      <c r="M22" s="19">
        <f>IFERROR(VLOOKUP($A22,'PP DS Query'!$C$1:$R$1005,13,FALSE),0)</f>
        <v>0.52327372000000005</v>
      </c>
      <c r="N22" s="358">
        <f>IFERROR(VLOOKUP($A22,'PP DS Query'!$C$1:$R$1005,14,FALSE),0)</f>
        <v>6240883.1299999999</v>
      </c>
      <c r="O22" s="56">
        <f>IFERROR(VLOOKUP($A22,'PP DS Query'!$C$1:$R$1005,4,FALSE),0)</f>
        <v>-0.05</v>
      </c>
      <c r="P22" s="358">
        <f>-IFERROR(VLOOKUP($A22,'PP DS Query'!$C$1:$R$1005,15,FALSE),0)</f>
        <v>596330.65</v>
      </c>
      <c r="Q22" s="358">
        <f>IFERROR(VLOOKUP($A22,'PP DS Query'!$C$1:$R$1005,16,FALSE),0)</f>
        <v>5245757.34</v>
      </c>
      <c r="R22" s="48"/>
      <c r="S22" s="472">
        <f t="shared" si="2"/>
        <v>34281</v>
      </c>
      <c r="T22" s="472" t="s">
        <v>964</v>
      </c>
      <c r="U22" s="474">
        <f>IFERROR(VLOOKUP($S22,#REF!,8,FALSE),0)</f>
        <v>0</v>
      </c>
      <c r="V22" s="473">
        <f t="shared" si="3"/>
        <v>-11926613.07</v>
      </c>
    </row>
    <row r="23" spans="1:22" ht="15.95" customHeight="1" thickBot="1" x14ac:dyDescent="0.25">
      <c r="A23" s="398" t="s">
        <v>902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34281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650</v>
      </c>
      <c r="B24" s="499">
        <f>IFERROR(VLOOKUP($A24,'PP DS Query'!$C$1:$R$1005,5,FALSE),0)</f>
        <v>2036</v>
      </c>
      <c r="C24" s="33"/>
      <c r="D24" s="34"/>
      <c r="E24" s="15"/>
      <c r="F24" s="443">
        <f>IFERROR(VLOOKUP($A24,'PP DS Query'!$C$1:$R$1005,6,FALSE),0)</f>
        <v>243837821.75999999</v>
      </c>
      <c r="G24" s="525">
        <f>IFERROR(VLOOKUP($A24,'PP DS Query'!$C$1:$R$1005,7,FALSE),0)</f>
        <v>17.415348550000001</v>
      </c>
      <c r="H24" s="443">
        <f>IFERROR(VLOOKUP($A24,'PP DS Query'!$C$1:$R$1005,8,FALSE),0)</f>
        <v>4246520656.5799999</v>
      </c>
      <c r="I24" s="525">
        <f>IFERROR(VLOOKUP($A24,'PP DS Query'!$C$1:$R$1005,9,FALSE),0)</f>
        <v>30.16982677</v>
      </c>
      <c r="J24" s="443">
        <f>IFERROR(VLOOKUP($A24,'PP DS Query'!$C$1:$R$1005,10,FALSE),0)</f>
        <v>7356544842.4300003</v>
      </c>
      <c r="K24" s="525">
        <f>IFERROR(VLOOKUP($A24,'PP DS Query'!$C$1:$R$1005,11,FALSE),0)</f>
        <v>14.78976585</v>
      </c>
      <c r="L24" s="443">
        <f>IFERROR(VLOOKUP($A24,'PP DS Query'!$C$1:$R$1005,12,FALSE),0)</f>
        <v>3606304290.3200002</v>
      </c>
      <c r="M24" s="445">
        <f>IFERROR(VLOOKUP($A24,'PP DS Query'!$C$1:$R$1005,13,FALSE),0)</f>
        <v>0.53165934000000004</v>
      </c>
      <c r="N24" s="443">
        <f>IFERROR(VLOOKUP($A24,'PP DS Query'!$C$1:$R$1005,14,FALSE),0)</f>
        <v>129638655.93000001</v>
      </c>
      <c r="O24" s="446">
        <f>IFERROR(VLOOKUP($A24,'PP DS Query'!$C$1:$R$1005,4,FALSE),0)</f>
        <v>-0.05</v>
      </c>
      <c r="P24" s="443">
        <f>-IFERROR(VLOOKUP($A24,'PP DS Query'!$C$1:$R$1005,15,FALSE),0)</f>
        <v>12191891.09</v>
      </c>
      <c r="Q24" s="443">
        <f>IFERROR(VLOOKUP($A24,'PP DS Query'!$C$1:$R$1005,16,FALSE),0)</f>
        <v>108967419.54000001</v>
      </c>
      <c r="R24" s="48"/>
      <c r="U24" s="473">
        <f>SUM(U20:U23)</f>
        <v>0</v>
      </c>
      <c r="V24" s="473">
        <f>SUM(V20:V23)</f>
        <v>-243837821.75999999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1269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671</v>
      </c>
      <c r="B27" s="499">
        <f>IFERROR(VLOOKUP($A27,'PP DS Query'!$C$1:$R$1005,5,FALSE),0)</f>
        <v>2036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52558537.729999997</v>
      </c>
      <c r="G27" s="523">
        <f>IFERROR(VLOOKUP($A27,'PP DS Query'!$C$1:$R$1005,7,FALSE),0)</f>
        <v>22.076568829999999</v>
      </c>
      <c r="H27" s="358">
        <f>IFERROR(VLOOKUP($A27,'PP DS Query'!$C$1:$R$1005,8,FALSE),0)</f>
        <v>1160312175.9300001</v>
      </c>
      <c r="I27" s="523">
        <f>IFERROR(VLOOKUP($A27,'PP DS Query'!$C$1:$R$1005,9,FALSE),0)</f>
        <v>37.58</v>
      </c>
      <c r="J27" s="358">
        <f>IFERROR(VLOOKUP($A27,'PP DS Query'!$C$1:$R$1005,10,FALSE),0)</f>
        <v>1975149847.8900001</v>
      </c>
      <c r="K27" s="523">
        <f>IFERROR(VLOOKUP($A27,'PP DS Query'!$C$1:$R$1005,11,FALSE),0)</f>
        <v>16.5</v>
      </c>
      <c r="L27" s="358">
        <f>IFERROR(VLOOKUP($A27,'PP DS Query'!$C$1:$R$1005,12,FALSE),0)</f>
        <v>867215872.54999995</v>
      </c>
      <c r="M27" s="19">
        <f>IFERROR(VLOOKUP($A27,'PP DS Query'!$C$1:$R$1005,13,FALSE),0)</f>
        <v>0.60015366999999997</v>
      </c>
      <c r="N27" s="358">
        <f>IFERROR(VLOOKUP($A27,'PP DS Query'!$C$1:$R$1005,14,FALSE),0)</f>
        <v>31543199.280000001</v>
      </c>
      <c r="O27" s="56">
        <f>IFERROR(VLOOKUP($A27,'PP DS Query'!$C$1:$R$1005,4,FALSE),0)</f>
        <v>-7.0000000000000007E-2</v>
      </c>
      <c r="P27" s="358">
        <f>-IFERROR(VLOOKUP($A27,'PP DS Query'!$C$1:$R$1005,15,FALSE),0)</f>
        <v>3679097.64</v>
      </c>
      <c r="Q27" s="358">
        <f>IFERROR(VLOOKUP($A27,'PP DS Query'!$C$1:$R$1005,16,FALSE),0)</f>
        <v>27502418.600000001</v>
      </c>
      <c r="R27" s="48"/>
      <c r="S27" s="472">
        <f>IFERROR(ROUND(LEFT(A27,7)*100,0),0)</f>
        <v>34381</v>
      </c>
      <c r="T27" s="472" t="s">
        <v>962</v>
      </c>
      <c r="U27" s="474">
        <f>IFERROR(VLOOKUP($S27,#REF!,6,FALSE),0)</f>
        <v>0</v>
      </c>
      <c r="V27" s="473">
        <f>U27-F27</f>
        <v>-52558537.729999997</v>
      </c>
    </row>
    <row r="28" spans="1:22" ht="15.95" customHeight="1" x14ac:dyDescent="0.2">
      <c r="A28" s="60" t="s">
        <v>672</v>
      </c>
      <c r="B28" s="499">
        <f>IFERROR(VLOOKUP($A28,'PP DS Query'!$C$1:$R$1005,5,FALSE),0)</f>
        <v>2036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73045626.709999993</v>
      </c>
      <c r="G28" s="523">
        <f>IFERROR(VLOOKUP($A28,'PP DS Query'!$C$1:$R$1005,7,FALSE),0)</f>
        <v>15.664084770000001</v>
      </c>
      <c r="H28" s="358">
        <f>IFERROR(VLOOKUP($A28,'PP DS Query'!$C$1:$R$1005,8,FALSE),0)</f>
        <v>1144192889.2</v>
      </c>
      <c r="I28" s="523">
        <f>IFERROR(VLOOKUP($A28,'PP DS Query'!$C$1:$R$1005,9,FALSE),0)</f>
        <v>24.96</v>
      </c>
      <c r="J28" s="358">
        <f>IFERROR(VLOOKUP($A28,'PP DS Query'!$C$1:$R$1005,10,FALSE),0)</f>
        <v>1823218842.6800001</v>
      </c>
      <c r="K28" s="523">
        <f>IFERROR(VLOOKUP($A28,'PP DS Query'!$C$1:$R$1005,11,FALSE),0)</f>
        <v>11.989744999999999</v>
      </c>
      <c r="L28" s="358">
        <f>IFERROR(VLOOKUP($A28,'PP DS Query'!$C$1:$R$1005,12,FALSE),0)</f>
        <v>875798437.62</v>
      </c>
      <c r="M28" s="19">
        <f>IFERROR(VLOOKUP($A28,'PP DS Query'!$C$1:$R$1005,13,FALSE),0)</f>
        <v>0.55598223000000002</v>
      </c>
      <c r="N28" s="358">
        <f>IFERROR(VLOOKUP($A28,'PP DS Query'!$C$1:$R$1005,14,FALSE),0)</f>
        <v>40612070.670000002</v>
      </c>
      <c r="O28" s="56">
        <f>IFERROR(VLOOKUP($A28,'PP DS Query'!$C$1:$R$1005,4,FALSE),0)</f>
        <v>-7.0000000000000007E-2</v>
      </c>
      <c r="P28" s="358">
        <f>-IFERROR(VLOOKUP($A28,'PP DS Query'!$C$1:$R$1005,15,FALSE),0)</f>
        <v>5113193.87</v>
      </c>
      <c r="Q28" s="358">
        <f>IFERROR(VLOOKUP($A28,'PP DS Query'!$C$1:$R$1005,16,FALSE),0)</f>
        <v>35409539.719999999</v>
      </c>
      <c r="R28" s="48"/>
      <c r="S28" s="472">
        <f t="shared" ref="S28:S30" si="4">IFERROR(ROUND(LEFT(A28,7)*100,0),0)</f>
        <v>34381</v>
      </c>
      <c r="T28" s="472" t="s">
        <v>963</v>
      </c>
      <c r="U28" s="474">
        <f>IFERROR(VLOOKUP($S28,#REF!,7,FALSE),0)</f>
        <v>0</v>
      </c>
      <c r="V28" s="473">
        <f t="shared" ref="V28:V30" si="5">U28-F28</f>
        <v>-73045626.709999993</v>
      </c>
    </row>
    <row r="29" spans="1:22" s="40" customFormat="1" ht="15.95" customHeight="1" x14ac:dyDescent="0.2">
      <c r="A29" s="49" t="s">
        <v>673</v>
      </c>
      <c r="B29" s="499">
        <f>IFERROR(VLOOKUP($A29,'PP DS Query'!$C$1:$R$1005,5,FALSE),0)</f>
        <v>2036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3061709.37</v>
      </c>
      <c r="G29" s="523">
        <f>IFERROR(VLOOKUP($A29,'PP DS Query'!$C$1:$R$1005,7,FALSE),0)</f>
        <v>21.06202751</v>
      </c>
      <c r="H29" s="358">
        <f>IFERROR(VLOOKUP($A29,'PP DS Query'!$C$1:$R$1005,8,FALSE),0)</f>
        <v>64485806.969999999</v>
      </c>
      <c r="I29" s="523">
        <f>IFERROR(VLOOKUP($A29,'PP DS Query'!$C$1:$R$1005,9,FALSE),0)</f>
        <v>19.760000000000002</v>
      </c>
      <c r="J29" s="358">
        <f>IFERROR(VLOOKUP($A29,'PP DS Query'!$C$1:$R$1005,10,FALSE),0)</f>
        <v>60499377.149999999</v>
      </c>
      <c r="K29" s="523">
        <f>IFERROR(VLOOKUP($A29,'PP DS Query'!$C$1:$R$1005,11,FALSE),0)</f>
        <v>4.3492839999999999</v>
      </c>
      <c r="L29" s="358">
        <f>IFERROR(VLOOKUP($A29,'PP DS Query'!$C$1:$R$1005,12,FALSE),0)</f>
        <v>13316243.58</v>
      </c>
      <c r="M29" s="19">
        <f>IFERROR(VLOOKUP($A29,'PP DS Query'!$C$1:$R$1005,13,FALSE),0)</f>
        <v>0.83447804000000003</v>
      </c>
      <c r="N29" s="358">
        <f>IFERROR(VLOOKUP($A29,'PP DS Query'!$C$1:$R$1005,14,FALSE),0)</f>
        <v>2554929.23</v>
      </c>
      <c r="O29" s="56">
        <f>IFERROR(VLOOKUP($A29,'PP DS Query'!$C$1:$R$1005,4,FALSE),0)</f>
        <v>-7.0000000000000007E-2</v>
      </c>
      <c r="P29" s="358">
        <f>-IFERROR(VLOOKUP($A29,'PP DS Query'!$C$1:$R$1005,15,FALSE),0)</f>
        <v>214319.66</v>
      </c>
      <c r="Q29" s="358">
        <f>IFERROR(VLOOKUP($A29,'PP DS Query'!$C$1:$R$1005,16,FALSE),0)</f>
        <v>2227634.9500000002</v>
      </c>
      <c r="R29" s="48"/>
      <c r="S29" s="472">
        <f t="shared" si="4"/>
        <v>34381</v>
      </c>
      <c r="T29" s="472" t="s">
        <v>964</v>
      </c>
      <c r="U29" s="474">
        <f>IFERROR(VLOOKUP($S29,#REF!,8,FALSE),0)</f>
        <v>0</v>
      </c>
      <c r="V29" s="473">
        <f t="shared" si="5"/>
        <v>-3061709.37</v>
      </c>
    </row>
    <row r="30" spans="1:22" ht="15.95" customHeight="1" thickBot="1" x14ac:dyDescent="0.25">
      <c r="A30" s="49" t="s">
        <v>670</v>
      </c>
      <c r="B30" s="499">
        <f>IFERROR(VLOOKUP($A30,'PP DS Query'!$C$1:$R$1005,5,FALSE),0)</f>
        <v>2036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17475357.149999999</v>
      </c>
      <c r="G30" s="524">
        <f>IFERROR(VLOOKUP($A30,'PP DS Query'!$C$1:$R$1005,7,FALSE),0)</f>
        <v>2.7732671400000002</v>
      </c>
      <c r="H30" s="250">
        <f>IFERROR(VLOOKUP($A30,'PP DS Query'!$C$1:$R$1005,8,FALSE),0)</f>
        <v>48463833.670000002</v>
      </c>
      <c r="I30" s="524">
        <f>IFERROR(VLOOKUP($A30,'PP DS Query'!$C$1:$R$1005,9,FALSE),0)</f>
        <v>12</v>
      </c>
      <c r="J30" s="250">
        <f>IFERROR(VLOOKUP($A30,'PP DS Query'!$C$1:$R$1005,10,FALSE),0)</f>
        <v>209704285.80000001</v>
      </c>
      <c r="K30" s="524">
        <f>IFERROR(VLOOKUP($A30,'PP DS Query'!$C$1:$R$1005,11,FALSE),0)</f>
        <v>9.2267329999999994</v>
      </c>
      <c r="L30" s="250">
        <f>IFERROR(VLOOKUP($A30,'PP DS Query'!$C$1:$R$1005,12,FALSE),0)</f>
        <v>161240454.5</v>
      </c>
      <c r="M30" s="21">
        <f>IFERROR(VLOOKUP($A30,'PP DS Query'!$C$1:$R$1005,13,FALSE),0)</f>
        <v>0.24728299000000001</v>
      </c>
      <c r="N30" s="250">
        <f>IFERROR(VLOOKUP($A30,'PP DS Query'!$C$1:$R$1005,14,FALSE),0)</f>
        <v>4321358.5</v>
      </c>
      <c r="O30" s="57">
        <f>IFERROR(VLOOKUP($A30,'PP DS Query'!$C$1:$R$1005,4,FALSE),0)</f>
        <v>-7.0000000000000007E-2</v>
      </c>
      <c r="P30" s="250">
        <f>-IFERROR(VLOOKUP($A30,'PP DS Query'!$C$1:$R$1005,15,FALSE),0)</f>
        <v>1223275</v>
      </c>
      <c r="Q30" s="250">
        <f>IFERROR(VLOOKUP($A30,'PP DS Query'!$C$1:$R$1005,16,FALSE),0)</f>
        <v>3767779.21</v>
      </c>
      <c r="R30" s="48"/>
      <c r="S30" s="472">
        <f t="shared" si="4"/>
        <v>34381</v>
      </c>
      <c r="T30" s="472" t="s">
        <v>961</v>
      </c>
      <c r="U30" s="475">
        <f>IFERROR(VLOOKUP($S30,#REF!,9,FALSE),0)</f>
        <v>0</v>
      </c>
      <c r="V30" s="476">
        <f t="shared" si="5"/>
        <v>-17475357.149999999</v>
      </c>
    </row>
    <row r="31" spans="1:22" ht="15.95" customHeight="1" x14ac:dyDescent="0.2">
      <c r="A31" s="49" t="s">
        <v>674</v>
      </c>
      <c r="B31" s="499">
        <f>IFERROR(VLOOKUP($A31,'PP DS Query'!$C$1:$R$1005,5,FALSE),0)</f>
        <v>2036</v>
      </c>
      <c r="C31" s="33"/>
      <c r="D31" s="34"/>
      <c r="E31" s="15"/>
      <c r="F31" s="443">
        <f>IFERROR(VLOOKUP($A31,'PP DS Query'!$C$1:$R$1005,6,FALSE),0)</f>
        <v>146141230.96000001</v>
      </c>
      <c r="G31" s="525">
        <f>IFERROR(VLOOKUP($A31,'PP DS Query'!$C$1:$R$1005,7,FALSE),0)</f>
        <v>16.541907370000001</v>
      </c>
      <c r="H31" s="443">
        <f>IFERROR(VLOOKUP($A31,'PP DS Query'!$C$1:$R$1005,8,FALSE),0)</f>
        <v>2417454705.7600002</v>
      </c>
      <c r="I31" s="525">
        <f>IFERROR(VLOOKUP($A31,'PP DS Query'!$C$1:$R$1005,9,FALSE),0)</f>
        <v>27.84000331</v>
      </c>
      <c r="J31" s="443">
        <f>IFERROR(VLOOKUP($A31,'PP DS Query'!$C$1:$R$1005,10,FALSE),0)</f>
        <v>4068572353.5300002</v>
      </c>
      <c r="K31" s="525">
        <f>IFERROR(VLOOKUP($A31,'PP DS Query'!$C$1:$R$1005,11,FALSE),0)</f>
        <v>13.121355250000001</v>
      </c>
      <c r="L31" s="443">
        <f>IFERROR(VLOOKUP($A31,'PP DS Query'!$C$1:$R$1005,12,FALSE),0)</f>
        <v>1917571008.24</v>
      </c>
      <c r="M31" s="445">
        <f>IFERROR(VLOOKUP($A31,'PP DS Query'!$C$1:$R$1005,13,FALSE),0)</f>
        <v>0.54078890999999996</v>
      </c>
      <c r="N31" s="443">
        <f>IFERROR(VLOOKUP($A31,'PP DS Query'!$C$1:$R$1005,14,FALSE),0)</f>
        <v>79031557.680000007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10229886.17</v>
      </c>
      <c r="Q31" s="443">
        <f>IFERROR(VLOOKUP($A31,'PP DS Query'!$C$1:$R$1005,16,FALSE),0)</f>
        <v>68907372.480000004</v>
      </c>
      <c r="R31" s="48"/>
      <c r="U31" s="473">
        <f>SUM(U27:U30)</f>
        <v>0</v>
      </c>
      <c r="V31" s="473">
        <f>SUM(V27:V30)</f>
        <v>-146141230.96000001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1270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697</v>
      </c>
      <c r="B34" s="499">
        <f>IFERROR(VLOOKUP($A34,'PP DS Query'!$C$1:$R$1005,5,FALSE),0)</f>
        <v>2036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32202503.940000001</v>
      </c>
      <c r="G34" s="523">
        <f>IFERROR(VLOOKUP($A34,'PP DS Query'!$C$1:$R$1005,7,FALSE),0)</f>
        <v>23.047684230000002</v>
      </c>
      <c r="H34" s="358">
        <f>IFERROR(VLOOKUP($A34,'PP DS Query'!$C$1:$R$1005,8,FALSE),0)</f>
        <v>742193142.15999997</v>
      </c>
      <c r="I34" s="523">
        <f>IFERROR(VLOOKUP($A34,'PP DS Query'!$C$1:$R$1005,9,FALSE),0)</f>
        <v>39.21</v>
      </c>
      <c r="J34" s="358">
        <f>IFERROR(VLOOKUP($A34,'PP DS Query'!$C$1:$R$1005,10,FALSE),0)</f>
        <v>1262660179.49</v>
      </c>
      <c r="K34" s="523">
        <f>IFERROR(VLOOKUP($A34,'PP DS Query'!$C$1:$R$1005,11,FALSE),0)</f>
        <v>16.5</v>
      </c>
      <c r="L34" s="358">
        <f>IFERROR(VLOOKUP($A34,'PP DS Query'!$C$1:$R$1005,12,FALSE),0)</f>
        <v>531341315.00999999</v>
      </c>
      <c r="M34" s="19">
        <f>IFERROR(VLOOKUP($A34,'PP DS Query'!$C$1:$R$1005,13,FALSE),0)</f>
        <v>0.60814265999999995</v>
      </c>
      <c r="N34" s="358">
        <f>IFERROR(VLOOKUP($A34,'PP DS Query'!$C$1:$R$1005,14,FALSE),0)</f>
        <v>19583716.52</v>
      </c>
      <c r="O34" s="56">
        <f>IFERROR(VLOOKUP($A34,'PP DS Query'!$C$1:$R$1005,4,FALSE),0)</f>
        <v>-0.05</v>
      </c>
      <c r="P34" s="358">
        <f>-IFERROR(VLOOKUP($A34,'PP DS Query'!$C$1:$R$1005,15,FALSE),0)</f>
        <v>1610125.2</v>
      </c>
      <c r="Q34" s="358">
        <f>IFERROR(VLOOKUP($A34,'PP DS Query'!$C$1:$R$1005,16,FALSE),0)</f>
        <v>19160034.18</v>
      </c>
      <c r="R34" s="48"/>
      <c r="S34" s="472">
        <f>IFERROR(ROUND(LEFT(A34,7)*100,0),0)</f>
        <v>34581</v>
      </c>
      <c r="T34" s="472" t="s">
        <v>962</v>
      </c>
      <c r="U34" s="474">
        <f>IFERROR(VLOOKUP($S34,#REF!,6,FALSE),0)</f>
        <v>0</v>
      </c>
      <c r="V34" s="473">
        <f>U34-F34</f>
        <v>-32202503.940000001</v>
      </c>
    </row>
    <row r="35" spans="1:22" ht="15.95" customHeight="1" x14ac:dyDescent="0.2">
      <c r="A35" s="49" t="s">
        <v>698</v>
      </c>
      <c r="B35" s="499">
        <f>IFERROR(VLOOKUP($A35,'PP DS Query'!$C$1:$R$1005,5,FALSE),0)</f>
        <v>2036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17166725.890000001</v>
      </c>
      <c r="G35" s="523">
        <f>IFERROR(VLOOKUP($A35,'PP DS Query'!$C$1:$R$1005,7,FALSE),0)</f>
        <v>20.522242080000002</v>
      </c>
      <c r="H35" s="358">
        <f>IFERROR(VLOOKUP($A35,'PP DS Query'!$C$1:$R$1005,8,FALSE),0)</f>
        <v>352299704.42000002</v>
      </c>
      <c r="I35" s="523">
        <f>IFERROR(VLOOKUP($A35,'PP DS Query'!$C$1:$R$1005,9,FALSE),0)</f>
        <v>27.97</v>
      </c>
      <c r="J35" s="358">
        <f>IFERROR(VLOOKUP($A35,'PP DS Query'!$C$1:$R$1005,10,FALSE),0)</f>
        <v>480153323.13999999</v>
      </c>
      <c r="K35" s="523">
        <f>IFERROR(VLOOKUP($A35,'PP DS Query'!$C$1:$R$1005,11,FALSE),0)</f>
        <v>9.4468809999999994</v>
      </c>
      <c r="L35" s="358">
        <f>IFERROR(VLOOKUP($A35,'PP DS Query'!$C$1:$R$1005,12,FALSE),0)</f>
        <v>162172016.63999999</v>
      </c>
      <c r="M35" s="19">
        <f>IFERROR(VLOOKUP($A35,'PP DS Query'!$C$1:$R$1005,13,FALSE),0)</f>
        <v>0.69535902000000005</v>
      </c>
      <c r="N35" s="358">
        <f>IFERROR(VLOOKUP($A35,'PP DS Query'!$C$1:$R$1005,14,FALSE),0)</f>
        <v>11937037.65</v>
      </c>
      <c r="O35" s="56">
        <f>IFERROR(VLOOKUP($A35,'PP DS Query'!$C$1:$R$1005,4,FALSE),0)</f>
        <v>-0.05</v>
      </c>
      <c r="P35" s="358">
        <f>-IFERROR(VLOOKUP($A35,'PP DS Query'!$C$1:$R$1005,15,FALSE),0)</f>
        <v>858336.29</v>
      </c>
      <c r="Q35" s="358">
        <f>IFERROR(VLOOKUP($A35,'PP DS Query'!$C$1:$R$1005,16,FALSE),0)</f>
        <v>11678786.77</v>
      </c>
      <c r="R35" s="48"/>
      <c r="S35" s="472">
        <f t="shared" ref="S35:S37" si="6">IFERROR(ROUND(LEFT(A35,7)*100,0),0)</f>
        <v>34581</v>
      </c>
      <c r="T35" s="472" t="s">
        <v>963</v>
      </c>
      <c r="U35" s="474">
        <f>IFERROR(VLOOKUP($S35,#REF!,7,FALSE),0)</f>
        <v>0</v>
      </c>
      <c r="V35" s="473">
        <f t="shared" ref="V35:V37" si="7">U35-F35</f>
        <v>-17166725.890000001</v>
      </c>
    </row>
    <row r="36" spans="1:22" ht="15.95" customHeight="1" x14ac:dyDescent="0.2">
      <c r="A36" s="49" t="s">
        <v>699</v>
      </c>
      <c r="B36" s="499">
        <f>IFERROR(VLOOKUP($A36,'PP DS Query'!$C$1:$R$1005,5,FALSE),0)</f>
        <v>2036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8527008.9399999995</v>
      </c>
      <c r="G36" s="523">
        <f>IFERROR(VLOOKUP($A36,'PP DS Query'!$C$1:$R$1005,7,FALSE),0)</f>
        <v>15.008106489999999</v>
      </c>
      <c r="H36" s="358">
        <f>IFERROR(VLOOKUP($A36,'PP DS Query'!$C$1:$R$1005,8,FALSE),0)</f>
        <v>127974258.18000001</v>
      </c>
      <c r="I36" s="523">
        <f>IFERROR(VLOOKUP($A36,'PP DS Query'!$C$1:$R$1005,9,FALSE),0)</f>
        <v>19.09</v>
      </c>
      <c r="J36" s="358">
        <f>IFERROR(VLOOKUP($A36,'PP DS Query'!$C$1:$R$1005,10,FALSE),0)</f>
        <v>162780600.66</v>
      </c>
      <c r="K36" s="523">
        <f>IFERROR(VLOOKUP($A36,'PP DS Query'!$C$1:$R$1005,11,FALSE),0)</f>
        <v>7.9015769999999996</v>
      </c>
      <c r="L36" s="358">
        <f>IFERROR(VLOOKUP($A36,'PP DS Query'!$C$1:$R$1005,12,FALSE),0)</f>
        <v>67376817.719999999</v>
      </c>
      <c r="M36" s="19">
        <f>IFERROR(VLOOKUP($A36,'PP DS Query'!$C$1:$R$1005,13,FALSE),0)</f>
        <v>0.61540170999999999</v>
      </c>
      <c r="N36" s="358">
        <f>IFERROR(VLOOKUP($A36,'PP DS Query'!$C$1:$R$1005,14,FALSE),0)</f>
        <v>5247535.8600000003</v>
      </c>
      <c r="O36" s="56">
        <f>IFERROR(VLOOKUP($A36,'PP DS Query'!$C$1:$R$1005,4,FALSE),0)</f>
        <v>-0.05</v>
      </c>
      <c r="P36" s="358">
        <f>-IFERROR(VLOOKUP($A36,'PP DS Query'!$C$1:$R$1005,15,FALSE),0)</f>
        <v>426350.45</v>
      </c>
      <c r="Q36" s="358">
        <f>IFERROR(VLOOKUP($A36,'PP DS Query'!$C$1:$R$1005,16,FALSE),0)</f>
        <v>5134008.47</v>
      </c>
      <c r="R36" s="48"/>
      <c r="S36" s="472">
        <f t="shared" si="6"/>
        <v>34581</v>
      </c>
      <c r="T36" s="472" t="s">
        <v>964</v>
      </c>
      <c r="U36" s="474">
        <f>IFERROR(VLOOKUP($S36,#REF!,8,FALSE),0)</f>
        <v>0</v>
      </c>
      <c r="V36" s="473">
        <f t="shared" si="7"/>
        <v>-8527008.9399999995</v>
      </c>
    </row>
    <row r="37" spans="1:22" ht="15.95" customHeight="1" thickBot="1" x14ac:dyDescent="0.25">
      <c r="A37" s="396" t="s">
        <v>903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34581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700</v>
      </c>
      <c r="B38" s="499">
        <f>IFERROR(VLOOKUP($A38,'PP DS Query'!$C$1:$R$1005,5,FALSE),0)</f>
        <v>2036</v>
      </c>
      <c r="C38" s="33"/>
      <c r="D38" s="34"/>
      <c r="E38" s="15"/>
      <c r="F38" s="443">
        <f>IFERROR(VLOOKUP($A38,'PP DS Query'!$C$1:$R$1005,6,FALSE),0)</f>
        <v>57896238.770000003</v>
      </c>
      <c r="G38" s="525">
        <f>IFERROR(VLOOKUP($A38,'PP DS Query'!$C$1:$R$1005,7,FALSE),0)</f>
        <v>21.114793129999999</v>
      </c>
      <c r="H38" s="443">
        <f>IFERROR(VLOOKUP($A38,'PP DS Query'!$C$1:$R$1005,8,FALSE),0)</f>
        <v>1222467104.76</v>
      </c>
      <c r="I38" s="525">
        <f>IFERROR(VLOOKUP($A38,'PP DS Query'!$C$1:$R$1005,9,FALSE),0)</f>
        <v>32.913953370000002</v>
      </c>
      <c r="J38" s="443">
        <f>IFERROR(VLOOKUP($A38,'PP DS Query'!$C$1:$R$1005,10,FALSE),0)</f>
        <v>1905594103.3</v>
      </c>
      <c r="K38" s="525">
        <f>IFERROR(VLOOKUP($A38,'PP DS Query'!$C$1:$R$1005,11,FALSE),0)</f>
        <v>13.142307089999999</v>
      </c>
      <c r="L38" s="443">
        <f>IFERROR(VLOOKUP($A38,'PP DS Query'!$C$1:$R$1005,12,FALSE),0)</f>
        <v>760890149.37</v>
      </c>
      <c r="M38" s="445">
        <f>IFERROR(VLOOKUP($A38,'PP DS Query'!$C$1:$R$1005,13,FALSE),0)</f>
        <v>0.63507217000000005</v>
      </c>
      <c r="N38" s="443">
        <f>IFERROR(VLOOKUP($A38,'PP DS Query'!$C$1:$R$1005,14,FALSE),0)</f>
        <v>36768290.030000001</v>
      </c>
      <c r="O38" s="446">
        <f>IFERROR(VLOOKUP($A38,'PP DS Query'!$C$1:$R$1005,4,FALSE),0)</f>
        <v>-0.05</v>
      </c>
      <c r="P38" s="443">
        <f>-IFERROR(VLOOKUP($A38,'PP DS Query'!$C$1:$R$1005,15,FALSE),0)</f>
        <v>2894811.94</v>
      </c>
      <c r="Q38" s="443">
        <f>IFERROR(VLOOKUP($A38,'PP DS Query'!$C$1:$R$1005,16,FALSE),0)</f>
        <v>35972829.420000002</v>
      </c>
      <c r="R38" s="48"/>
      <c r="U38" s="473">
        <f>SUM(U34:U37)</f>
        <v>0</v>
      </c>
      <c r="V38" s="473">
        <f>SUM(V34:V37)</f>
        <v>-57896238.769999996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1271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721</v>
      </c>
      <c r="B41" s="499">
        <f>IFERROR(VLOOKUP($A41,'PP DS Query'!$C$1:$R$1005,5,FALSE),0)</f>
        <v>2036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3954158.66</v>
      </c>
      <c r="G41" s="523">
        <f>IFERROR(VLOOKUP($A41,'PP DS Query'!$C$1:$R$1005,7,FALSE),0)</f>
        <v>20.27523158</v>
      </c>
      <c r="H41" s="358">
        <f>IFERROR(VLOOKUP($A41,'PP DS Query'!$C$1:$R$1005,8,FALSE),0)</f>
        <v>80171482.519999996</v>
      </c>
      <c r="I41" s="523">
        <f>IFERROR(VLOOKUP($A41,'PP DS Query'!$C$1:$R$1005,9,FALSE),0)</f>
        <v>35.090000000000003</v>
      </c>
      <c r="J41" s="358">
        <f>IFERROR(VLOOKUP($A41,'PP DS Query'!$C$1:$R$1005,10,FALSE),0)</f>
        <v>138751427.38</v>
      </c>
      <c r="K41" s="523">
        <f>IFERROR(VLOOKUP($A41,'PP DS Query'!$C$1:$R$1005,11,FALSE),0)</f>
        <v>16.5</v>
      </c>
      <c r="L41" s="358">
        <f>IFERROR(VLOOKUP($A41,'PP DS Query'!$C$1:$R$1005,12,FALSE),0)</f>
        <v>65243617.890000001</v>
      </c>
      <c r="M41" s="19">
        <f>IFERROR(VLOOKUP($A41,'PP DS Query'!$C$1:$R$1005,13,FALSE),0)</f>
        <v>0.54036300999999998</v>
      </c>
      <c r="N41" s="358">
        <f>IFERROR(VLOOKUP($A41,'PP DS Query'!$C$1:$R$1005,14,FALSE),0)</f>
        <v>2136681.0699999998</v>
      </c>
      <c r="O41" s="56">
        <f>IFERROR(VLOOKUP($A41,'PP DS Query'!$C$1:$R$1005,4,FALSE),0)</f>
        <v>-0.02</v>
      </c>
      <c r="P41" s="358">
        <f>-IFERROR(VLOOKUP($A41,'PP DS Query'!$C$1:$R$1005,15,FALSE),0)</f>
        <v>79083.17</v>
      </c>
      <c r="Q41" s="358">
        <f>IFERROR(VLOOKUP($A41,'PP DS Query'!$C$1:$R$1005,16,FALSE),0)</f>
        <v>1600331.53</v>
      </c>
      <c r="R41" s="48"/>
      <c r="S41" s="472">
        <f>IFERROR(ROUND(LEFT(A41,7)*100,0),0)</f>
        <v>34681</v>
      </c>
      <c r="T41" s="472" t="s">
        <v>962</v>
      </c>
      <c r="U41" s="474">
        <f>IFERROR(VLOOKUP($S41,#REF!,6,FALSE),0)</f>
        <v>0</v>
      </c>
      <c r="V41" s="473">
        <f>U41-F41</f>
        <v>-3954158.66</v>
      </c>
    </row>
    <row r="42" spans="1:22" ht="15.95" customHeight="1" x14ac:dyDescent="0.2">
      <c r="A42" s="49" t="s">
        <v>722</v>
      </c>
      <c r="B42" s="499">
        <f>IFERROR(VLOOKUP($A42,'PP DS Query'!$C$1:$R$1005,5,FALSE),0)</f>
        <v>2036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1590953.25</v>
      </c>
      <c r="G42" s="523">
        <f>IFERROR(VLOOKUP($A42,'PP DS Query'!$C$1:$R$1005,7,FALSE),0)</f>
        <v>9.60407382</v>
      </c>
      <c r="H42" s="358">
        <f>IFERROR(VLOOKUP($A42,'PP DS Query'!$C$1:$R$1005,8,FALSE),0)</f>
        <v>15279632.460000001</v>
      </c>
      <c r="I42" s="523">
        <f>IFERROR(VLOOKUP($A42,'PP DS Query'!$C$1:$R$1005,9,FALSE),0)</f>
        <v>22.16</v>
      </c>
      <c r="J42" s="358">
        <f>IFERROR(VLOOKUP($A42,'PP DS Query'!$C$1:$R$1005,10,FALSE),0)</f>
        <v>35255524.020000003</v>
      </c>
      <c r="K42" s="523">
        <f>IFERROR(VLOOKUP($A42,'PP DS Query'!$C$1:$R$1005,11,FALSE),0)</f>
        <v>14.510026999999999</v>
      </c>
      <c r="L42" s="358">
        <f>IFERROR(VLOOKUP($A42,'PP DS Query'!$C$1:$R$1005,12,FALSE),0)</f>
        <v>23084774.609999999</v>
      </c>
      <c r="M42" s="19">
        <f>IFERROR(VLOOKUP($A42,'PP DS Query'!$C$1:$R$1005,13,FALSE),0)</f>
        <v>0.35221386999999998</v>
      </c>
      <c r="N42" s="358">
        <f>IFERROR(VLOOKUP($A42,'PP DS Query'!$C$1:$R$1005,14,FALSE),0)</f>
        <v>560355.80000000005</v>
      </c>
      <c r="O42" s="56">
        <f>IFERROR(VLOOKUP($A42,'PP DS Query'!$C$1:$R$1005,4,FALSE),0)</f>
        <v>-0.02</v>
      </c>
      <c r="P42" s="358">
        <f>-IFERROR(VLOOKUP($A42,'PP DS Query'!$C$1:$R$1005,15,FALSE),0)</f>
        <v>31819.07</v>
      </c>
      <c r="Q42" s="358">
        <f>IFERROR(VLOOKUP($A42,'PP DS Query'!$C$1:$R$1005,16,FALSE),0)</f>
        <v>419695.33</v>
      </c>
      <c r="R42" s="48"/>
      <c r="S42" s="472">
        <f t="shared" ref="S42:S44" si="8">IFERROR(ROUND(LEFT(A42,7)*100,0),0)</f>
        <v>34681</v>
      </c>
      <c r="T42" s="472" t="s">
        <v>963</v>
      </c>
      <c r="U42" s="474">
        <f>IFERROR(VLOOKUP($S42,#REF!,7,FALSE),0)</f>
        <v>0</v>
      </c>
      <c r="V42" s="473">
        <f t="shared" ref="V42:V44" si="9">U42-F42</f>
        <v>-1590953.25</v>
      </c>
    </row>
    <row r="43" spans="1:22" ht="15.95" customHeight="1" x14ac:dyDescent="0.2">
      <c r="A43" s="49" t="s">
        <v>723</v>
      </c>
      <c r="B43" s="499">
        <f>IFERROR(VLOOKUP($A43,'PP DS Query'!$C$1:$R$1005,5,FALSE),0)</f>
        <v>2036</v>
      </c>
      <c r="C43" s="33">
        <f>IFERROR(VLOOKUP($A43,'PP DS Query'!$C$1:$R$1005,3,FALSE),0)</f>
        <v>20</v>
      </c>
      <c r="D43" s="34" t="s">
        <v>22</v>
      </c>
      <c r="E43" s="360" t="str">
        <f>IFERROR(VLOOKUP($A43,'PP DS Query'!$C$1:$R$1005,2,FALSE),0)</f>
        <v>S3</v>
      </c>
      <c r="F43" s="358">
        <f>IFERROR(VLOOKUP($A43,'PP DS Query'!$C$1:$R$1005,6,FALSE),0)</f>
        <v>515664.94</v>
      </c>
      <c r="G43" s="523">
        <f>IFERROR(VLOOKUP($A43,'PP DS Query'!$C$1:$R$1005,7,FALSE),0)</f>
        <v>9.1367145500000007</v>
      </c>
      <c r="H43" s="358">
        <f>IFERROR(VLOOKUP($A43,'PP DS Query'!$C$1:$R$1005,8,FALSE),0)</f>
        <v>4711483.3600000003</v>
      </c>
      <c r="I43" s="523">
        <f>IFERROR(VLOOKUP($A43,'PP DS Query'!$C$1:$R$1005,9,FALSE),0)</f>
        <v>19.45</v>
      </c>
      <c r="J43" s="358">
        <f>IFERROR(VLOOKUP($A43,'PP DS Query'!$C$1:$R$1005,10,FALSE),0)</f>
        <v>10029683.08</v>
      </c>
      <c r="K43" s="523">
        <f>IFERROR(VLOOKUP($A43,'PP DS Query'!$C$1:$R$1005,11,FALSE),0)</f>
        <v>10.939038</v>
      </c>
      <c r="L43" s="358">
        <f>IFERROR(VLOOKUP($A43,'PP DS Query'!$C$1:$R$1005,12,FALSE),0)</f>
        <v>5640878.3700000001</v>
      </c>
      <c r="M43" s="19">
        <f>IFERROR(VLOOKUP($A43,'PP DS Query'!$C$1:$R$1005,13,FALSE),0)</f>
        <v>0.44636139000000002</v>
      </c>
      <c r="N43" s="358">
        <f>IFERROR(VLOOKUP($A43,'PP DS Query'!$C$1:$R$1005,14,FALSE),0)</f>
        <v>230172.92</v>
      </c>
      <c r="O43" s="56">
        <f>IFERROR(VLOOKUP($A43,'PP DS Query'!$C$1:$R$1005,4,FALSE),0)</f>
        <v>-0.02</v>
      </c>
      <c r="P43" s="358">
        <f>-IFERROR(VLOOKUP($A43,'PP DS Query'!$C$1:$R$1005,15,FALSE),0)</f>
        <v>10313.299999999999</v>
      </c>
      <c r="Q43" s="358">
        <f>IFERROR(VLOOKUP($A43,'PP DS Query'!$C$1:$R$1005,16,FALSE),0)</f>
        <v>172394.93</v>
      </c>
      <c r="R43" s="48"/>
      <c r="S43" s="472">
        <f t="shared" si="8"/>
        <v>34681</v>
      </c>
      <c r="T43" s="472" t="s">
        <v>964</v>
      </c>
      <c r="U43" s="474">
        <f>IFERROR(VLOOKUP($S43,#REF!,8,FALSE),0)</f>
        <v>0</v>
      </c>
      <c r="V43" s="473">
        <f t="shared" si="9"/>
        <v>-515664.94</v>
      </c>
    </row>
    <row r="44" spans="1:22" ht="15.95" customHeight="1" thickBot="1" x14ac:dyDescent="0.25">
      <c r="A44" s="396" t="s">
        <v>904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34681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724</v>
      </c>
      <c r="B45" s="499">
        <f>IFERROR(VLOOKUP($A45,'PP DS Query'!$C$1:$R$1005,5,FALSE),0)</f>
        <v>2036</v>
      </c>
      <c r="C45" s="33"/>
      <c r="D45" s="34"/>
      <c r="E45" s="15"/>
      <c r="F45" s="443">
        <f>IFERROR(VLOOKUP($A45,'PP DS Query'!$C$1:$R$1005,6,FALSE),0)</f>
        <v>6060776.8499999996</v>
      </c>
      <c r="G45" s="525">
        <f>IFERROR(VLOOKUP($A45,'PP DS Query'!$C$1:$R$1005,7,FALSE),0)</f>
        <v>16.526363010000001</v>
      </c>
      <c r="H45" s="443">
        <f>IFERROR(VLOOKUP($A45,'PP DS Query'!$C$1:$R$1005,8,FALSE),0)</f>
        <v>100162598.34</v>
      </c>
      <c r="I45" s="525">
        <f>IFERROR(VLOOKUP($A45,'PP DS Query'!$C$1:$R$1005,9,FALSE),0)</f>
        <v>30.36518899</v>
      </c>
      <c r="J45" s="443">
        <f>IFERROR(VLOOKUP($A45,'PP DS Query'!$C$1:$R$1005,10,FALSE),0)</f>
        <v>184036634.47999999</v>
      </c>
      <c r="K45" s="525">
        <f>IFERROR(VLOOKUP($A45,'PP DS Query'!$C$1:$R$1005,11,FALSE),0)</f>
        <v>15.504492770000001</v>
      </c>
      <c r="L45" s="443">
        <f>IFERROR(VLOOKUP($A45,'PP DS Query'!$C$1:$R$1005,12,FALSE),0)</f>
        <v>93969270.879999995</v>
      </c>
      <c r="M45" s="445">
        <f>IFERROR(VLOOKUP($A45,'PP DS Query'!$C$1:$R$1005,13,FALSE),0)</f>
        <v>0.48297600000000002</v>
      </c>
      <c r="N45" s="443">
        <f>IFERROR(VLOOKUP($A45,'PP DS Query'!$C$1:$R$1005,14,FALSE),0)</f>
        <v>2927209.79</v>
      </c>
      <c r="O45" s="446">
        <f>IFERROR(VLOOKUP($A45,'PP DS Query'!$C$1:$R$1005,4,FALSE),0)</f>
        <v>-0.02</v>
      </c>
      <c r="P45" s="443">
        <f>-IFERROR(VLOOKUP($A45,'PP DS Query'!$C$1:$R$1005,15,FALSE),0)</f>
        <v>121215.54</v>
      </c>
      <c r="Q45" s="443">
        <f>IFERROR(VLOOKUP($A45,'PP DS Query'!$C$1:$R$1005,16,FALSE),0)</f>
        <v>2192421.79</v>
      </c>
      <c r="R45" s="48"/>
      <c r="U45" s="473">
        <f>SUM(U41:U44)</f>
        <v>0</v>
      </c>
      <c r="V45" s="473">
        <f>SUM(V41:V44)</f>
        <v>-6060776.8500000006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Unit #1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271890496.83999997</v>
      </c>
      <c r="G49" s="523">
        <f>IF($F49=0,0,H49/$F49)</f>
        <v>20.989175491882929</v>
      </c>
      <c r="H49" s="358">
        <f t="shared" ref="H49:H52" si="10">H13+H20+H27+H34+H41</f>
        <v>5706757352.75</v>
      </c>
      <c r="I49" s="523">
        <f>IF($F49=0,0,J49/$F49)</f>
        <v>36.042329838717293</v>
      </c>
      <c r="J49" s="358">
        <f>J13+J20+J27+J34+J41</f>
        <v>9799566967.1200008</v>
      </c>
      <c r="K49" s="523">
        <f>IF($F49=0,0,L49/$F49)</f>
        <v>16.500000000036785</v>
      </c>
      <c r="L49" s="358">
        <f>L13+L20+L27+L34+L41</f>
        <v>4486193197.8700008</v>
      </c>
      <c r="M49" s="19">
        <f>IF($F49=0,0,N49/$F49)</f>
        <v>0.56771120437811329</v>
      </c>
      <c r="N49" s="358">
        <f t="shared" ref="N49:P52" si="11">N13+N20+N27+N34+N41</f>
        <v>154355281.41999999</v>
      </c>
      <c r="O49" s="56">
        <f>-IF($F49=0,0,P49/$F49)</f>
        <v>-4.8708284489227024E-2</v>
      </c>
      <c r="P49" s="358">
        <f t="shared" si="11"/>
        <v>13243319.67</v>
      </c>
      <c r="Q49" s="358">
        <f t="shared" ref="Q49" si="12">Q13+Q20+Q27+Q34+Q41</f>
        <v>132012570.38</v>
      </c>
      <c r="R49" s="48"/>
    </row>
    <row r="50" spans="1:18" ht="15.95" customHeight="1" x14ac:dyDescent="0.2">
      <c r="A50" s="45"/>
      <c r="B50" s="45"/>
      <c r="C50" s="33">
        <v>30</v>
      </c>
      <c r="D50" s="34" t="s">
        <v>22</v>
      </c>
      <c r="E50" s="360" t="s">
        <v>405</v>
      </c>
      <c r="F50" s="358">
        <f>F14+F21+F28+F35+F42</f>
        <v>186570773.93000001</v>
      </c>
      <c r="G50" s="523">
        <f>IF($F50=0,0,H50/$F50)</f>
        <v>15.298657952026861</v>
      </c>
      <c r="H50" s="358">
        <f t="shared" si="10"/>
        <v>2854282454.2000003</v>
      </c>
      <c r="I50" s="523">
        <f>IF($F50=0,0,J50/$F50)</f>
        <v>25.098248898870295</v>
      </c>
      <c r="J50" s="358">
        <f>J14+J21+J28+J35+J42</f>
        <v>4682599721.3500013</v>
      </c>
      <c r="K50" s="523">
        <f>IF($F50=0,0,L50/$F50)</f>
        <v>12.201902976262151</v>
      </c>
      <c r="L50" s="358">
        <f>L14+L21+L28+L35+L42</f>
        <v>2276518481.6999998</v>
      </c>
      <c r="M50" s="19">
        <f>IF($F50=0,0,N50/$F50)</f>
        <v>0.54115961033576021</v>
      </c>
      <c r="N50" s="358">
        <f t="shared" si="11"/>
        <v>100964567.32000001</v>
      </c>
      <c r="O50" s="56">
        <f>-IF($F50=0,0,P50/$F50)</f>
        <v>-5.7053561529383741E-2</v>
      </c>
      <c r="P50" s="358">
        <f t="shared" si="11"/>
        <v>10644527.129999999</v>
      </c>
      <c r="Q50" s="358">
        <f t="shared" ref="Q50" si="13">Q14+Q21+Q28+Q35+Q42</f>
        <v>87644921.829999983</v>
      </c>
      <c r="R50" s="48"/>
    </row>
    <row r="51" spans="1:18" ht="15.95" customHeight="1" x14ac:dyDescent="0.2">
      <c r="A51" s="45"/>
      <c r="B51" s="45"/>
      <c r="C51" s="33">
        <v>20</v>
      </c>
      <c r="D51" s="34" t="s">
        <v>22</v>
      </c>
      <c r="E51" s="360" t="s">
        <v>407</v>
      </c>
      <c r="F51" s="358">
        <f>F15+F22+F29+F36+F43</f>
        <v>27619384.370000001</v>
      </c>
      <c r="G51" s="523">
        <f>IF($F51=0,0,H51/$F51)</f>
        <v>14.378677224296148</v>
      </c>
      <c r="H51" s="358">
        <f t="shared" si="10"/>
        <v>397130212.99000001</v>
      </c>
      <c r="I51" s="523">
        <f>IF($F51=0,0,J51/$F51)</f>
        <v>19.274052824226654</v>
      </c>
      <c r="J51" s="358">
        <f>J15+J22+J29+J36+J43</f>
        <v>532337473.31999999</v>
      </c>
      <c r="K51" s="523">
        <f>IF($F51=0,0,L51/$F51)</f>
        <v>8.0738924982056002</v>
      </c>
      <c r="L51" s="358">
        <f>L15+L22+L29+L36+L43</f>
        <v>222995940.27000001</v>
      </c>
      <c r="M51" s="19">
        <f>IF($F51=0,0,N51/$F51)</f>
        <v>0.6076909714986527</v>
      </c>
      <c r="N51" s="358">
        <f t="shared" si="11"/>
        <v>16784050.520000003</v>
      </c>
      <c r="O51" s="56">
        <f>-IF($F51=0,0,P51/$F51)</f>
        <v>-4.775927668513779E-2</v>
      </c>
      <c r="P51" s="358">
        <f t="shared" si="11"/>
        <v>1319081.82</v>
      </c>
      <c r="Q51" s="358">
        <f t="shared" ref="Q51" si="14">Q15+Q22+Q29+Q36+Q43</f>
        <v>14761276.579999998</v>
      </c>
      <c r="R51" s="48"/>
    </row>
    <row r="52" spans="1:18" ht="15.95" customHeight="1" thickBot="1" x14ac:dyDescent="0.25">
      <c r="A52" s="45"/>
      <c r="B52" s="45"/>
      <c r="C52" s="33">
        <v>12</v>
      </c>
      <c r="D52" s="34" t="s">
        <v>22</v>
      </c>
      <c r="E52" s="61" t="s">
        <v>359</v>
      </c>
      <c r="F52" s="250">
        <f>F16+F23+F30+F37+F44</f>
        <v>17475357.149999999</v>
      </c>
      <c r="G52" s="524">
        <f>IF($F52=0,0,H52/$F52)</f>
        <v>2.7732671357735317</v>
      </c>
      <c r="H52" s="250">
        <f t="shared" si="10"/>
        <v>48463833.670000002</v>
      </c>
      <c r="I52" s="524">
        <f>IF($F52=0,0,J52/$F52)</f>
        <v>12.000000000000002</v>
      </c>
      <c r="J52" s="250">
        <f>J16+J23+J30+J37+J44</f>
        <v>209704285.80000001</v>
      </c>
      <c r="K52" s="524">
        <f>IF($F52=0,0,L52/$F52)</f>
        <v>9.2267329998460159</v>
      </c>
      <c r="L52" s="250">
        <f>L16+L23+L30+L37+L44</f>
        <v>161240454.5</v>
      </c>
      <c r="M52" s="21">
        <f>IF($F52=0,0,N52/$F52)</f>
        <v>0.24728298614486402</v>
      </c>
      <c r="N52" s="250">
        <f t="shared" si="11"/>
        <v>4321358.5</v>
      </c>
      <c r="O52" s="57">
        <f>-IF($F52=0,0,P52/$F52)</f>
        <v>-6.9999999971388283E-2</v>
      </c>
      <c r="P52" s="250">
        <f t="shared" si="11"/>
        <v>1223275</v>
      </c>
      <c r="Q52" s="250">
        <f t="shared" ref="Q52" si="15">Q16+Q23+Q30+Q37+Q44</f>
        <v>3767779.21</v>
      </c>
      <c r="R52" s="48"/>
    </row>
    <row r="53" spans="1:18" ht="15.95" customHeight="1" x14ac:dyDescent="0.2">
      <c r="A53" s="45"/>
      <c r="B53" s="45"/>
      <c r="C53" s="33"/>
      <c r="D53" s="34"/>
      <c r="E53" s="15"/>
      <c r="F53" s="443">
        <f>SUM(F49:F52)</f>
        <v>503556012.28999996</v>
      </c>
      <c r="G53" s="525">
        <f>IF($F53=0,0,H53/$F53)</f>
        <v>17.886061597499193</v>
      </c>
      <c r="H53" s="443">
        <f t="shared" ref="H53" si="16">SUM(H49:H52)</f>
        <v>9006633853.6100006</v>
      </c>
      <c r="I53" s="525">
        <f>IF($F53=0,0,J53/$F53)</f>
        <v>30.233396237998477</v>
      </c>
      <c r="J53" s="443">
        <f>SUM(J49:J52)</f>
        <v>15224208447.59</v>
      </c>
      <c r="K53" s="525">
        <f>IF($F53=0,0,L53/$F53)</f>
        <v>14.19295550029903</v>
      </c>
      <c r="L53" s="443">
        <f>SUM(L49:L52)</f>
        <v>7146948074.3400011</v>
      </c>
      <c r="M53" s="445">
        <f>IF($F53=0,0,N53/$F53)</f>
        <v>0.54894639526378164</v>
      </c>
      <c r="N53" s="443">
        <f t="shared" ref="N53:P53" si="17">SUM(N49:N52)</f>
        <v>276425257.75999999</v>
      </c>
      <c r="O53" s="446">
        <f>-IF($F53=0,0,P53/$F53)</f>
        <v>-5.2487117569710869E-2</v>
      </c>
      <c r="P53" s="443">
        <f t="shared" si="17"/>
        <v>26430203.619999997</v>
      </c>
      <c r="Q53" s="443">
        <f t="shared" ref="Q53" si="18">SUM(Q49:Q52)</f>
        <v>238186547.99999997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34181</v>
      </c>
      <c r="F56" s="352">
        <f>IFERROR(VLOOKUP(E56,'2019 B-7'!C:P,14,FALSE),0)</f>
        <v>49619943.95000001</v>
      </c>
      <c r="G56" s="353">
        <f>F56-F17</f>
        <v>0</v>
      </c>
      <c r="P56" s="260">
        <f>E56</f>
        <v>34181</v>
      </c>
      <c r="Q56" s="352">
        <f>IFERROR(VLOOKUP(P56,'2019 B-9'!C:R,16,FALSE),0)</f>
        <v>22146504.769999988</v>
      </c>
      <c r="R56" s="353">
        <f>Q56-Q17</f>
        <v>0</v>
      </c>
    </row>
    <row r="57" spans="1:18" x14ac:dyDescent="0.2">
      <c r="E57" s="260">
        <v>34281</v>
      </c>
      <c r="F57" s="352">
        <f>IFERROR(VLOOKUP(E57,'2019 B-7'!C:P,14,FALSE),0)</f>
        <v>243837821.75999999</v>
      </c>
      <c r="G57" s="353">
        <f>F57-F24</f>
        <v>0</v>
      </c>
      <c r="P57" s="260">
        <f t="shared" ref="P57:P60" si="19">E57</f>
        <v>34281</v>
      </c>
      <c r="Q57" s="352">
        <f>IFERROR(VLOOKUP(P57,'2019 B-9'!C:R,16,FALSE),0)</f>
        <v>108967419.53999995</v>
      </c>
      <c r="R57" s="353">
        <f>Q57-Q24</f>
        <v>0</v>
      </c>
    </row>
    <row r="58" spans="1:18" x14ac:dyDescent="0.2">
      <c r="E58" s="260">
        <v>34381</v>
      </c>
      <c r="F58" s="352">
        <f>IFERROR(VLOOKUP(E58,'2019 B-7'!C:P,14,FALSE),0)</f>
        <v>146141230.96000001</v>
      </c>
      <c r="G58" s="353">
        <f>F58-F31</f>
        <v>0</v>
      </c>
      <c r="P58" s="260">
        <f t="shared" si="19"/>
        <v>34381</v>
      </c>
      <c r="Q58" s="352">
        <f>IFERROR(VLOOKUP(P58,'2019 B-9'!C:R,16,FALSE),0)</f>
        <v>68907372.480000004</v>
      </c>
      <c r="R58" s="353">
        <f>Q58-Q31</f>
        <v>0</v>
      </c>
    </row>
    <row r="59" spans="1:18" x14ac:dyDescent="0.2">
      <c r="E59" s="260">
        <v>34581</v>
      </c>
      <c r="F59" s="352">
        <f>IFERROR(VLOOKUP(E59,'2019 B-7'!C:P,14,FALSE),0)</f>
        <v>57896238.769999973</v>
      </c>
      <c r="G59" s="353">
        <f>F59-F38</f>
        <v>0</v>
      </c>
      <c r="P59" s="260">
        <f t="shared" si="19"/>
        <v>34581</v>
      </c>
      <c r="Q59" s="352">
        <f>IFERROR(VLOOKUP(P59,'2019 B-9'!C:R,16,FALSE),0)</f>
        <v>35972829.419999979</v>
      </c>
      <c r="R59" s="353">
        <f>Q59-Q38</f>
        <v>0</v>
      </c>
    </row>
    <row r="60" spans="1:18" x14ac:dyDescent="0.2">
      <c r="E60" s="260">
        <v>34681</v>
      </c>
      <c r="F60" s="352">
        <f>IFERROR(VLOOKUP(E60,'2019 B-7'!C:P,14,FALSE),0)</f>
        <v>6060776.8499999987</v>
      </c>
      <c r="G60" s="353">
        <f>F60-F45</f>
        <v>0</v>
      </c>
      <c r="P60" s="260">
        <f t="shared" si="19"/>
        <v>34681</v>
      </c>
      <c r="Q60" s="352">
        <f>IFERROR(VLOOKUP(P60,'2019 B-9'!C:R,16,FALSE),0)</f>
        <v>2192421.7899999991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503556012.28999996</v>
      </c>
      <c r="G61" s="354">
        <f>SUM(G56:G60)</f>
        <v>0</v>
      </c>
      <c r="P61" s="349" t="s">
        <v>40</v>
      </c>
      <c r="Q61" s="354">
        <f>SUM(Q56:Q60)</f>
        <v>238186547.99999994</v>
      </c>
      <c r="R61" s="354">
        <f>SUM(R56:R60)</f>
        <v>0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0</v>
      </c>
    </row>
    <row r="63" spans="1:18" x14ac:dyDescent="0.2">
      <c r="E63" s="29"/>
      <c r="G63" s="18"/>
    </row>
    <row r="64" spans="1:18" x14ac:dyDescent="0.2">
      <c r="E64" s="29"/>
      <c r="G64" s="18"/>
    </row>
    <row r="65" spans="5:8" x14ac:dyDescent="0.2">
      <c r="E65" s="29"/>
      <c r="G65" s="18"/>
    </row>
    <row r="66" spans="5:8" x14ac:dyDescent="0.2">
      <c r="E66" s="50"/>
      <c r="H66" s="18"/>
    </row>
    <row r="67" spans="5:8" x14ac:dyDescent="0.2">
      <c r="E67" s="50"/>
      <c r="H67" s="18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rowBreaks count="1" manualBreakCount="1">
    <brk id="53" max="13" man="1"/>
  </rowBreaks>
  <customProperties>
    <customPr name="_pios_id" r:id="rId2"/>
    <customPr name="EpmWorksheetKeyString_GUID" r:id="rId3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0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33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2040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1272</v>
      </c>
      <c r="E12" s="50"/>
      <c r="P12" s="18"/>
      <c r="Q12" s="18"/>
      <c r="R12" s="48"/>
    </row>
    <row r="13" spans="1:22" ht="15.95" customHeight="1" x14ac:dyDescent="0.2">
      <c r="A13" s="396" t="s">
        <v>1058</v>
      </c>
      <c r="B13" s="499">
        <f>IFERROR(VLOOKUP($A13,'PP DS Query'!$C$1:$R$1005,5,FALSE),0)</f>
        <v>2040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2034147.31</v>
      </c>
      <c r="G13" s="523">
        <f>IFERROR(VLOOKUP($A13,'PP DS Query'!$C$1:$R$1005,7,FALSE),0)</f>
        <v>19.07143554</v>
      </c>
      <c r="H13" s="358">
        <f>IFERROR(VLOOKUP($A13,'PP DS Query'!$C$1:$R$1005,8,FALSE),0)</f>
        <v>38794109.299999997</v>
      </c>
      <c r="I13" s="523">
        <f>IFERROR(VLOOKUP($A13,'PP DS Query'!$C$1:$R$1005,9,FALSE),0)</f>
        <v>39.39</v>
      </c>
      <c r="J13" s="358">
        <f>IFERROR(VLOOKUP($A13,'PP DS Query'!$C$1:$R$1005,10,FALSE),0)</f>
        <v>80125062.540000007</v>
      </c>
      <c r="K13" s="523">
        <f>IFERROR(VLOOKUP($A13,'PP DS Query'!$C$1:$R$1005,11,FALSE),0)</f>
        <v>20.5</v>
      </c>
      <c r="L13" s="358">
        <f>IFERROR(VLOOKUP($A13,'PP DS Query'!$C$1:$R$1005,12,FALSE),0)</f>
        <v>41700019.859999999</v>
      </c>
      <c r="M13" s="19">
        <f>IFERROR(VLOOKUP($A13,'PP DS Query'!$C$1:$R$1005,13,FALSE),0)</f>
        <v>0.48916177999999999</v>
      </c>
      <c r="N13" s="358">
        <f>IFERROR(VLOOKUP($A13,'PP DS Query'!$C$1:$R$1005,14,FALSE),0)</f>
        <v>995027.11</v>
      </c>
      <c r="O13" s="56">
        <f>IFERROR(VLOOKUP($A13,'PP DS Query'!$C$1:$R$1005,4,FALSE),0)</f>
        <v>-0.02</v>
      </c>
      <c r="P13" s="358">
        <f>-IFERROR(VLOOKUP($A13,'PP DS Query'!$C$1:$R$1005,15,FALSE),0)</f>
        <v>40682.949999999997</v>
      </c>
      <c r="Q13" s="358">
        <f>IFERROR(VLOOKUP($A13,'PP DS Query'!$C$1:$R$1005,16,FALSE),0)</f>
        <v>1003813.7</v>
      </c>
      <c r="R13" s="48"/>
      <c r="S13" s="472">
        <f>IFERROR(ROUND(LEFT(A13,7)*100,0),0)</f>
        <v>34182</v>
      </c>
      <c r="T13" s="472" t="s">
        <v>962</v>
      </c>
      <c r="U13" s="474">
        <f>IFERROR(VLOOKUP($S13,#REF!,6,FALSE),0)</f>
        <v>0</v>
      </c>
      <c r="V13" s="473">
        <f>U13-F13</f>
        <v>-2034147.31</v>
      </c>
    </row>
    <row r="14" spans="1:22" ht="15.95" customHeight="1" x14ac:dyDescent="0.2">
      <c r="A14" s="396" t="s">
        <v>1059</v>
      </c>
      <c r="B14" s="499">
        <f>IFERROR(VLOOKUP($A14,'PP DS Query'!$C$1:$R$1005,5,FALSE),0)</f>
        <v>2040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80187.12</v>
      </c>
      <c r="G14" s="523">
        <f>IFERROR(VLOOKUP($A14,'PP DS Query'!$C$1:$R$1005,7,FALSE),0)</f>
        <v>19.5</v>
      </c>
      <c r="H14" s="358">
        <f>IFERROR(VLOOKUP($A14,'PP DS Query'!$C$1:$R$1005,8,FALSE),0)</f>
        <v>1563648.84</v>
      </c>
      <c r="I14" s="523">
        <f>IFERROR(VLOOKUP($A14,'PP DS Query'!$C$1:$R$1005,9,FALSE),0)</f>
        <v>30</v>
      </c>
      <c r="J14" s="358">
        <f>IFERROR(VLOOKUP($A14,'PP DS Query'!$C$1:$R$1005,10,FALSE),0)</f>
        <v>2405613.6</v>
      </c>
      <c r="K14" s="523">
        <f>IFERROR(VLOOKUP($A14,'PP DS Query'!$C$1:$R$1005,11,FALSE),0)</f>
        <v>10.711008</v>
      </c>
      <c r="L14" s="358">
        <f>IFERROR(VLOOKUP($A14,'PP DS Query'!$C$1:$R$1005,12,FALSE),0)</f>
        <v>858884.88</v>
      </c>
      <c r="M14" s="19">
        <f>IFERROR(VLOOKUP($A14,'PP DS Query'!$C$1:$R$1005,13,FALSE),0)</f>
        <v>0.65582576999999997</v>
      </c>
      <c r="N14" s="358">
        <f>IFERROR(VLOOKUP($A14,'PP DS Query'!$C$1:$R$1005,14,FALSE),0)</f>
        <v>52588.78</v>
      </c>
      <c r="O14" s="56">
        <f>IFERROR(VLOOKUP($A14,'PP DS Query'!$C$1:$R$1005,4,FALSE),0)</f>
        <v>-0.02</v>
      </c>
      <c r="P14" s="358">
        <f>-IFERROR(VLOOKUP($A14,'PP DS Query'!$C$1:$R$1005,15,FALSE),0)</f>
        <v>1603.74</v>
      </c>
      <c r="Q14" s="358">
        <f>IFERROR(VLOOKUP($A14,'PP DS Query'!$C$1:$R$1005,16,FALSE),0)</f>
        <v>53053.17</v>
      </c>
      <c r="R14" s="48"/>
      <c r="S14" s="472">
        <f t="shared" ref="S14:S16" si="0">IFERROR(ROUND(LEFT(A14,7)*100,0),0)</f>
        <v>34182</v>
      </c>
      <c r="T14" s="472" t="s">
        <v>963</v>
      </c>
      <c r="U14" s="474">
        <f>IFERROR(VLOOKUP($S14,#REF!,7,FALSE),0)</f>
        <v>0</v>
      </c>
      <c r="V14" s="473">
        <f t="shared" ref="V14:V16" si="1">U14-F14</f>
        <v>-80187.12</v>
      </c>
    </row>
    <row r="15" spans="1:22" ht="15.95" customHeight="1" x14ac:dyDescent="0.2">
      <c r="A15" s="396" t="s">
        <v>1060</v>
      </c>
      <c r="B15" s="499">
        <f>IFERROR(VLOOKUP($A15,'PP DS Query'!$C$1:$R$1005,5,FALSE),0)</f>
        <v>2040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39678.76</v>
      </c>
      <c r="G15" s="523">
        <f>IFERROR(VLOOKUP($A15,'PP DS Query'!$C$1:$R$1005,7,FALSE),0)</f>
        <v>19.5</v>
      </c>
      <c r="H15" s="358">
        <f>IFERROR(VLOOKUP($A15,'PP DS Query'!$C$1:$R$1005,8,FALSE),0)</f>
        <v>773735.82</v>
      </c>
      <c r="I15" s="523">
        <f>IFERROR(VLOOKUP($A15,'PP DS Query'!$C$1:$R$1005,9,FALSE),0)</f>
        <v>20</v>
      </c>
      <c r="J15" s="358">
        <f>IFERROR(VLOOKUP($A15,'PP DS Query'!$C$1:$R$1005,10,FALSE),0)</f>
        <v>793575.2</v>
      </c>
      <c r="K15" s="523">
        <f>IFERROR(VLOOKUP($A15,'PP DS Query'!$C$1:$R$1005,11,FALSE),0)</f>
        <v>4.1576199999999996</v>
      </c>
      <c r="L15" s="358">
        <f>IFERROR(VLOOKUP($A15,'PP DS Query'!$C$1:$R$1005,12,FALSE),0)</f>
        <v>164969.21</v>
      </c>
      <c r="M15" s="19">
        <f>IFERROR(VLOOKUP($A15,'PP DS Query'!$C$1:$R$1005,13,FALSE),0)</f>
        <v>0.80796124000000002</v>
      </c>
      <c r="N15" s="358">
        <f>IFERROR(VLOOKUP($A15,'PP DS Query'!$C$1:$R$1005,14,FALSE),0)</f>
        <v>32058.9</v>
      </c>
      <c r="O15" s="56">
        <f>IFERROR(VLOOKUP($A15,'PP DS Query'!$C$1:$R$1005,4,FALSE),0)</f>
        <v>-0.02</v>
      </c>
      <c r="P15" s="358">
        <f>-IFERROR(VLOOKUP($A15,'PP DS Query'!$C$1:$R$1005,15,FALSE),0)</f>
        <v>793.58</v>
      </c>
      <c r="Q15" s="358">
        <f>IFERROR(VLOOKUP($A15,'PP DS Query'!$C$1:$R$1005,16,FALSE),0)</f>
        <v>32341.99</v>
      </c>
      <c r="R15" s="48"/>
      <c r="S15" s="472">
        <f t="shared" si="0"/>
        <v>34182</v>
      </c>
      <c r="T15" s="472" t="s">
        <v>964</v>
      </c>
      <c r="U15" s="474">
        <f>IFERROR(VLOOKUP($S15,#REF!,8,FALSE),0)</f>
        <v>0</v>
      </c>
      <c r="V15" s="473">
        <f t="shared" si="1"/>
        <v>-39678.76</v>
      </c>
    </row>
    <row r="16" spans="1:22" ht="15.95" customHeight="1" thickBot="1" x14ac:dyDescent="0.25">
      <c r="A16" s="396" t="s">
        <v>1069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34182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639</v>
      </c>
      <c r="B17" s="499">
        <f>IFERROR(VLOOKUP($A17,'PP DS Query'!$C$1:$R$1005,5,FALSE),0)</f>
        <v>2040</v>
      </c>
      <c r="C17" s="33"/>
      <c r="D17" s="34"/>
      <c r="E17" s="15"/>
      <c r="F17" s="443">
        <f>IFERROR(VLOOKUP($A17,'PP DS Query'!$C$1:$R$1005,6,FALSE),0)</f>
        <v>2154013.19</v>
      </c>
      <c r="G17" s="525">
        <f>IFERROR(VLOOKUP($A17,'PP DS Query'!$C$1:$R$1005,7,FALSE),0)</f>
        <v>19.095284159999999</v>
      </c>
      <c r="H17" s="443">
        <f>IFERROR(VLOOKUP($A17,'PP DS Query'!$C$1:$R$1005,8,FALSE),0)</f>
        <v>41131493.960000001</v>
      </c>
      <c r="I17" s="525">
        <f>IFERROR(VLOOKUP($A17,'PP DS Query'!$C$1:$R$1005,9,FALSE),0)</f>
        <v>38.683259569999997</v>
      </c>
      <c r="J17" s="443">
        <f>IFERROR(VLOOKUP($A17,'PP DS Query'!$C$1:$R$1005,10,FALSE),0)</f>
        <v>83324251.340000004</v>
      </c>
      <c r="K17" s="525">
        <f>IFERROR(VLOOKUP($A17,'PP DS Query'!$C$1:$R$1005,11,FALSE),0)</f>
        <v>19.834546110000002</v>
      </c>
      <c r="L17" s="443">
        <f>IFERROR(VLOOKUP($A17,'PP DS Query'!$C$1:$R$1005,12,FALSE),0)</f>
        <v>42723873.939999998</v>
      </c>
      <c r="M17" s="445">
        <f>IFERROR(VLOOKUP($A17,'PP DS Query'!$C$1:$R$1005,13,FALSE),0)</f>
        <v>0.50123870999999998</v>
      </c>
      <c r="N17" s="443">
        <f>IFERROR(VLOOKUP($A17,'PP DS Query'!$C$1:$R$1005,14,FALSE),0)</f>
        <v>1079674.79</v>
      </c>
      <c r="O17" s="446">
        <f>IFERROR(VLOOKUP($A17,'PP DS Query'!$C$1:$R$1005,4,FALSE),0)</f>
        <v>-0.02</v>
      </c>
      <c r="P17" s="443">
        <f>-IFERROR(VLOOKUP($A17,'PP DS Query'!$C$1:$R$1005,15,FALSE),0)</f>
        <v>43080.26</v>
      </c>
      <c r="Q17" s="443">
        <f>IFERROR(VLOOKUP($A17,'PP DS Query'!$C$1:$R$1005,16,FALSE),0)</f>
        <v>1089208.8600000001</v>
      </c>
      <c r="R17" s="48"/>
      <c r="U17" s="473">
        <f>SUM(U13:U16)</f>
        <v>0</v>
      </c>
      <c r="V17" s="473">
        <f>SUM(V13:V16)</f>
        <v>-2154013.19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1273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651</v>
      </c>
      <c r="B20" s="499">
        <f>IFERROR(VLOOKUP($A20,'PP DS Query'!$C$1:$R$1005,5,FALSE),0)</f>
        <v>2040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1146309.0900000001</v>
      </c>
      <c r="G20" s="523">
        <f>IFERROR(VLOOKUP($A20,'PP DS Query'!$C$1:$R$1005,7,FALSE),0)</f>
        <v>14.72228084</v>
      </c>
      <c r="H20" s="358">
        <f>IFERROR(VLOOKUP($A20,'PP DS Query'!$C$1:$R$1005,8,FALSE),0)</f>
        <v>16876284.359999999</v>
      </c>
      <c r="I20" s="523">
        <f>IFERROR(VLOOKUP($A20,'PP DS Query'!$C$1:$R$1005,9,FALSE),0)</f>
        <v>33.229999999999997</v>
      </c>
      <c r="J20" s="358">
        <f>IFERROR(VLOOKUP($A20,'PP DS Query'!$C$1:$R$1005,10,FALSE),0)</f>
        <v>38091851.060000002</v>
      </c>
      <c r="K20" s="523">
        <f>IFERROR(VLOOKUP($A20,'PP DS Query'!$C$1:$R$1005,11,FALSE),0)</f>
        <v>20.5</v>
      </c>
      <c r="L20" s="358">
        <f>IFERROR(VLOOKUP($A20,'PP DS Query'!$C$1:$R$1005,12,FALSE),0)</f>
        <v>23499336.350000001</v>
      </c>
      <c r="M20" s="19">
        <f>IFERROR(VLOOKUP($A20,'PP DS Query'!$C$1:$R$1005,13,FALSE),0)</f>
        <v>0.40221416999999998</v>
      </c>
      <c r="N20" s="358">
        <f>IFERROR(VLOOKUP($A20,'PP DS Query'!$C$1:$R$1005,14,FALSE),0)</f>
        <v>461061.76</v>
      </c>
      <c r="O20" s="56">
        <f>IFERROR(VLOOKUP($A20,'PP DS Query'!$C$1:$R$1005,4,FALSE),0)</f>
        <v>-0.05</v>
      </c>
      <c r="P20" s="358">
        <f>-IFERROR(VLOOKUP($A20,'PP DS Query'!$C$1:$R$1005,15,FALSE),0)</f>
        <v>57315.45</v>
      </c>
      <c r="Q20" s="358">
        <f>IFERROR(VLOOKUP($A20,'PP DS Query'!$C$1:$R$1005,16,FALSE),0)</f>
        <v>330780.94</v>
      </c>
      <c r="R20" s="48"/>
      <c r="S20" s="472">
        <f>IFERROR(ROUND(LEFT(A20,7)*100,0),0)</f>
        <v>34282</v>
      </c>
      <c r="T20" s="472" t="s">
        <v>962</v>
      </c>
      <c r="U20" s="474">
        <f>IFERROR(VLOOKUP($S20,#REF!,6,FALSE),0)</f>
        <v>0</v>
      </c>
      <c r="V20" s="473">
        <f>U20-F20</f>
        <v>-1146309.0900000001</v>
      </c>
    </row>
    <row r="21" spans="1:22" ht="15.95" customHeight="1" x14ac:dyDescent="0.2">
      <c r="A21" s="49" t="s">
        <v>652</v>
      </c>
      <c r="B21" s="499">
        <f>IFERROR(VLOOKUP($A21,'PP DS Query'!$C$1:$R$1005,5,FALSE),0)</f>
        <v>2040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774149.41</v>
      </c>
      <c r="G21" s="523">
        <f>IFERROR(VLOOKUP($A21,'PP DS Query'!$C$1:$R$1005,7,FALSE),0)</f>
        <v>3.6856806199999999</v>
      </c>
      <c r="H21" s="358">
        <f>IFERROR(VLOOKUP($A21,'PP DS Query'!$C$1:$R$1005,8,FALSE),0)</f>
        <v>2853267.48</v>
      </c>
      <c r="I21" s="523">
        <f>IFERROR(VLOOKUP($A21,'PP DS Query'!$C$1:$R$1005,9,FALSE),0)</f>
        <v>22.13</v>
      </c>
      <c r="J21" s="358">
        <f>IFERROR(VLOOKUP($A21,'PP DS Query'!$C$1:$R$1005,10,FALSE),0)</f>
        <v>17131926.440000001</v>
      </c>
      <c r="K21" s="523">
        <f>IFERROR(VLOOKUP($A21,'PP DS Query'!$C$1:$R$1005,11,FALSE),0)</f>
        <v>19.267271999999998</v>
      </c>
      <c r="L21" s="358">
        <f>IFERROR(VLOOKUP($A21,'PP DS Query'!$C$1:$R$1005,12,FALSE),0)</f>
        <v>14915747.25</v>
      </c>
      <c r="M21" s="19">
        <f>IFERROR(VLOOKUP($A21,'PP DS Query'!$C$1:$R$1005,13,FALSE),0)</f>
        <v>0.13598713000000001</v>
      </c>
      <c r="N21" s="358">
        <f>IFERROR(VLOOKUP($A21,'PP DS Query'!$C$1:$R$1005,14,FALSE),0)</f>
        <v>105274.36</v>
      </c>
      <c r="O21" s="56">
        <f>IFERROR(VLOOKUP($A21,'PP DS Query'!$C$1:$R$1005,4,FALSE),0)</f>
        <v>-0.05</v>
      </c>
      <c r="P21" s="358">
        <f>-IFERROR(VLOOKUP($A21,'PP DS Query'!$C$1:$R$1005,15,FALSE),0)</f>
        <v>38707.47</v>
      </c>
      <c r="Q21" s="358">
        <f>IFERROR(VLOOKUP($A21,'PP DS Query'!$C$1:$R$1005,16,FALSE),0)</f>
        <v>75527.3</v>
      </c>
      <c r="R21" s="48"/>
      <c r="S21" s="472">
        <f t="shared" ref="S21:S23" si="2">IFERROR(ROUND(LEFT(A21,7)*100,0),0)</f>
        <v>34282</v>
      </c>
      <c r="T21" s="472" t="s">
        <v>963</v>
      </c>
      <c r="U21" s="474">
        <f>IFERROR(VLOOKUP($S21,#REF!,7,FALSE),0)</f>
        <v>0</v>
      </c>
      <c r="V21" s="473">
        <f t="shared" ref="V21:V23" si="3">U21-F21</f>
        <v>-774149.41</v>
      </c>
    </row>
    <row r="22" spans="1:22" s="40" customFormat="1" ht="15.95" customHeight="1" x14ac:dyDescent="0.2">
      <c r="A22" s="60" t="s">
        <v>653</v>
      </c>
      <c r="B22" s="499">
        <f>IFERROR(VLOOKUP($A22,'PP DS Query'!$C$1:$R$1005,5,FALSE),0)</f>
        <v>2040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133776.28</v>
      </c>
      <c r="G22" s="523">
        <f>IFERROR(VLOOKUP($A22,'PP DS Query'!$C$1:$R$1005,7,FALSE),0)</f>
        <v>8.0380695299999996</v>
      </c>
      <c r="H22" s="358">
        <f>IFERROR(VLOOKUP($A22,'PP DS Query'!$C$1:$R$1005,8,FALSE),0)</f>
        <v>1075303.04</v>
      </c>
      <c r="I22" s="523">
        <f>IFERROR(VLOOKUP($A22,'PP DS Query'!$C$1:$R$1005,9,FALSE),0)</f>
        <v>19.899999999999999</v>
      </c>
      <c r="J22" s="358">
        <f>IFERROR(VLOOKUP($A22,'PP DS Query'!$C$1:$R$1005,10,FALSE),0)</f>
        <v>2662147.9700000002</v>
      </c>
      <c r="K22" s="523">
        <f>IFERROR(VLOOKUP($A22,'PP DS Query'!$C$1:$R$1005,11,FALSE),0)</f>
        <v>12.22275</v>
      </c>
      <c r="L22" s="358">
        <f>IFERROR(VLOOKUP($A22,'PP DS Query'!$C$1:$R$1005,12,FALSE),0)</f>
        <v>1635114.03</v>
      </c>
      <c r="M22" s="19">
        <f>IFERROR(VLOOKUP($A22,'PP DS Query'!$C$1:$R$1005,13,FALSE),0)</f>
        <v>0.40515754999999998</v>
      </c>
      <c r="N22" s="358">
        <f>IFERROR(VLOOKUP($A22,'PP DS Query'!$C$1:$R$1005,14,FALSE),0)</f>
        <v>54200.47</v>
      </c>
      <c r="O22" s="56">
        <f>IFERROR(VLOOKUP($A22,'PP DS Query'!$C$1:$R$1005,4,FALSE),0)</f>
        <v>-0.05</v>
      </c>
      <c r="P22" s="358">
        <f>-IFERROR(VLOOKUP($A22,'PP DS Query'!$C$1:$R$1005,15,FALSE),0)</f>
        <v>6688.81</v>
      </c>
      <c r="Q22" s="358">
        <f>IFERROR(VLOOKUP($A22,'PP DS Query'!$C$1:$R$1005,16,FALSE),0)</f>
        <v>38885.21</v>
      </c>
      <c r="R22" s="48"/>
      <c r="S22" s="472">
        <f t="shared" si="2"/>
        <v>34282</v>
      </c>
      <c r="T22" s="472" t="s">
        <v>964</v>
      </c>
      <c r="U22" s="474">
        <f>IFERROR(VLOOKUP($S22,#REF!,8,FALSE),0)</f>
        <v>0</v>
      </c>
      <c r="V22" s="473">
        <f t="shared" si="3"/>
        <v>-133776.28</v>
      </c>
    </row>
    <row r="23" spans="1:22" ht="15.95" customHeight="1" thickBot="1" x14ac:dyDescent="0.25">
      <c r="A23" s="398" t="s">
        <v>898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34282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654</v>
      </c>
      <c r="B24" s="499">
        <f>IFERROR(VLOOKUP($A24,'PP DS Query'!$C$1:$R$1005,5,FALSE),0)</f>
        <v>2040</v>
      </c>
      <c r="C24" s="33"/>
      <c r="D24" s="34"/>
      <c r="E24" s="15"/>
      <c r="F24" s="443">
        <f>IFERROR(VLOOKUP($A24,'PP DS Query'!$C$1:$R$1005,6,FALSE),0)</f>
        <v>2054234.78</v>
      </c>
      <c r="G24" s="525">
        <f>IFERROR(VLOOKUP($A24,'PP DS Query'!$C$1:$R$1005,7,FALSE),0)</f>
        <v>10.12778825</v>
      </c>
      <c r="H24" s="443">
        <f>IFERROR(VLOOKUP($A24,'PP DS Query'!$C$1:$R$1005,8,FALSE),0)</f>
        <v>20804854.870000001</v>
      </c>
      <c r="I24" s="525">
        <f>IFERROR(VLOOKUP($A24,'PP DS Query'!$C$1:$R$1005,9,FALSE),0)</f>
        <v>28.17882651</v>
      </c>
      <c r="J24" s="443">
        <f>IFERROR(VLOOKUP($A24,'PP DS Query'!$C$1:$R$1005,10,FALSE),0)</f>
        <v>57885925.479999997</v>
      </c>
      <c r="K24" s="525">
        <f>IFERROR(VLOOKUP($A24,'PP DS Query'!$C$1:$R$1005,11,FALSE),0)</f>
        <v>19.496407139999999</v>
      </c>
      <c r="L24" s="443">
        <f>IFERROR(VLOOKUP($A24,'PP DS Query'!$C$1:$R$1005,12,FALSE),0)</f>
        <v>40050197.619999997</v>
      </c>
      <c r="M24" s="445">
        <f>IFERROR(VLOOKUP($A24,'PP DS Query'!$C$1:$R$1005,13,FALSE),0)</f>
        <v>0.30207676</v>
      </c>
      <c r="N24" s="443">
        <f>IFERROR(VLOOKUP($A24,'PP DS Query'!$C$1:$R$1005,14,FALSE),0)</f>
        <v>620536.59</v>
      </c>
      <c r="O24" s="446">
        <f>IFERROR(VLOOKUP($A24,'PP DS Query'!$C$1:$R$1005,4,FALSE),0)</f>
        <v>-0.05</v>
      </c>
      <c r="P24" s="443">
        <f>-IFERROR(VLOOKUP($A24,'PP DS Query'!$C$1:$R$1005,15,FALSE),0)</f>
        <v>102711.74</v>
      </c>
      <c r="Q24" s="443">
        <f>IFERROR(VLOOKUP($A24,'PP DS Query'!$C$1:$R$1005,16,FALSE),0)</f>
        <v>445193.45</v>
      </c>
      <c r="R24" s="48"/>
      <c r="U24" s="473">
        <f>SUM(U20:U23)</f>
        <v>0</v>
      </c>
      <c r="V24" s="473">
        <f>SUM(V20:V23)</f>
        <v>-2054234.78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1274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676</v>
      </c>
      <c r="B27" s="499">
        <f>IFERROR(VLOOKUP($A27,'PP DS Query'!$C$1:$R$1005,5,FALSE),0)</f>
        <v>2040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10793814.49</v>
      </c>
      <c r="G27" s="523">
        <f>IFERROR(VLOOKUP($A27,'PP DS Query'!$C$1:$R$1005,7,FALSE),0)</f>
        <v>19.396372979999999</v>
      </c>
      <c r="H27" s="358">
        <f>IFERROR(VLOOKUP($A27,'PP DS Query'!$C$1:$R$1005,8,FALSE),0)</f>
        <v>209360851.68000001</v>
      </c>
      <c r="I27" s="523">
        <f>IFERROR(VLOOKUP($A27,'PP DS Query'!$C$1:$R$1005,9,FALSE),0)</f>
        <v>39.83</v>
      </c>
      <c r="J27" s="358">
        <f>IFERROR(VLOOKUP($A27,'PP DS Query'!$C$1:$R$1005,10,FALSE),0)</f>
        <v>429917631.13999999</v>
      </c>
      <c r="K27" s="523">
        <f>IFERROR(VLOOKUP($A27,'PP DS Query'!$C$1:$R$1005,11,FALSE),0)</f>
        <v>20.5</v>
      </c>
      <c r="L27" s="358">
        <f>IFERROR(VLOOKUP($A27,'PP DS Query'!$C$1:$R$1005,12,FALSE),0)</f>
        <v>221273197.05000001</v>
      </c>
      <c r="M27" s="19">
        <f>IFERROR(VLOOKUP($A27,'PP DS Query'!$C$1:$R$1005,13,FALSE),0)</f>
        <v>0.51925723000000001</v>
      </c>
      <c r="N27" s="358">
        <f>IFERROR(VLOOKUP($A27,'PP DS Query'!$C$1:$R$1005,14,FALSE),0)</f>
        <v>5604766.2199999997</v>
      </c>
      <c r="O27" s="56">
        <f>IFERROR(VLOOKUP($A27,'PP DS Query'!$C$1:$R$1005,4,FALSE),0)</f>
        <v>-7.0000000000000007E-2</v>
      </c>
      <c r="P27" s="358">
        <f>-IFERROR(VLOOKUP($A27,'PP DS Query'!$C$1:$R$1005,15,FALSE),0)</f>
        <v>755567.01</v>
      </c>
      <c r="Q27" s="358">
        <f>IFERROR(VLOOKUP($A27,'PP DS Query'!$C$1:$R$1005,16,FALSE),0)</f>
        <v>3769880.99</v>
      </c>
      <c r="R27" s="48"/>
      <c r="S27" s="472">
        <f>IFERROR(ROUND(LEFT(A27,7)*100,0),0)</f>
        <v>34382</v>
      </c>
      <c r="T27" s="472" t="s">
        <v>962</v>
      </c>
      <c r="U27" s="474">
        <f>IFERROR(VLOOKUP($S27,#REF!,6,FALSE),0)</f>
        <v>0</v>
      </c>
      <c r="V27" s="473">
        <f>U27-F27</f>
        <v>-10793814.49</v>
      </c>
    </row>
    <row r="28" spans="1:22" ht="15.95" customHeight="1" x14ac:dyDescent="0.2">
      <c r="A28" s="49" t="s">
        <v>677</v>
      </c>
      <c r="B28" s="499">
        <f>IFERROR(VLOOKUP($A28,'PP DS Query'!$C$1:$R$1005,5,FALSE),0)</f>
        <v>2040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7608534.3700000001</v>
      </c>
      <c r="G28" s="523">
        <f>IFERROR(VLOOKUP($A28,'PP DS Query'!$C$1:$R$1005,7,FALSE),0)</f>
        <v>15.153196380000001</v>
      </c>
      <c r="H28" s="358">
        <f>IFERROR(VLOOKUP($A28,'PP DS Query'!$C$1:$R$1005,8,FALSE),0)</f>
        <v>115293615.47</v>
      </c>
      <c r="I28" s="523">
        <f>IFERROR(VLOOKUP($A28,'PP DS Query'!$C$1:$R$1005,9,FALSE),0)</f>
        <v>28.51</v>
      </c>
      <c r="J28" s="358">
        <f>IFERROR(VLOOKUP($A28,'PP DS Query'!$C$1:$R$1005,10,FALSE),0)</f>
        <v>216919314.88999999</v>
      </c>
      <c r="K28" s="523">
        <f>IFERROR(VLOOKUP($A28,'PP DS Query'!$C$1:$R$1005,11,FALSE),0)</f>
        <v>13.923461</v>
      </c>
      <c r="L28" s="358">
        <f>IFERROR(VLOOKUP($A28,'PP DS Query'!$C$1:$R$1005,12,FALSE),0)</f>
        <v>105937131.56999999</v>
      </c>
      <c r="M28" s="19">
        <f>IFERROR(VLOOKUP($A28,'PP DS Query'!$C$1:$R$1005,13,FALSE),0)</f>
        <v>0.54741768000000002</v>
      </c>
      <c r="N28" s="358">
        <f>IFERROR(VLOOKUP($A28,'PP DS Query'!$C$1:$R$1005,14,FALSE),0)</f>
        <v>4165046.26</v>
      </c>
      <c r="O28" s="56">
        <f>IFERROR(VLOOKUP($A28,'PP DS Query'!$C$1:$R$1005,4,FALSE),0)</f>
        <v>-7.0000000000000007E-2</v>
      </c>
      <c r="P28" s="358">
        <f>-IFERROR(VLOOKUP($A28,'PP DS Query'!$C$1:$R$1005,15,FALSE),0)</f>
        <v>532597.41</v>
      </c>
      <c r="Q28" s="358">
        <f>IFERROR(VLOOKUP($A28,'PP DS Query'!$C$1:$R$1005,16,FALSE),0)</f>
        <v>2801495.75</v>
      </c>
      <c r="R28" s="48"/>
      <c r="S28" s="472">
        <f t="shared" ref="S28:S30" si="4">IFERROR(ROUND(LEFT(A28,7)*100,0),0)</f>
        <v>34382</v>
      </c>
      <c r="T28" s="472" t="s">
        <v>963</v>
      </c>
      <c r="U28" s="474">
        <f>IFERROR(VLOOKUP($S28,#REF!,7,FALSE),0)</f>
        <v>0</v>
      </c>
      <c r="V28" s="473">
        <f t="shared" ref="V28:V30" si="5">U28-F28</f>
        <v>-7608534.3700000001</v>
      </c>
    </row>
    <row r="29" spans="1:22" s="40" customFormat="1" ht="15.95" customHeight="1" x14ac:dyDescent="0.2">
      <c r="A29" s="60" t="s">
        <v>678</v>
      </c>
      <c r="B29" s="499">
        <f>IFERROR(VLOOKUP($A29,'PP DS Query'!$C$1:$R$1005,5,FALSE),0)</f>
        <v>2040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284045.11</v>
      </c>
      <c r="G29" s="523">
        <f>IFERROR(VLOOKUP($A29,'PP DS Query'!$C$1:$R$1005,7,FALSE),0)</f>
        <v>12.29895338</v>
      </c>
      <c r="H29" s="358">
        <f>IFERROR(VLOOKUP($A29,'PP DS Query'!$C$1:$R$1005,8,FALSE),0)</f>
        <v>3493457.57</v>
      </c>
      <c r="I29" s="523">
        <f>IFERROR(VLOOKUP($A29,'PP DS Query'!$C$1:$R$1005,9,FALSE),0)</f>
        <v>19.91</v>
      </c>
      <c r="J29" s="358">
        <f>IFERROR(VLOOKUP($A29,'PP DS Query'!$C$1:$R$1005,10,FALSE),0)</f>
        <v>5655338.1399999997</v>
      </c>
      <c r="K29" s="523">
        <f>IFERROR(VLOOKUP($A29,'PP DS Query'!$C$1:$R$1005,11,FALSE),0)</f>
        <v>9.4846210000000006</v>
      </c>
      <c r="L29" s="358">
        <f>IFERROR(VLOOKUP($A29,'PP DS Query'!$C$1:$R$1005,12,FALSE),0)</f>
        <v>2694060.22</v>
      </c>
      <c r="M29" s="19">
        <f>IFERROR(VLOOKUP($A29,'PP DS Query'!$C$1:$R$1005,13,FALSE),0)</f>
        <v>0.56034762000000005</v>
      </c>
      <c r="N29" s="358">
        <f>IFERROR(VLOOKUP($A29,'PP DS Query'!$C$1:$R$1005,14,FALSE),0)</f>
        <v>159164</v>
      </c>
      <c r="O29" s="56">
        <f>IFERROR(VLOOKUP($A29,'PP DS Query'!$C$1:$R$1005,4,FALSE),0)</f>
        <v>-7.0000000000000007E-2</v>
      </c>
      <c r="P29" s="358">
        <f>-IFERROR(VLOOKUP($A29,'PP DS Query'!$C$1:$R$1005,15,FALSE),0)</f>
        <v>19883.16</v>
      </c>
      <c r="Q29" s="358">
        <f>IFERROR(VLOOKUP($A29,'PP DS Query'!$C$1:$R$1005,16,FALSE),0)</f>
        <v>107056.97</v>
      </c>
      <c r="R29" s="48"/>
      <c r="S29" s="472">
        <f t="shared" si="4"/>
        <v>34382</v>
      </c>
      <c r="T29" s="472" t="s">
        <v>964</v>
      </c>
      <c r="U29" s="474">
        <f>IFERROR(VLOOKUP($S29,#REF!,8,FALSE),0)</f>
        <v>0</v>
      </c>
      <c r="V29" s="473">
        <f t="shared" si="5"/>
        <v>-284045.11</v>
      </c>
    </row>
    <row r="30" spans="1:22" ht="15.95" customHeight="1" thickBot="1" x14ac:dyDescent="0.25">
      <c r="A30" s="49" t="s">
        <v>675</v>
      </c>
      <c r="B30" s="499">
        <f>IFERROR(VLOOKUP($A30,'PP DS Query'!$C$1:$R$1005,5,FALSE),0)</f>
        <v>2040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6257052.1500000004</v>
      </c>
      <c r="G30" s="524">
        <f>IFERROR(VLOOKUP($A30,'PP DS Query'!$C$1:$R$1005,7,FALSE),0)</f>
        <v>3.5</v>
      </c>
      <c r="H30" s="250">
        <f>IFERROR(VLOOKUP($A30,'PP DS Query'!$C$1:$R$1005,8,FALSE),0)</f>
        <v>21899682.530000001</v>
      </c>
      <c r="I30" s="524">
        <f>IFERROR(VLOOKUP($A30,'PP DS Query'!$C$1:$R$1005,9,FALSE),0)</f>
        <v>12</v>
      </c>
      <c r="J30" s="250">
        <f>IFERROR(VLOOKUP($A30,'PP DS Query'!$C$1:$R$1005,10,FALSE),0)</f>
        <v>75084625.799999997</v>
      </c>
      <c r="K30" s="524">
        <f>IFERROR(VLOOKUP($A30,'PP DS Query'!$C$1:$R$1005,11,FALSE),0)</f>
        <v>8.5</v>
      </c>
      <c r="L30" s="250">
        <f>IFERROR(VLOOKUP($A30,'PP DS Query'!$C$1:$R$1005,12,FALSE),0)</f>
        <v>53184943.280000001</v>
      </c>
      <c r="M30" s="21">
        <f>IFERROR(VLOOKUP($A30,'PP DS Query'!$C$1:$R$1005,13,FALSE),0)</f>
        <v>0.31208332999999999</v>
      </c>
      <c r="N30" s="250">
        <f>IFERROR(VLOOKUP($A30,'PP DS Query'!$C$1:$R$1005,14,FALSE),0)</f>
        <v>1952721.69</v>
      </c>
      <c r="O30" s="57">
        <f>IFERROR(VLOOKUP($A30,'PP DS Query'!$C$1:$R$1005,4,FALSE),0)</f>
        <v>-7.0000000000000007E-2</v>
      </c>
      <c r="P30" s="250">
        <f>-IFERROR(VLOOKUP($A30,'PP DS Query'!$C$1:$R$1005,15,FALSE),0)</f>
        <v>437993.65</v>
      </c>
      <c r="Q30" s="250">
        <f>IFERROR(VLOOKUP($A30,'PP DS Query'!$C$1:$R$1005,16,FALSE),0)</f>
        <v>1313440.76</v>
      </c>
      <c r="R30" s="48"/>
      <c r="S30" s="472">
        <f t="shared" si="4"/>
        <v>34382</v>
      </c>
      <c r="T30" s="472" t="s">
        <v>961</v>
      </c>
      <c r="U30" s="475">
        <f>IFERROR(VLOOKUP($S30,#REF!,9,FALSE),0)</f>
        <v>0</v>
      </c>
      <c r="V30" s="476">
        <f t="shared" si="5"/>
        <v>-6257052.1500000004</v>
      </c>
    </row>
    <row r="31" spans="1:22" ht="15.95" customHeight="1" x14ac:dyDescent="0.2">
      <c r="A31" s="49" t="s">
        <v>679</v>
      </c>
      <c r="B31" s="499">
        <f>IFERROR(VLOOKUP($A31,'PP DS Query'!$C$1:$R$1005,5,FALSE),0)</f>
        <v>2040</v>
      </c>
      <c r="C31" s="33"/>
      <c r="D31" s="34"/>
      <c r="E31" s="15"/>
      <c r="F31" s="443">
        <f>IFERROR(VLOOKUP($A31,'PP DS Query'!$C$1:$R$1005,6,FALSE),0)</f>
        <v>24943446.120000001</v>
      </c>
      <c r="G31" s="525">
        <f>IFERROR(VLOOKUP($A31,'PP DS Query'!$C$1:$R$1005,7,FALSE),0)</f>
        <v>14.03365058</v>
      </c>
      <c r="H31" s="443">
        <f>IFERROR(VLOOKUP($A31,'PP DS Query'!$C$1:$R$1005,8,FALSE),0)</f>
        <v>350047607.23000002</v>
      </c>
      <c r="I31" s="525">
        <f>IFERROR(VLOOKUP($A31,'PP DS Query'!$C$1:$R$1005,9,FALSE),0)</f>
        <v>29.169061339999999</v>
      </c>
      <c r="J31" s="443">
        <f>IFERROR(VLOOKUP($A31,'PP DS Query'!$C$1:$R$1005,10,FALSE),0)</f>
        <v>727576909.97000003</v>
      </c>
      <c r="K31" s="525">
        <f>IFERROR(VLOOKUP($A31,'PP DS Query'!$C$1:$R$1005,11,FALSE),0)</f>
        <v>15.358316179999999</v>
      </c>
      <c r="L31" s="443">
        <f>IFERROR(VLOOKUP($A31,'PP DS Query'!$C$1:$R$1005,12,FALSE),0)</f>
        <v>383089332.10000002</v>
      </c>
      <c r="M31" s="445">
        <f>IFERROR(VLOOKUP($A31,'PP DS Query'!$C$1:$R$1005,13,FALSE),0)</f>
        <v>0.47634548999999998</v>
      </c>
      <c r="N31" s="443">
        <f>IFERROR(VLOOKUP($A31,'PP DS Query'!$C$1:$R$1005,14,FALSE),0)</f>
        <v>11881698.17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1746041.23</v>
      </c>
      <c r="Q31" s="443">
        <f>IFERROR(VLOOKUP($A31,'PP DS Query'!$C$1:$R$1005,16,FALSE),0)</f>
        <v>7991874.4699999997</v>
      </c>
      <c r="R31" s="48"/>
      <c r="U31" s="473">
        <f>SUM(U27:U30)</f>
        <v>0</v>
      </c>
      <c r="V31" s="473">
        <f>SUM(V27:V30)</f>
        <v>-24943446.119999997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1275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701</v>
      </c>
      <c r="B34" s="499">
        <f>IFERROR(VLOOKUP($A34,'PP DS Query'!$C$1:$R$1005,5,FALSE),0)</f>
        <v>2040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10136219.939999999</v>
      </c>
      <c r="G34" s="523">
        <f>IFERROR(VLOOKUP($A34,'PP DS Query'!$C$1:$R$1005,7,FALSE),0)</f>
        <v>19.273611039999999</v>
      </c>
      <c r="H34" s="358">
        <f>IFERROR(VLOOKUP($A34,'PP DS Query'!$C$1:$R$1005,8,FALSE),0)</f>
        <v>195361560.49000001</v>
      </c>
      <c r="I34" s="523">
        <f>IFERROR(VLOOKUP($A34,'PP DS Query'!$C$1:$R$1005,9,FALSE),0)</f>
        <v>39.61</v>
      </c>
      <c r="J34" s="358">
        <f>IFERROR(VLOOKUP($A34,'PP DS Query'!$C$1:$R$1005,10,FALSE),0)</f>
        <v>401495671.81999999</v>
      </c>
      <c r="K34" s="523">
        <f>IFERROR(VLOOKUP($A34,'PP DS Query'!$C$1:$R$1005,11,FALSE),0)</f>
        <v>20.5</v>
      </c>
      <c r="L34" s="358">
        <f>IFERROR(VLOOKUP($A34,'PP DS Query'!$C$1:$R$1005,12,FALSE),0)</f>
        <v>207792508.77000001</v>
      </c>
      <c r="M34" s="19">
        <f>IFERROR(VLOOKUP($A34,'PP DS Query'!$C$1:$R$1005,13,FALSE),0)</f>
        <v>0.50657823999999996</v>
      </c>
      <c r="N34" s="358">
        <f>IFERROR(VLOOKUP($A34,'PP DS Query'!$C$1:$R$1005,14,FALSE),0)</f>
        <v>5134788.42</v>
      </c>
      <c r="O34" s="56">
        <f>IFERROR(VLOOKUP($A34,'PP DS Query'!$C$1:$R$1005,4,FALSE),0)</f>
        <v>-0.05</v>
      </c>
      <c r="P34" s="358">
        <f>-IFERROR(VLOOKUP($A34,'PP DS Query'!$C$1:$R$1005,15,FALSE),0)</f>
        <v>506811</v>
      </c>
      <c r="Q34" s="358">
        <f>IFERROR(VLOOKUP($A34,'PP DS Query'!$C$1:$R$1005,16,FALSE),0)</f>
        <v>4525670.99</v>
      </c>
      <c r="R34" s="48"/>
      <c r="S34" s="472">
        <f>IFERROR(ROUND(LEFT(A34,7)*100,0),0)</f>
        <v>34582</v>
      </c>
      <c r="T34" s="472" t="s">
        <v>962</v>
      </c>
      <c r="U34" s="474">
        <f>IFERROR(VLOOKUP($S34,#REF!,6,FALSE),0)</f>
        <v>0</v>
      </c>
      <c r="V34" s="473">
        <f>U34-F34</f>
        <v>-10136219.939999999</v>
      </c>
    </row>
    <row r="35" spans="1:22" ht="15.95" customHeight="1" x14ac:dyDescent="0.2">
      <c r="A35" s="49" t="s">
        <v>702</v>
      </c>
      <c r="B35" s="499">
        <f>IFERROR(VLOOKUP($A35,'PP DS Query'!$C$1:$R$1005,5,FALSE),0)</f>
        <v>2040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6341710.3600000003</v>
      </c>
      <c r="G35" s="523">
        <f>IFERROR(VLOOKUP($A35,'PP DS Query'!$C$1:$R$1005,7,FALSE),0)</f>
        <v>17.043176840000001</v>
      </c>
      <c r="H35" s="358">
        <f>IFERROR(VLOOKUP($A35,'PP DS Query'!$C$1:$R$1005,8,FALSE),0)</f>
        <v>108082891.15000001</v>
      </c>
      <c r="I35" s="523">
        <f>IFERROR(VLOOKUP($A35,'PP DS Query'!$C$1:$R$1005,9,FALSE),0)</f>
        <v>28.52</v>
      </c>
      <c r="J35" s="358">
        <f>IFERROR(VLOOKUP($A35,'PP DS Query'!$C$1:$R$1005,10,FALSE),0)</f>
        <v>180865579.47</v>
      </c>
      <c r="K35" s="523">
        <f>IFERROR(VLOOKUP($A35,'PP DS Query'!$C$1:$R$1005,11,FALSE),0)</f>
        <v>12.428015</v>
      </c>
      <c r="L35" s="358">
        <f>IFERROR(VLOOKUP($A35,'PP DS Query'!$C$1:$R$1005,12,FALSE),0)</f>
        <v>78814871.480000004</v>
      </c>
      <c r="M35" s="19">
        <f>IFERROR(VLOOKUP($A35,'PP DS Query'!$C$1:$R$1005,13,FALSE),0)</f>
        <v>0.59237474000000001</v>
      </c>
      <c r="N35" s="358">
        <f>IFERROR(VLOOKUP($A35,'PP DS Query'!$C$1:$R$1005,14,FALSE),0)</f>
        <v>3756669</v>
      </c>
      <c r="O35" s="56">
        <f>IFERROR(VLOOKUP($A35,'PP DS Query'!$C$1:$R$1005,4,FALSE),0)</f>
        <v>-0.05</v>
      </c>
      <c r="P35" s="358">
        <f>-IFERROR(VLOOKUP($A35,'PP DS Query'!$C$1:$R$1005,15,FALSE),0)</f>
        <v>317085.52</v>
      </c>
      <c r="Q35" s="358">
        <f>IFERROR(VLOOKUP($A35,'PP DS Query'!$C$1:$R$1005,16,FALSE),0)</f>
        <v>3311031.83</v>
      </c>
      <c r="R35" s="48"/>
      <c r="S35" s="472">
        <f t="shared" ref="S35:S37" si="6">IFERROR(ROUND(LEFT(A35,7)*100,0),0)</f>
        <v>34582</v>
      </c>
      <c r="T35" s="472" t="s">
        <v>963</v>
      </c>
      <c r="U35" s="474">
        <f>IFERROR(VLOOKUP($S35,#REF!,7,FALSE),0)</f>
        <v>0</v>
      </c>
      <c r="V35" s="473">
        <f t="shared" ref="V35:V37" si="7">U35-F35</f>
        <v>-6341710.3600000003</v>
      </c>
    </row>
    <row r="36" spans="1:22" ht="15.95" customHeight="1" x14ac:dyDescent="0.2">
      <c r="A36" s="49" t="s">
        <v>703</v>
      </c>
      <c r="B36" s="499">
        <f>IFERROR(VLOOKUP($A36,'PP DS Query'!$C$1:$R$1005,5,FALSE),0)</f>
        <v>2040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781804.22</v>
      </c>
      <c r="G36" s="523">
        <f>IFERROR(VLOOKUP($A36,'PP DS Query'!$C$1:$R$1005,7,FALSE),0)</f>
        <v>15.033199079999999</v>
      </c>
      <c r="H36" s="358">
        <f>IFERROR(VLOOKUP($A36,'PP DS Query'!$C$1:$R$1005,8,FALSE),0)</f>
        <v>11753018.48</v>
      </c>
      <c r="I36" s="523">
        <f>IFERROR(VLOOKUP($A36,'PP DS Query'!$C$1:$R$1005,9,FALSE),0)</f>
        <v>19.86</v>
      </c>
      <c r="J36" s="358">
        <f>IFERROR(VLOOKUP($A36,'PP DS Query'!$C$1:$R$1005,10,FALSE),0)</f>
        <v>15526631.810000001</v>
      </c>
      <c r="K36" s="523">
        <f>IFERROR(VLOOKUP($A36,'PP DS Query'!$C$1:$R$1005,11,FALSE),0)</f>
        <v>7.462542</v>
      </c>
      <c r="L36" s="358">
        <f>IFERROR(VLOOKUP($A36,'PP DS Query'!$C$1:$R$1005,12,FALSE),0)</f>
        <v>5834246.8300000001</v>
      </c>
      <c r="M36" s="19">
        <f>IFERROR(VLOOKUP($A36,'PP DS Query'!$C$1:$R$1005,13,FALSE),0)</f>
        <v>0.65541386000000001</v>
      </c>
      <c r="N36" s="358">
        <f>IFERROR(VLOOKUP($A36,'PP DS Query'!$C$1:$R$1005,14,FALSE),0)</f>
        <v>512405.32</v>
      </c>
      <c r="O36" s="56">
        <f>IFERROR(VLOOKUP($A36,'PP DS Query'!$C$1:$R$1005,4,FALSE),0)</f>
        <v>-0.05</v>
      </c>
      <c r="P36" s="358">
        <f>-IFERROR(VLOOKUP($A36,'PP DS Query'!$C$1:$R$1005,15,FALSE),0)</f>
        <v>39090.21</v>
      </c>
      <c r="Q36" s="358">
        <f>IFERROR(VLOOKUP($A36,'PP DS Query'!$C$1:$R$1005,16,FALSE),0)</f>
        <v>451620.92</v>
      </c>
      <c r="R36" s="48"/>
      <c r="S36" s="472">
        <f t="shared" si="6"/>
        <v>34582</v>
      </c>
      <c r="T36" s="472" t="s">
        <v>964</v>
      </c>
      <c r="U36" s="474">
        <f>IFERROR(VLOOKUP($S36,#REF!,8,FALSE),0)</f>
        <v>0</v>
      </c>
      <c r="V36" s="473">
        <f t="shared" si="7"/>
        <v>-781804.22</v>
      </c>
    </row>
    <row r="37" spans="1:22" ht="15.95" customHeight="1" thickBot="1" x14ac:dyDescent="0.25">
      <c r="A37" s="396" t="s">
        <v>899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34582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704</v>
      </c>
      <c r="B38" s="499">
        <f>IFERROR(VLOOKUP($A38,'PP DS Query'!$C$1:$R$1005,5,FALSE),0)</f>
        <v>2040</v>
      </c>
      <c r="C38" s="33"/>
      <c r="D38" s="34"/>
      <c r="E38" s="15"/>
      <c r="F38" s="443">
        <f>IFERROR(VLOOKUP($A38,'PP DS Query'!$C$1:$R$1005,6,FALSE),0)</f>
        <v>17259734.52</v>
      </c>
      <c r="G38" s="525">
        <f>IFERROR(VLOOKUP($A38,'PP DS Query'!$C$1:$R$1005,7,FALSE),0)</f>
        <v>18.262011489999999</v>
      </c>
      <c r="H38" s="443">
        <f>IFERROR(VLOOKUP($A38,'PP DS Query'!$C$1:$R$1005,8,FALSE),0)</f>
        <v>315197470.12</v>
      </c>
      <c r="I38" s="525">
        <f>IFERROR(VLOOKUP($A38,'PP DS Query'!$C$1:$R$1005,9,FALSE),0)</f>
        <v>34.640618740000001</v>
      </c>
      <c r="J38" s="443">
        <f>IFERROR(VLOOKUP($A38,'PP DS Query'!$C$1:$R$1005,10,FALSE),0)</f>
        <v>597887883.10000002</v>
      </c>
      <c r="K38" s="525">
        <f>IFERROR(VLOOKUP($A38,'PP DS Query'!$C$1:$R$1005,11,FALSE),0)</f>
        <v>16.943576199999999</v>
      </c>
      <c r="L38" s="443">
        <f>IFERROR(VLOOKUP($A38,'PP DS Query'!$C$1:$R$1005,12,FALSE),0)</f>
        <v>292441627.07999998</v>
      </c>
      <c r="M38" s="445">
        <f>IFERROR(VLOOKUP($A38,'PP DS Query'!$C$1:$R$1005,13,FALSE),0)</f>
        <v>0.54484399999999999</v>
      </c>
      <c r="N38" s="443">
        <f>IFERROR(VLOOKUP($A38,'PP DS Query'!$C$1:$R$1005,14,FALSE),0)</f>
        <v>9403862.7400000002</v>
      </c>
      <c r="O38" s="446">
        <f>IFERROR(VLOOKUP($A38,'PP DS Query'!$C$1:$R$1005,4,FALSE),0)</f>
        <v>-0.05</v>
      </c>
      <c r="P38" s="443">
        <f>-IFERROR(VLOOKUP($A38,'PP DS Query'!$C$1:$R$1005,15,FALSE),0)</f>
        <v>862986.73</v>
      </c>
      <c r="Q38" s="443">
        <f>IFERROR(VLOOKUP($A38,'PP DS Query'!$C$1:$R$1005,16,FALSE),0)</f>
        <v>8288323.7400000002</v>
      </c>
      <c r="R38" s="48"/>
      <c r="U38" s="473">
        <f>SUM(U34:U37)</f>
        <v>0</v>
      </c>
      <c r="V38" s="473">
        <f>SUM(V34:V37)</f>
        <v>-17259734.52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1276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725</v>
      </c>
      <c r="B41" s="499">
        <f>IFERROR(VLOOKUP($A41,'PP DS Query'!$C$1:$R$1005,5,FALSE),0)</f>
        <v>2040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167173.76999999999</v>
      </c>
      <c r="G41" s="523">
        <f>IFERROR(VLOOKUP($A41,'PP DS Query'!$C$1:$R$1005,7,FALSE),0)</f>
        <v>19.5</v>
      </c>
      <c r="H41" s="358">
        <f>IFERROR(VLOOKUP($A41,'PP DS Query'!$C$1:$R$1005,8,FALSE),0)</f>
        <v>3259888.52</v>
      </c>
      <c r="I41" s="523">
        <f>IFERROR(VLOOKUP($A41,'PP DS Query'!$C$1:$R$1005,9,FALSE),0)</f>
        <v>40</v>
      </c>
      <c r="J41" s="358">
        <f>IFERROR(VLOOKUP($A41,'PP DS Query'!$C$1:$R$1005,10,FALSE),0)</f>
        <v>6686950.7999999998</v>
      </c>
      <c r="K41" s="523">
        <f>IFERROR(VLOOKUP($A41,'PP DS Query'!$C$1:$R$1005,11,FALSE),0)</f>
        <v>20.5</v>
      </c>
      <c r="L41" s="358">
        <f>IFERROR(VLOOKUP($A41,'PP DS Query'!$C$1:$R$1005,12,FALSE),0)</f>
        <v>3427062.29</v>
      </c>
      <c r="M41" s="19">
        <f>IFERROR(VLOOKUP($A41,'PP DS Query'!$C$1:$R$1005,13,FALSE),0)</f>
        <v>0.49725002000000001</v>
      </c>
      <c r="N41" s="358">
        <f>IFERROR(VLOOKUP($A41,'PP DS Query'!$C$1:$R$1005,14,FALSE),0)</f>
        <v>83127.16</v>
      </c>
      <c r="O41" s="56">
        <f>IFERROR(VLOOKUP($A41,'PP DS Query'!$C$1:$R$1005,4,FALSE),0)</f>
        <v>-0.02</v>
      </c>
      <c r="P41" s="358">
        <f>-IFERROR(VLOOKUP($A41,'PP DS Query'!$C$1:$R$1005,15,FALSE),0)</f>
        <v>3343.48</v>
      </c>
      <c r="Q41" s="358">
        <f>IFERROR(VLOOKUP($A41,'PP DS Query'!$C$1:$R$1005,16,FALSE),0)</f>
        <v>112392.81</v>
      </c>
      <c r="R41" s="48"/>
      <c r="S41" s="472">
        <f>IFERROR(ROUND(LEFT(A41,7)*100,0),0)</f>
        <v>34682</v>
      </c>
      <c r="T41" s="472" t="s">
        <v>962</v>
      </c>
      <c r="U41" s="474">
        <f>IFERROR(VLOOKUP($S41,#REF!,6,FALSE),0)</f>
        <v>0</v>
      </c>
      <c r="V41" s="473">
        <f>U41-F41</f>
        <v>-167173.76999999999</v>
      </c>
    </row>
    <row r="42" spans="1:22" ht="15.95" customHeight="1" x14ac:dyDescent="0.2">
      <c r="A42" s="49" t="s">
        <v>726</v>
      </c>
      <c r="B42" s="499">
        <f>IFERROR(VLOOKUP($A42,'PP DS Query'!$C$1:$R$1005,5,FALSE),0)</f>
        <v>2040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6036.14</v>
      </c>
      <c r="G42" s="523">
        <f>IFERROR(VLOOKUP($A42,'PP DS Query'!$C$1:$R$1005,7,FALSE),0)</f>
        <v>19.5</v>
      </c>
      <c r="H42" s="358">
        <f>IFERROR(VLOOKUP($A42,'PP DS Query'!$C$1:$R$1005,8,FALSE),0)</f>
        <v>117704.73</v>
      </c>
      <c r="I42" s="523">
        <f>IFERROR(VLOOKUP($A42,'PP DS Query'!$C$1:$R$1005,9,FALSE),0)</f>
        <v>30</v>
      </c>
      <c r="J42" s="358">
        <f>IFERROR(VLOOKUP($A42,'PP DS Query'!$C$1:$R$1005,10,FALSE),0)</f>
        <v>181084.2</v>
      </c>
      <c r="K42" s="523">
        <f>IFERROR(VLOOKUP($A42,'PP DS Query'!$C$1:$R$1005,11,FALSE),0)</f>
        <v>10.711008</v>
      </c>
      <c r="L42" s="358">
        <f>IFERROR(VLOOKUP($A42,'PP DS Query'!$C$1:$R$1005,12,FALSE),0)</f>
        <v>64653.14</v>
      </c>
      <c r="M42" s="19">
        <f>IFERROR(VLOOKUP($A42,'PP DS Query'!$C$1:$R$1005,13,FALSE),0)</f>
        <v>0.65582640999999997</v>
      </c>
      <c r="N42" s="358">
        <f>IFERROR(VLOOKUP($A42,'PP DS Query'!$C$1:$R$1005,14,FALSE),0)</f>
        <v>3958.66</v>
      </c>
      <c r="O42" s="56">
        <f>IFERROR(VLOOKUP($A42,'PP DS Query'!$C$1:$R$1005,4,FALSE),0)</f>
        <v>-0.02</v>
      </c>
      <c r="P42" s="358">
        <f>-IFERROR(VLOOKUP($A42,'PP DS Query'!$C$1:$R$1005,15,FALSE),0)</f>
        <v>120.72</v>
      </c>
      <c r="Q42" s="358">
        <f>IFERROR(VLOOKUP($A42,'PP DS Query'!$C$1:$R$1005,16,FALSE),0)</f>
        <v>5352.34</v>
      </c>
      <c r="R42" s="48"/>
      <c r="S42" s="472">
        <f t="shared" ref="S42:S44" si="8">IFERROR(ROUND(LEFT(A42,7)*100,0),0)</f>
        <v>34682</v>
      </c>
      <c r="T42" s="472" t="s">
        <v>963</v>
      </c>
      <c r="U42" s="474">
        <f>IFERROR(VLOOKUP($S42,#REF!,7,FALSE),0)</f>
        <v>0</v>
      </c>
      <c r="V42" s="473">
        <f t="shared" ref="V42:V44" si="9">U42-F42</f>
        <v>-6036.14</v>
      </c>
    </row>
    <row r="43" spans="1:22" ht="15.95" customHeight="1" x14ac:dyDescent="0.2">
      <c r="A43" s="396" t="s">
        <v>900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34682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901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34682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727</v>
      </c>
      <c r="B45" s="499">
        <f>IFERROR(VLOOKUP($A45,'PP DS Query'!$C$1:$R$1005,5,FALSE),0)</f>
        <v>2040</v>
      </c>
      <c r="C45" s="33"/>
      <c r="D45" s="34"/>
      <c r="E45" s="15"/>
      <c r="F45" s="443">
        <f>IFERROR(VLOOKUP($A45,'PP DS Query'!$C$1:$R$1005,6,FALSE),0)</f>
        <v>173209.91</v>
      </c>
      <c r="G45" s="525">
        <f>IFERROR(VLOOKUP($A45,'PP DS Query'!$C$1:$R$1005,7,FALSE),0)</f>
        <v>19.5</v>
      </c>
      <c r="H45" s="443">
        <f>IFERROR(VLOOKUP($A45,'PP DS Query'!$C$1:$R$1005,8,FALSE),0)</f>
        <v>3377593.25</v>
      </c>
      <c r="I45" s="525">
        <f>IFERROR(VLOOKUP($A45,'PP DS Query'!$C$1:$R$1005,9,FALSE),0)</f>
        <v>39.651513010000002</v>
      </c>
      <c r="J45" s="443">
        <f>IFERROR(VLOOKUP($A45,'PP DS Query'!$C$1:$R$1005,10,FALSE),0)</f>
        <v>6868035</v>
      </c>
      <c r="K45" s="525">
        <f>IFERROR(VLOOKUP($A45,'PP DS Query'!$C$1:$R$1005,11,FALSE),0)</f>
        <v>20.158866369999998</v>
      </c>
      <c r="L45" s="443">
        <f>IFERROR(VLOOKUP($A45,'PP DS Query'!$C$1:$R$1005,12,FALSE),0)</f>
        <v>3491715.43</v>
      </c>
      <c r="M45" s="445">
        <f>IFERROR(VLOOKUP($A45,'PP DS Query'!$C$1:$R$1005,13,FALSE),0)</f>
        <v>0.50277620000000001</v>
      </c>
      <c r="N45" s="443">
        <f>IFERROR(VLOOKUP($A45,'PP DS Query'!$C$1:$R$1005,14,FALSE),0)</f>
        <v>87085.82</v>
      </c>
      <c r="O45" s="446">
        <f>IFERROR(VLOOKUP($A45,'PP DS Query'!$C$1:$R$1005,4,FALSE),0)</f>
        <v>-0.02</v>
      </c>
      <c r="P45" s="443">
        <f>-IFERROR(VLOOKUP($A45,'PP DS Query'!$C$1:$R$1005,15,FALSE),0)</f>
        <v>3464.2</v>
      </c>
      <c r="Q45" s="443">
        <f>IFERROR(VLOOKUP($A45,'PP DS Query'!$C$1:$R$1005,16,FALSE),0)</f>
        <v>117745.15</v>
      </c>
      <c r="R45" s="48"/>
      <c r="U45" s="473">
        <f>SUM(U41:U44)</f>
        <v>0</v>
      </c>
      <c r="V45" s="473">
        <f>SUM(V41:V44)</f>
        <v>-173209.91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Unit #2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24277664.599999998</v>
      </c>
      <c r="G49" s="523">
        <f>IF($F49=0,0,H49/$F49)</f>
        <v>19.097911680928323</v>
      </c>
      <c r="H49" s="358">
        <f t="shared" ref="H49:H52" si="10">H13+H20+H27+H34+H41</f>
        <v>463652694.35000002</v>
      </c>
      <c r="I49" s="523">
        <f>IF($F49=0,0,J49/$F49)</f>
        <v>39.390822104033845</v>
      </c>
      <c r="J49" s="358">
        <f>J13+J20+J27+J34+J41</f>
        <v>956317167.3599999</v>
      </c>
      <c r="K49" s="523">
        <f>IF($F49=0,0,L49/$F49)</f>
        <v>20.500000000823803</v>
      </c>
      <c r="L49" s="358">
        <f>L13+L20+L27+L34+L41</f>
        <v>497692124.31999999</v>
      </c>
      <c r="M49" s="19">
        <f>IF($F49=0,0,N49/$F49)</f>
        <v>0.50576407872444207</v>
      </c>
      <c r="N49" s="358">
        <f t="shared" ref="N49:P52" si="11">N13+N20+N27+N34+N41</f>
        <v>12278770.67</v>
      </c>
      <c r="O49" s="56">
        <f>-IF($F49=0,0,P49/$F49)</f>
        <v>-5.6171790510690232E-2</v>
      </c>
      <c r="P49" s="358">
        <f t="shared" si="11"/>
        <v>1363719.8900000001</v>
      </c>
      <c r="Q49" s="358">
        <f t="shared" ref="Q49" si="12">Q13+Q20+Q27+Q34+Q41</f>
        <v>9742539.4300000016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14810617.400000002</v>
      </c>
      <c r="G50" s="523">
        <f>IF($F50=0,0,H50/$F50)</f>
        <v>15.388361032808797</v>
      </c>
      <c r="H50" s="358">
        <f t="shared" si="10"/>
        <v>227911127.66999999</v>
      </c>
      <c r="I50" s="523">
        <f>IF($F50=0,0,J50/$F50)</f>
        <v>28.189474302401457</v>
      </c>
      <c r="J50" s="358">
        <f>J14+J21+J28+J35+J42</f>
        <v>417503518.59999996</v>
      </c>
      <c r="K50" s="523">
        <f>IF($F50=0,0,L50/$F50)</f>
        <v>13.543749251128448</v>
      </c>
      <c r="L50" s="358">
        <f>L14+L21+L28+L35+L42</f>
        <v>200591288.31999999</v>
      </c>
      <c r="M50" s="19">
        <f>IF($F50=0,0,N50/$F50)</f>
        <v>0.54579338873475991</v>
      </c>
      <c r="N50" s="358">
        <f t="shared" si="11"/>
        <v>8083537.0599999996</v>
      </c>
      <c r="O50" s="56">
        <f>-IF($F50=0,0,P50/$F50)</f>
        <v>-6.0099780850459333E-2</v>
      </c>
      <c r="P50" s="358">
        <f t="shared" si="11"/>
        <v>890114.86</v>
      </c>
      <c r="Q50" s="358">
        <f t="shared" ref="Q50" si="13">Q14+Q21+Q28+Q35+Q42</f>
        <v>6246460.3900000006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1239304.3700000001</v>
      </c>
      <c r="G51" s="523">
        <f>IF($F51=0,0,H51/$F51)</f>
        <v>13.794444144500192</v>
      </c>
      <c r="H51" s="358">
        <f t="shared" si="10"/>
        <v>17095514.91</v>
      </c>
      <c r="I51" s="523">
        <f>IF($F51=0,0,J51/$F51)</f>
        <v>19.880260020385464</v>
      </c>
      <c r="J51" s="358">
        <f>J15+J22+J29+J36+J43</f>
        <v>24637693.119999997</v>
      </c>
      <c r="K51" s="523">
        <f>IF($F51=0,0,L51/$F51)</f>
        <v>8.3340223273803176</v>
      </c>
      <c r="L51" s="358">
        <f>L15+L22+L29+L36+L43</f>
        <v>10328390.289999999</v>
      </c>
      <c r="M51" s="19">
        <f>IF($F51=0,0,N51/$F51)</f>
        <v>0.61149521323805212</v>
      </c>
      <c r="N51" s="358">
        <f t="shared" si="11"/>
        <v>757828.69</v>
      </c>
      <c r="O51" s="56">
        <f>-IF($F51=0,0,P51/$F51)</f>
        <v>-5.3623437154506272E-2</v>
      </c>
      <c r="P51" s="358">
        <f t="shared" si="11"/>
        <v>66455.759999999995</v>
      </c>
      <c r="Q51" s="358">
        <f t="shared" ref="Q51" si="14">Q15+Q22+Q29+Q36+Q43</f>
        <v>629905.09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6257052.1500000004</v>
      </c>
      <c r="G52" s="524">
        <f>IF($F52=0,0,H52/$F52)</f>
        <v>3.5000000007990981</v>
      </c>
      <c r="H52" s="250">
        <f t="shared" si="10"/>
        <v>21899682.530000001</v>
      </c>
      <c r="I52" s="524">
        <f>IF($F52=0,0,J52/$F52)</f>
        <v>11.999999999999998</v>
      </c>
      <c r="J52" s="250">
        <f>J16+J23+J30+J37+J44</f>
        <v>75084625.799999997</v>
      </c>
      <c r="K52" s="524">
        <f>IF($F52=0,0,L52/$F52)</f>
        <v>8.5000000007990977</v>
      </c>
      <c r="L52" s="250">
        <f>L16+L23+L30+L37+L44</f>
        <v>53184943.280000001</v>
      </c>
      <c r="M52" s="21">
        <f>IF($F52=0,0,N52/$F52)</f>
        <v>0.31208333304366015</v>
      </c>
      <c r="N52" s="250">
        <f t="shared" si="11"/>
        <v>1952721.69</v>
      </c>
      <c r="O52" s="57">
        <f>-IF($F52=0,0,P52/$F52)</f>
        <v>-6.9999999920090164E-2</v>
      </c>
      <c r="P52" s="250">
        <f t="shared" si="11"/>
        <v>437993.65</v>
      </c>
      <c r="Q52" s="250">
        <f t="shared" ref="Q52" si="15">Q16+Q23+Q30+Q37+Q44</f>
        <v>1313440.76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46584638.519999996</v>
      </c>
      <c r="G53" s="525">
        <f>IF($F53=0,0,H53/$F53)</f>
        <v>15.682401810338229</v>
      </c>
      <c r="H53" s="443">
        <f t="shared" ref="H53" si="16">SUM(H49:H52)</f>
        <v>730559019.45999992</v>
      </c>
      <c r="I53" s="525">
        <f>IF($F53=0,0,J53/$F53)</f>
        <v>31.63152171390939</v>
      </c>
      <c r="J53" s="443">
        <f>SUM(J49:J52)</f>
        <v>1473543004.8799996</v>
      </c>
      <c r="K53" s="525">
        <f>IF($F53=0,0,L53/$F53)</f>
        <v>16.352960340841559</v>
      </c>
      <c r="L53" s="443">
        <f>SUM(L49:L52)</f>
        <v>761796746.20999992</v>
      </c>
      <c r="M53" s="445">
        <f>IF($F53=0,0,N53/$F53)</f>
        <v>0.49528898029538698</v>
      </c>
      <c r="N53" s="443">
        <f t="shared" ref="N53:P53" si="17">SUM(N49:N52)</f>
        <v>23072858.110000003</v>
      </c>
      <c r="O53" s="446">
        <f>-IF($F53=0,0,P53/$F53)</f>
        <v>-5.9210165574555156E-2</v>
      </c>
      <c r="P53" s="443">
        <f t="shared" si="17"/>
        <v>2758284.1599999997</v>
      </c>
      <c r="Q53" s="443">
        <f t="shared" ref="Q53" si="18">SUM(Q49:Q52)</f>
        <v>17932345.670000002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34182</v>
      </c>
      <c r="F56" s="352">
        <f>IFERROR(VLOOKUP(E56,'2019 B-7'!C:P,14,FALSE),0)</f>
        <v>2154013.1900000004</v>
      </c>
      <c r="G56" s="353">
        <f>F56-F17</f>
        <v>0</v>
      </c>
      <c r="P56" s="260">
        <f>E56</f>
        <v>34182</v>
      </c>
      <c r="Q56" s="352">
        <f>IFERROR(VLOOKUP(P56,'2019 B-9'!C:R,16,FALSE),0)</f>
        <v>1089208.8600000017</v>
      </c>
      <c r="R56" s="353">
        <f>Q56-Q17</f>
        <v>0</v>
      </c>
    </row>
    <row r="57" spans="1:18" x14ac:dyDescent="0.2">
      <c r="E57" s="260">
        <v>34282</v>
      </c>
      <c r="F57" s="352">
        <f>IFERROR(VLOOKUP(E57,'2019 B-7'!C:P,14,FALSE),0)</f>
        <v>2054234.7799999998</v>
      </c>
      <c r="G57" s="353">
        <f>F57-F24</f>
        <v>0</v>
      </c>
      <c r="P57" s="260">
        <f t="shared" ref="P57:P60" si="19">E57</f>
        <v>34282</v>
      </c>
      <c r="Q57" s="352">
        <f>IFERROR(VLOOKUP(P57,'2019 B-9'!C:R,16,FALSE),0)</f>
        <v>445193.45000000083</v>
      </c>
      <c r="R57" s="353">
        <f>Q57-Q24</f>
        <v>8.149072527885437E-10</v>
      </c>
    </row>
    <row r="58" spans="1:18" x14ac:dyDescent="0.2">
      <c r="E58" s="260">
        <v>34382</v>
      </c>
      <c r="F58" s="352">
        <f>IFERROR(VLOOKUP(E58,'2019 B-7'!C:P,14,FALSE),0)</f>
        <v>24943446.119999997</v>
      </c>
      <c r="G58" s="353">
        <f>F58-F31</f>
        <v>0</v>
      </c>
      <c r="P58" s="260">
        <f t="shared" si="19"/>
        <v>34382</v>
      </c>
      <c r="Q58" s="352">
        <f>IFERROR(VLOOKUP(P58,'2019 B-9'!C:R,16,FALSE),0)</f>
        <v>7991874.470000037</v>
      </c>
      <c r="R58" s="353">
        <f>Q58-Q31</f>
        <v>3.7252902984619141E-8</v>
      </c>
    </row>
    <row r="59" spans="1:18" x14ac:dyDescent="0.2">
      <c r="E59" s="260">
        <v>34582</v>
      </c>
      <c r="F59" s="352">
        <f>IFERROR(VLOOKUP(E59,'2019 B-7'!C:P,14,FALSE),0)</f>
        <v>17259734.520000003</v>
      </c>
      <c r="G59" s="353">
        <f>F59-F38</f>
        <v>0</v>
      </c>
      <c r="P59" s="260">
        <f t="shared" si="19"/>
        <v>34582</v>
      </c>
      <c r="Q59" s="352">
        <f>IFERROR(VLOOKUP(P59,'2019 B-9'!C:R,16,FALSE),0)</f>
        <v>8288323.7400000077</v>
      </c>
      <c r="R59" s="353">
        <f>Q59-Q38</f>
        <v>7.4505805969238281E-9</v>
      </c>
    </row>
    <row r="60" spans="1:18" x14ac:dyDescent="0.2">
      <c r="E60" s="260">
        <v>34682</v>
      </c>
      <c r="F60" s="352">
        <f>IFERROR(VLOOKUP(E60,'2019 B-7'!C:P,14,FALSE),0)</f>
        <v>173209.91</v>
      </c>
      <c r="G60" s="353">
        <f>F60-F45</f>
        <v>0</v>
      </c>
      <c r="P60" s="260">
        <f t="shared" si="19"/>
        <v>34682</v>
      </c>
      <c r="Q60" s="352">
        <f>IFERROR(VLOOKUP(P60,'2019 B-9'!C:R,16,FALSE),0)</f>
        <v>117745.15000000023</v>
      </c>
      <c r="R60" s="353">
        <f>Q60-Q45</f>
        <v>2.3283064365386963E-10</v>
      </c>
    </row>
    <row r="61" spans="1:18" ht="13.5" thickBot="1" x14ac:dyDescent="0.25">
      <c r="E61" s="349" t="s">
        <v>40</v>
      </c>
      <c r="F61" s="354">
        <f>SUM(F56:F60)</f>
        <v>46584638.519999996</v>
      </c>
      <c r="G61" s="354">
        <f>SUM(G56:G60)</f>
        <v>0</v>
      </c>
      <c r="P61" s="349" t="s">
        <v>40</v>
      </c>
      <c r="Q61" s="354">
        <f>SUM(Q56:Q60)</f>
        <v>17932345.670000046</v>
      </c>
      <c r="R61" s="354">
        <f>SUM(R56:R60)</f>
        <v>4.5751221477985382E-8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4.4703483581542969E-8</v>
      </c>
      <c r="R62" s="353">
        <f>R61-Q62</f>
        <v>1.0477378964424133E-9</v>
      </c>
    </row>
    <row r="63" spans="1:18" x14ac:dyDescent="0.2">
      <c r="E63" s="29"/>
      <c r="G63" s="18"/>
    </row>
    <row r="64" spans="1:18" x14ac:dyDescent="0.2">
      <c r="E64" s="29"/>
      <c r="G64" s="18"/>
    </row>
    <row r="65" spans="5:7" x14ac:dyDescent="0.2">
      <c r="E65" s="29"/>
      <c r="G65" s="18"/>
    </row>
    <row r="66" spans="5:7" x14ac:dyDescent="0.2">
      <c r="E66" s="29"/>
      <c r="G66" s="29"/>
    </row>
    <row r="67" spans="5:7" x14ac:dyDescent="0.2">
      <c r="E67" s="50"/>
      <c r="G67" s="29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1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34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2042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1277</v>
      </c>
      <c r="E12" s="50"/>
      <c r="P12" s="18"/>
      <c r="Q12" s="18"/>
      <c r="R12" s="48"/>
    </row>
    <row r="13" spans="1:22" ht="15.95" customHeight="1" x14ac:dyDescent="0.2">
      <c r="A13" s="396" t="s">
        <v>1061</v>
      </c>
      <c r="B13" s="499">
        <f>IFERROR(VLOOKUP($A13,'PP DS Query'!$C$1:$R$1005,5,FALSE),0)</f>
        <v>2042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10430335.470000001</v>
      </c>
      <c r="G13" s="523">
        <f>IFERROR(VLOOKUP($A13,'PP DS Query'!$C$1:$R$1005,7,FALSE),0)</f>
        <v>17.207701629999999</v>
      </c>
      <c r="H13" s="358">
        <f>IFERROR(VLOOKUP($A13,'PP DS Query'!$C$1:$R$1005,8,FALSE),0)</f>
        <v>179482100.63</v>
      </c>
      <c r="I13" s="523">
        <f>IFERROR(VLOOKUP($A13,'PP DS Query'!$C$1:$R$1005,9,FALSE),0)</f>
        <v>39.54</v>
      </c>
      <c r="J13" s="358">
        <f>IFERROR(VLOOKUP($A13,'PP DS Query'!$C$1:$R$1005,10,FALSE),0)</f>
        <v>412415464.48000002</v>
      </c>
      <c r="K13" s="523">
        <f>IFERROR(VLOOKUP($A13,'PP DS Query'!$C$1:$R$1005,11,FALSE),0)</f>
        <v>22.5</v>
      </c>
      <c r="L13" s="358">
        <f>IFERROR(VLOOKUP($A13,'PP DS Query'!$C$1:$R$1005,12,FALSE),0)</f>
        <v>234682548.08000001</v>
      </c>
      <c r="M13" s="19">
        <f>IFERROR(VLOOKUP($A13,'PP DS Query'!$C$1:$R$1005,13,FALSE),0)</f>
        <v>0.43954936</v>
      </c>
      <c r="N13" s="358">
        <f>IFERROR(VLOOKUP($A13,'PP DS Query'!$C$1:$R$1005,14,FALSE),0)</f>
        <v>4584647.2699999996</v>
      </c>
      <c r="O13" s="56">
        <f>IFERROR(VLOOKUP($A13,'PP DS Query'!$C$1:$R$1005,4,FALSE),0)</f>
        <v>-0.02</v>
      </c>
      <c r="P13" s="358">
        <f>-IFERROR(VLOOKUP($A13,'PP DS Query'!$C$1:$R$1005,15,FALSE),0)</f>
        <v>208606.71</v>
      </c>
      <c r="Q13" s="358">
        <f>IFERROR(VLOOKUP($A13,'PP DS Query'!$C$1:$R$1005,16,FALSE),0)</f>
        <v>4564172.68</v>
      </c>
      <c r="R13" s="48"/>
      <c r="S13" s="472">
        <f>IFERROR(ROUND(LEFT(A13,7)*100,0),0)</f>
        <v>34183</v>
      </c>
      <c r="T13" s="472" t="s">
        <v>962</v>
      </c>
      <c r="U13" s="474">
        <f>IFERROR(VLOOKUP($S13,#REF!,6,FALSE),0)</f>
        <v>0</v>
      </c>
      <c r="V13" s="473">
        <f>U13-F13</f>
        <v>-10430335.470000001</v>
      </c>
    </row>
    <row r="14" spans="1:22" ht="15.95" customHeight="1" x14ac:dyDescent="0.2">
      <c r="A14" s="396" t="s">
        <v>1062</v>
      </c>
      <c r="B14" s="499">
        <f>IFERROR(VLOOKUP($A14,'PP DS Query'!$C$1:$R$1005,5,FALSE),0)</f>
        <v>2042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42760.69</v>
      </c>
      <c r="G14" s="523">
        <f>IFERROR(VLOOKUP($A14,'PP DS Query'!$C$1:$R$1005,7,FALSE),0)</f>
        <v>17.5</v>
      </c>
      <c r="H14" s="358">
        <f>IFERROR(VLOOKUP($A14,'PP DS Query'!$C$1:$R$1005,8,FALSE),0)</f>
        <v>748312.08</v>
      </c>
      <c r="I14" s="523">
        <f>IFERROR(VLOOKUP($A14,'PP DS Query'!$C$1:$R$1005,9,FALSE),0)</f>
        <v>30</v>
      </c>
      <c r="J14" s="358">
        <f>IFERROR(VLOOKUP($A14,'PP DS Query'!$C$1:$R$1005,10,FALSE),0)</f>
        <v>1282820.7</v>
      </c>
      <c r="K14" s="523">
        <f>IFERROR(VLOOKUP($A14,'PP DS Query'!$C$1:$R$1005,11,FALSE),0)</f>
        <v>12.547853</v>
      </c>
      <c r="L14" s="358">
        <f>IFERROR(VLOOKUP($A14,'PP DS Query'!$C$1:$R$1005,12,FALSE),0)</f>
        <v>536554.85</v>
      </c>
      <c r="M14" s="19">
        <f>IFERROR(VLOOKUP($A14,'PP DS Query'!$C$1:$R$1005,13,FALSE),0)</f>
        <v>0.59337302999999997</v>
      </c>
      <c r="N14" s="358">
        <f>IFERROR(VLOOKUP($A14,'PP DS Query'!$C$1:$R$1005,14,FALSE),0)</f>
        <v>25373.040000000001</v>
      </c>
      <c r="O14" s="56">
        <f>IFERROR(VLOOKUP($A14,'PP DS Query'!$C$1:$R$1005,4,FALSE),0)</f>
        <v>-0.02</v>
      </c>
      <c r="P14" s="358">
        <f>-IFERROR(VLOOKUP($A14,'PP DS Query'!$C$1:$R$1005,15,FALSE),0)</f>
        <v>855.21</v>
      </c>
      <c r="Q14" s="358">
        <f>IFERROR(VLOOKUP($A14,'PP DS Query'!$C$1:$R$1005,16,FALSE),0)</f>
        <v>25259.73</v>
      </c>
      <c r="R14" s="48"/>
      <c r="S14" s="472">
        <f t="shared" ref="S14:S16" si="0">IFERROR(ROUND(LEFT(A14,7)*100,0),0)</f>
        <v>34183</v>
      </c>
      <c r="T14" s="472" t="s">
        <v>963</v>
      </c>
      <c r="U14" s="474">
        <f>IFERROR(VLOOKUP($S14,#REF!,7,FALSE),0)</f>
        <v>0</v>
      </c>
      <c r="V14" s="473">
        <f t="shared" ref="V14:V16" si="1">U14-F14</f>
        <v>-42760.69</v>
      </c>
    </row>
    <row r="15" spans="1:22" ht="15.95" customHeight="1" x14ac:dyDescent="0.2">
      <c r="A15" s="396" t="s">
        <v>1063</v>
      </c>
      <c r="B15" s="499">
        <f>IFERROR(VLOOKUP($A15,'PP DS Query'!$C$1:$R$1005,5,FALSE),0)</f>
        <v>2042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60219.48</v>
      </c>
      <c r="G15" s="523">
        <f>IFERROR(VLOOKUP($A15,'PP DS Query'!$C$1:$R$1005,7,FALSE),0)</f>
        <v>17.5</v>
      </c>
      <c r="H15" s="358">
        <f>IFERROR(VLOOKUP($A15,'PP DS Query'!$C$1:$R$1005,8,FALSE),0)</f>
        <v>1053840.8999999999</v>
      </c>
      <c r="I15" s="523">
        <f>IFERROR(VLOOKUP($A15,'PP DS Query'!$C$1:$R$1005,9,FALSE),0)</f>
        <v>20</v>
      </c>
      <c r="J15" s="358">
        <f>IFERROR(VLOOKUP($A15,'PP DS Query'!$C$1:$R$1005,10,FALSE),0)</f>
        <v>1204389.6000000001</v>
      </c>
      <c r="K15" s="523">
        <f>IFERROR(VLOOKUP($A15,'PP DS Query'!$C$1:$R$1005,11,FALSE),0)</f>
        <v>5.0409560000000004</v>
      </c>
      <c r="L15" s="358">
        <f>IFERROR(VLOOKUP($A15,'PP DS Query'!$C$1:$R$1005,12,FALSE),0)</f>
        <v>303563.75</v>
      </c>
      <c r="M15" s="19">
        <f>IFERROR(VLOOKUP($A15,'PP DS Query'!$C$1:$R$1005,13,FALSE),0)</f>
        <v>0.76291127000000003</v>
      </c>
      <c r="N15" s="358">
        <f>IFERROR(VLOOKUP($A15,'PP DS Query'!$C$1:$R$1005,14,FALSE),0)</f>
        <v>45942.12</v>
      </c>
      <c r="O15" s="56">
        <f>IFERROR(VLOOKUP($A15,'PP DS Query'!$C$1:$R$1005,4,FALSE),0)</f>
        <v>-0.02</v>
      </c>
      <c r="P15" s="358">
        <f>-IFERROR(VLOOKUP($A15,'PP DS Query'!$C$1:$R$1005,15,FALSE),0)</f>
        <v>1204.3900000000001</v>
      </c>
      <c r="Q15" s="358">
        <f>IFERROR(VLOOKUP($A15,'PP DS Query'!$C$1:$R$1005,16,FALSE),0)</f>
        <v>45736.94</v>
      </c>
      <c r="R15" s="48"/>
      <c r="S15" s="472">
        <f t="shared" si="0"/>
        <v>34183</v>
      </c>
      <c r="T15" s="472" t="s">
        <v>964</v>
      </c>
      <c r="U15" s="474">
        <f>IFERROR(VLOOKUP($S15,#REF!,8,FALSE),0)</f>
        <v>0</v>
      </c>
      <c r="V15" s="473">
        <f t="shared" si="1"/>
        <v>-60219.48</v>
      </c>
    </row>
    <row r="16" spans="1:22" ht="15.95" customHeight="1" thickBot="1" x14ac:dyDescent="0.25">
      <c r="A16" s="396" t="s">
        <v>1070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34183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640</v>
      </c>
      <c r="B17" s="499">
        <f>IFERROR(VLOOKUP($A17,'PP DS Query'!$C$1:$R$1005,5,FALSE),0)</f>
        <v>2042</v>
      </c>
      <c r="C17" s="33"/>
      <c r="D17" s="34"/>
      <c r="E17" s="15"/>
      <c r="F17" s="443">
        <f>IFERROR(VLOOKUP($A17,'PP DS Query'!$C$1:$R$1005,6,FALSE),0)</f>
        <v>10533315.640000001</v>
      </c>
      <c r="G17" s="525">
        <f>IFERROR(VLOOKUP($A17,'PP DS Query'!$C$1:$R$1005,7,FALSE),0)</f>
        <v>17.210559310000001</v>
      </c>
      <c r="H17" s="443">
        <f>IFERROR(VLOOKUP($A17,'PP DS Query'!$C$1:$R$1005,8,FALSE),0)</f>
        <v>181284253.59999999</v>
      </c>
      <c r="I17" s="525">
        <f>IFERROR(VLOOKUP($A17,'PP DS Query'!$C$1:$R$1005,9,FALSE),0)</f>
        <v>39.389560609999997</v>
      </c>
      <c r="J17" s="443">
        <f>IFERROR(VLOOKUP($A17,'PP DS Query'!$C$1:$R$1005,10,FALSE),0)</f>
        <v>414902674.77999997</v>
      </c>
      <c r="K17" s="525">
        <f>IFERROR(VLOOKUP($A17,'PP DS Query'!$C$1:$R$1005,11,FALSE),0)</f>
        <v>22.359784399999999</v>
      </c>
      <c r="L17" s="443">
        <f>IFERROR(VLOOKUP($A17,'PP DS Query'!$C$1:$R$1005,12,FALSE),0)</f>
        <v>235522666.68000001</v>
      </c>
      <c r="M17" s="445">
        <f>IFERROR(VLOOKUP($A17,'PP DS Query'!$C$1:$R$1005,13,FALSE),0)</f>
        <v>0.44202248999999999</v>
      </c>
      <c r="N17" s="443">
        <f>IFERROR(VLOOKUP($A17,'PP DS Query'!$C$1:$R$1005,14,FALSE),0)</f>
        <v>4655962.43</v>
      </c>
      <c r="O17" s="446">
        <f>IFERROR(VLOOKUP($A17,'PP DS Query'!$C$1:$R$1005,4,FALSE),0)</f>
        <v>-0.02</v>
      </c>
      <c r="P17" s="443">
        <f>-IFERROR(VLOOKUP($A17,'PP DS Query'!$C$1:$R$1005,15,FALSE),0)</f>
        <v>210666.31</v>
      </c>
      <c r="Q17" s="443">
        <f>IFERROR(VLOOKUP($A17,'PP DS Query'!$C$1:$R$1005,16,FALSE),0)</f>
        <v>4635169.3499999996</v>
      </c>
      <c r="R17" s="48"/>
      <c r="U17" s="473">
        <f>SUM(U13:U16)</f>
        <v>0</v>
      </c>
      <c r="V17" s="473">
        <f>SUM(V13:V16)</f>
        <v>-10533315.640000001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1278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655</v>
      </c>
      <c r="B20" s="499">
        <f>IFERROR(VLOOKUP($A20,'PP DS Query'!$C$1:$R$1005,5,FALSE),0)</f>
        <v>2042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1209427.82</v>
      </c>
      <c r="G20" s="523">
        <f>IFERROR(VLOOKUP($A20,'PP DS Query'!$C$1:$R$1005,7,FALSE),0)</f>
        <v>13.937482019999999</v>
      </c>
      <c r="H20" s="358">
        <f>IFERROR(VLOOKUP($A20,'PP DS Query'!$C$1:$R$1005,8,FALSE),0)</f>
        <v>16856378.5</v>
      </c>
      <c r="I20" s="523">
        <f>IFERROR(VLOOKUP($A20,'PP DS Query'!$C$1:$R$1005,9,FALSE),0)</f>
        <v>34.64</v>
      </c>
      <c r="J20" s="358">
        <f>IFERROR(VLOOKUP($A20,'PP DS Query'!$C$1:$R$1005,10,FALSE),0)</f>
        <v>41894579.68</v>
      </c>
      <c r="K20" s="523">
        <f>IFERROR(VLOOKUP($A20,'PP DS Query'!$C$1:$R$1005,11,FALSE),0)</f>
        <v>22.5</v>
      </c>
      <c r="L20" s="358">
        <f>IFERROR(VLOOKUP($A20,'PP DS Query'!$C$1:$R$1005,12,FALSE),0)</f>
        <v>27212125.949999999</v>
      </c>
      <c r="M20" s="19">
        <f>IFERROR(VLOOKUP($A20,'PP DS Query'!$C$1:$R$1005,13,FALSE),0)</f>
        <v>0.36789186000000001</v>
      </c>
      <c r="N20" s="358">
        <f>IFERROR(VLOOKUP($A20,'PP DS Query'!$C$1:$R$1005,14,FALSE),0)</f>
        <v>444938.65</v>
      </c>
      <c r="O20" s="56">
        <f>IFERROR(VLOOKUP($A20,'PP DS Query'!$C$1:$R$1005,4,FALSE),0)</f>
        <v>-0.05</v>
      </c>
      <c r="P20" s="358">
        <f>-IFERROR(VLOOKUP($A20,'PP DS Query'!$C$1:$R$1005,15,FALSE),0)</f>
        <v>60471.39</v>
      </c>
      <c r="Q20" s="358">
        <f>IFERROR(VLOOKUP($A20,'PP DS Query'!$C$1:$R$1005,16,FALSE),0)</f>
        <v>430800.03</v>
      </c>
      <c r="R20" s="48"/>
      <c r="S20" s="472">
        <f>IFERROR(ROUND(LEFT(A20,7)*100,0),0)</f>
        <v>34283</v>
      </c>
      <c r="T20" s="472" t="s">
        <v>962</v>
      </c>
      <c r="U20" s="474">
        <f>IFERROR(VLOOKUP($S20,#REF!,6,FALSE),0)</f>
        <v>0</v>
      </c>
      <c r="V20" s="473">
        <f>U20-F20</f>
        <v>-1209427.82</v>
      </c>
    </row>
    <row r="21" spans="1:22" ht="15.95" customHeight="1" x14ac:dyDescent="0.2">
      <c r="A21" s="49" t="s">
        <v>656</v>
      </c>
      <c r="B21" s="499">
        <f>IFERROR(VLOOKUP($A21,'PP DS Query'!$C$1:$R$1005,5,FALSE),0)</f>
        <v>2042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128202.8</v>
      </c>
      <c r="G21" s="523">
        <f>IFERROR(VLOOKUP($A21,'PP DS Query'!$C$1:$R$1005,7,FALSE),0)</f>
        <v>17.5</v>
      </c>
      <c r="H21" s="358">
        <f>IFERROR(VLOOKUP($A21,'PP DS Query'!$C$1:$R$1005,8,FALSE),0)</f>
        <v>2243549</v>
      </c>
      <c r="I21" s="523">
        <f>IFERROR(VLOOKUP($A21,'PP DS Query'!$C$1:$R$1005,9,FALSE),0)</f>
        <v>30</v>
      </c>
      <c r="J21" s="358">
        <f>IFERROR(VLOOKUP($A21,'PP DS Query'!$C$1:$R$1005,10,FALSE),0)</f>
        <v>3846084</v>
      </c>
      <c r="K21" s="523">
        <f>IFERROR(VLOOKUP($A21,'PP DS Query'!$C$1:$R$1005,11,FALSE),0)</f>
        <v>12.547853</v>
      </c>
      <c r="L21" s="358">
        <f>IFERROR(VLOOKUP($A21,'PP DS Query'!$C$1:$R$1005,12,FALSE),0)</f>
        <v>1608669.89</v>
      </c>
      <c r="M21" s="19">
        <f>IFERROR(VLOOKUP($A21,'PP DS Query'!$C$1:$R$1005,13,FALSE),0)</f>
        <v>0.61082510999999995</v>
      </c>
      <c r="N21" s="358">
        <f>IFERROR(VLOOKUP($A21,'PP DS Query'!$C$1:$R$1005,14,FALSE),0)</f>
        <v>78309.490000000005</v>
      </c>
      <c r="O21" s="56">
        <f>IFERROR(VLOOKUP($A21,'PP DS Query'!$C$1:$R$1005,4,FALSE),0)</f>
        <v>-0.05</v>
      </c>
      <c r="P21" s="358">
        <f>-IFERROR(VLOOKUP($A21,'PP DS Query'!$C$1:$R$1005,15,FALSE),0)</f>
        <v>6410.14</v>
      </c>
      <c r="Q21" s="358">
        <f>IFERROR(VLOOKUP($A21,'PP DS Query'!$C$1:$R$1005,16,FALSE),0)</f>
        <v>75821.08</v>
      </c>
      <c r="R21" s="48"/>
      <c r="S21" s="472">
        <f t="shared" ref="S21:S23" si="2">IFERROR(ROUND(LEFT(A21,7)*100,0),0)</f>
        <v>34283</v>
      </c>
      <c r="T21" s="472" t="s">
        <v>963</v>
      </c>
      <c r="U21" s="474">
        <f>IFERROR(VLOOKUP($S21,#REF!,7,FALSE),0)</f>
        <v>0</v>
      </c>
      <c r="V21" s="473">
        <f t="shared" ref="V21:V23" si="3">U21-F21</f>
        <v>-128202.8</v>
      </c>
    </row>
    <row r="22" spans="1:22" s="40" customFormat="1" ht="15.95" customHeight="1" x14ac:dyDescent="0.2">
      <c r="A22" s="60" t="s">
        <v>657</v>
      </c>
      <c r="B22" s="499">
        <f>IFERROR(VLOOKUP($A22,'PP DS Query'!$C$1:$R$1005,5,FALSE),0)</f>
        <v>2042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16584.57</v>
      </c>
      <c r="G22" s="523">
        <f>IFERROR(VLOOKUP($A22,'PP DS Query'!$C$1:$R$1005,7,FALSE),0)</f>
        <v>17.5</v>
      </c>
      <c r="H22" s="358">
        <f>IFERROR(VLOOKUP($A22,'PP DS Query'!$C$1:$R$1005,8,FALSE),0)</f>
        <v>290229.98</v>
      </c>
      <c r="I22" s="523">
        <f>IFERROR(VLOOKUP($A22,'PP DS Query'!$C$1:$R$1005,9,FALSE),0)</f>
        <v>20</v>
      </c>
      <c r="J22" s="358">
        <f>IFERROR(VLOOKUP($A22,'PP DS Query'!$C$1:$R$1005,10,FALSE),0)</f>
        <v>331691.40000000002</v>
      </c>
      <c r="K22" s="523">
        <f>IFERROR(VLOOKUP($A22,'PP DS Query'!$C$1:$R$1005,11,FALSE),0)</f>
        <v>5.0409560000000004</v>
      </c>
      <c r="L22" s="358">
        <f>IFERROR(VLOOKUP($A22,'PP DS Query'!$C$1:$R$1005,12,FALSE),0)</f>
        <v>83602.09</v>
      </c>
      <c r="M22" s="19">
        <f>IFERROR(VLOOKUP($A22,'PP DS Query'!$C$1:$R$1005,13,FALSE),0)</f>
        <v>0.78534987999999994</v>
      </c>
      <c r="N22" s="358">
        <f>IFERROR(VLOOKUP($A22,'PP DS Query'!$C$1:$R$1005,14,FALSE),0)</f>
        <v>13024.69</v>
      </c>
      <c r="O22" s="56">
        <f>IFERROR(VLOOKUP($A22,'PP DS Query'!$C$1:$R$1005,4,FALSE),0)</f>
        <v>-0.05</v>
      </c>
      <c r="P22" s="358">
        <f>-IFERROR(VLOOKUP($A22,'PP DS Query'!$C$1:$R$1005,15,FALSE),0)</f>
        <v>829.23</v>
      </c>
      <c r="Q22" s="358">
        <f>IFERROR(VLOOKUP($A22,'PP DS Query'!$C$1:$R$1005,16,FALSE),0)</f>
        <v>12610.81</v>
      </c>
      <c r="R22" s="48"/>
      <c r="S22" s="472">
        <f t="shared" si="2"/>
        <v>34283</v>
      </c>
      <c r="T22" s="472" t="s">
        <v>964</v>
      </c>
      <c r="U22" s="474">
        <f>IFERROR(VLOOKUP($S22,#REF!,8,FALSE),0)</f>
        <v>0</v>
      </c>
      <c r="V22" s="473">
        <f t="shared" si="3"/>
        <v>-16584.57</v>
      </c>
    </row>
    <row r="23" spans="1:22" ht="15.95" customHeight="1" thickBot="1" x14ac:dyDescent="0.25">
      <c r="A23" s="398" t="s">
        <v>894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34283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658</v>
      </c>
      <c r="B24" s="499">
        <f>IFERROR(VLOOKUP($A24,'PP DS Query'!$C$1:$R$1005,5,FALSE),0)</f>
        <v>2042</v>
      </c>
      <c r="C24" s="33"/>
      <c r="D24" s="34"/>
      <c r="E24" s="15"/>
      <c r="F24" s="443">
        <f>IFERROR(VLOOKUP($A24,'PP DS Query'!$C$1:$R$1005,6,FALSE),0)</f>
        <v>1354215.19</v>
      </c>
      <c r="G24" s="525">
        <f>IFERROR(VLOOKUP($A24,'PP DS Query'!$C$1:$R$1005,7,FALSE),0)</f>
        <v>14.318372460000001</v>
      </c>
      <c r="H24" s="443">
        <f>IFERROR(VLOOKUP($A24,'PP DS Query'!$C$1:$R$1005,8,FALSE),0)</f>
        <v>19390157.48</v>
      </c>
      <c r="I24" s="525">
        <f>IFERROR(VLOOKUP($A24,'PP DS Query'!$C$1:$R$1005,9,FALSE),0)</f>
        <v>34.021443140000002</v>
      </c>
      <c r="J24" s="443">
        <f>IFERROR(VLOOKUP($A24,'PP DS Query'!$C$1:$R$1005,10,FALSE),0)</f>
        <v>46072355.079999998</v>
      </c>
      <c r="K24" s="525">
        <f>IFERROR(VLOOKUP($A24,'PP DS Query'!$C$1:$R$1005,11,FALSE),0)</f>
        <v>21.344021349999998</v>
      </c>
      <c r="L24" s="443">
        <f>IFERROR(VLOOKUP($A24,'PP DS Query'!$C$1:$R$1005,12,FALSE),0)</f>
        <v>28904397.93</v>
      </c>
      <c r="M24" s="445">
        <f>IFERROR(VLOOKUP($A24,'PP DS Query'!$C$1:$R$1005,13,FALSE),0)</f>
        <v>0.39600267</v>
      </c>
      <c r="N24" s="443">
        <f>IFERROR(VLOOKUP($A24,'PP DS Query'!$C$1:$R$1005,14,FALSE),0)</f>
        <v>536272.82999999996</v>
      </c>
      <c r="O24" s="446">
        <f>IFERROR(VLOOKUP($A24,'PP DS Query'!$C$1:$R$1005,4,FALSE),0)</f>
        <v>-0.05</v>
      </c>
      <c r="P24" s="443">
        <f>-IFERROR(VLOOKUP($A24,'PP DS Query'!$C$1:$R$1005,15,FALSE),0)</f>
        <v>67710.759999999995</v>
      </c>
      <c r="Q24" s="443">
        <f>IFERROR(VLOOKUP($A24,'PP DS Query'!$C$1:$R$1005,16,FALSE),0)</f>
        <v>519231.92</v>
      </c>
      <c r="R24" s="48"/>
      <c r="U24" s="473">
        <f>SUM(U20:U23)</f>
        <v>0</v>
      </c>
      <c r="V24" s="473">
        <f>SUM(V20:V23)</f>
        <v>-1354215.1900000002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1279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681</v>
      </c>
      <c r="B27" s="499">
        <f>IFERROR(VLOOKUP($A27,'PP DS Query'!$C$1:$R$1005,5,FALSE),0)</f>
        <v>2042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10199164.35</v>
      </c>
      <c r="G27" s="523">
        <f>IFERROR(VLOOKUP($A27,'PP DS Query'!$C$1:$R$1005,7,FALSE),0)</f>
        <v>17.404039690000001</v>
      </c>
      <c r="H27" s="358">
        <f>IFERROR(VLOOKUP($A27,'PP DS Query'!$C$1:$R$1005,8,FALSE),0)</f>
        <v>177506661.19</v>
      </c>
      <c r="I27" s="523">
        <f>IFERROR(VLOOKUP($A27,'PP DS Query'!$C$1:$R$1005,9,FALSE),0)</f>
        <v>39.85</v>
      </c>
      <c r="J27" s="358">
        <f>IFERROR(VLOOKUP($A27,'PP DS Query'!$C$1:$R$1005,10,FALSE),0)</f>
        <v>406436699.35000002</v>
      </c>
      <c r="K27" s="523">
        <f>IFERROR(VLOOKUP($A27,'PP DS Query'!$C$1:$R$1005,11,FALSE),0)</f>
        <v>22.5</v>
      </c>
      <c r="L27" s="358">
        <f>IFERROR(VLOOKUP($A27,'PP DS Query'!$C$1:$R$1005,12,FALSE),0)</f>
        <v>229481197.88</v>
      </c>
      <c r="M27" s="19">
        <f>IFERROR(VLOOKUP($A27,'PP DS Query'!$C$1:$R$1005,13,FALSE),0)</f>
        <v>0.46590361000000002</v>
      </c>
      <c r="N27" s="358">
        <f>IFERROR(VLOOKUP($A27,'PP DS Query'!$C$1:$R$1005,14,FALSE),0)</f>
        <v>4751827.5</v>
      </c>
      <c r="O27" s="56">
        <f>IFERROR(VLOOKUP($A27,'PP DS Query'!$C$1:$R$1005,4,FALSE),0)</f>
        <v>-7.0000000000000007E-2</v>
      </c>
      <c r="P27" s="358">
        <f>-IFERROR(VLOOKUP($A27,'PP DS Query'!$C$1:$R$1005,15,FALSE),0)</f>
        <v>713941.5</v>
      </c>
      <c r="Q27" s="358">
        <f>IFERROR(VLOOKUP($A27,'PP DS Query'!$C$1:$R$1005,16,FALSE),0)</f>
        <v>4364969.9800000004</v>
      </c>
      <c r="R27" s="48"/>
      <c r="S27" s="472">
        <f>IFERROR(ROUND(LEFT(A27,7)*100,0),0)</f>
        <v>34383</v>
      </c>
      <c r="T27" s="472" t="s">
        <v>962</v>
      </c>
      <c r="U27" s="474">
        <f>IFERROR(VLOOKUP($S27,#REF!,6,FALSE),0)</f>
        <v>0</v>
      </c>
      <c r="V27" s="473">
        <f>U27-F27</f>
        <v>-10199164.35</v>
      </c>
    </row>
    <row r="28" spans="1:22" ht="15.95" customHeight="1" x14ac:dyDescent="0.2">
      <c r="A28" s="49" t="s">
        <v>682</v>
      </c>
      <c r="B28" s="499">
        <f>IFERROR(VLOOKUP($A28,'PP DS Query'!$C$1:$R$1005,5,FALSE),0)</f>
        <v>2042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19327560.18</v>
      </c>
      <c r="G28" s="523">
        <f>IFERROR(VLOOKUP($A28,'PP DS Query'!$C$1:$R$1005,7,FALSE),0)</f>
        <v>16.374843729999998</v>
      </c>
      <c r="H28" s="358">
        <f>IFERROR(VLOOKUP($A28,'PP DS Query'!$C$1:$R$1005,8,FALSE),0)</f>
        <v>316485777.62</v>
      </c>
      <c r="I28" s="523">
        <f>IFERROR(VLOOKUP($A28,'PP DS Query'!$C$1:$R$1005,9,FALSE),0)</f>
        <v>29.69</v>
      </c>
      <c r="J28" s="358">
        <f>IFERROR(VLOOKUP($A28,'PP DS Query'!$C$1:$R$1005,10,FALSE),0)</f>
        <v>573835261.74000001</v>
      </c>
      <c r="K28" s="523">
        <f>IFERROR(VLOOKUP($A28,'PP DS Query'!$C$1:$R$1005,11,FALSE),0)</f>
        <v>13.453685</v>
      </c>
      <c r="L28" s="358">
        <f>IFERROR(VLOOKUP($A28,'PP DS Query'!$C$1:$R$1005,12,FALSE),0)</f>
        <v>260026906.47999999</v>
      </c>
      <c r="M28" s="19">
        <f>IFERROR(VLOOKUP($A28,'PP DS Query'!$C$1:$R$1005,13,FALSE),0)</f>
        <v>0.58509562000000004</v>
      </c>
      <c r="N28" s="358">
        <f>IFERROR(VLOOKUP($A28,'PP DS Query'!$C$1:$R$1005,14,FALSE),0)</f>
        <v>11308470.74</v>
      </c>
      <c r="O28" s="56">
        <f>IFERROR(VLOOKUP($A28,'PP DS Query'!$C$1:$R$1005,4,FALSE),0)</f>
        <v>-7.0000000000000007E-2</v>
      </c>
      <c r="P28" s="358">
        <f>-IFERROR(VLOOKUP($A28,'PP DS Query'!$C$1:$R$1005,15,FALSE),0)</f>
        <v>1352929.21</v>
      </c>
      <c r="Q28" s="358">
        <f>IFERROR(VLOOKUP($A28,'PP DS Query'!$C$1:$R$1005,16,FALSE),0)</f>
        <v>10387821.369999999</v>
      </c>
      <c r="R28" s="48"/>
      <c r="S28" s="472">
        <f t="shared" ref="S28:S30" si="4">IFERROR(ROUND(LEFT(A28,7)*100,0),0)</f>
        <v>34383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-19327560.18</v>
      </c>
    </row>
    <row r="29" spans="1:22" s="40" customFormat="1" ht="15.95" customHeight="1" x14ac:dyDescent="0.2">
      <c r="A29" s="60" t="s">
        <v>683</v>
      </c>
      <c r="B29" s="499">
        <f>IFERROR(VLOOKUP($A29,'PP DS Query'!$C$1:$R$1005,5,FALSE),0)</f>
        <v>2042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2534070.7200000002</v>
      </c>
      <c r="G29" s="523">
        <f>IFERROR(VLOOKUP($A29,'PP DS Query'!$C$1:$R$1005,7,FALSE),0)</f>
        <v>16.359433500000002</v>
      </c>
      <c r="H29" s="358">
        <f>IFERROR(VLOOKUP($A29,'PP DS Query'!$C$1:$R$1005,8,FALSE),0)</f>
        <v>41455961.439999998</v>
      </c>
      <c r="I29" s="523">
        <f>IFERROR(VLOOKUP($A29,'PP DS Query'!$C$1:$R$1005,9,FALSE),0)</f>
        <v>19.989999999999998</v>
      </c>
      <c r="J29" s="358">
        <f>IFERROR(VLOOKUP($A29,'PP DS Query'!$C$1:$R$1005,10,FALSE),0)</f>
        <v>50656073.689999998</v>
      </c>
      <c r="K29" s="523">
        <f>IFERROR(VLOOKUP($A29,'PP DS Query'!$C$1:$R$1005,11,FALSE),0)</f>
        <v>5.9636420000000001</v>
      </c>
      <c r="L29" s="358">
        <f>IFERROR(VLOOKUP($A29,'PP DS Query'!$C$1:$R$1005,12,FALSE),0)</f>
        <v>15112290.58</v>
      </c>
      <c r="M29" s="19">
        <f>IFERROR(VLOOKUP($A29,'PP DS Query'!$C$1:$R$1005,13,FALSE),0)</f>
        <v>0.75079585999999998</v>
      </c>
      <c r="N29" s="358">
        <f>IFERROR(VLOOKUP($A29,'PP DS Query'!$C$1:$R$1005,14,FALSE),0)</f>
        <v>1902569.81</v>
      </c>
      <c r="O29" s="56">
        <f>IFERROR(VLOOKUP($A29,'PP DS Query'!$C$1:$R$1005,4,FALSE),0)</f>
        <v>-7.0000000000000007E-2</v>
      </c>
      <c r="P29" s="358">
        <f>-IFERROR(VLOOKUP($A29,'PP DS Query'!$C$1:$R$1005,15,FALSE),0)</f>
        <v>177384.95</v>
      </c>
      <c r="Q29" s="358">
        <f>IFERROR(VLOOKUP($A29,'PP DS Query'!$C$1:$R$1005,16,FALSE),0)</f>
        <v>1747677.1</v>
      </c>
      <c r="R29" s="48"/>
      <c r="S29" s="472">
        <f t="shared" si="4"/>
        <v>34383</v>
      </c>
      <c r="T29" s="472" t="s">
        <v>964</v>
      </c>
      <c r="U29" s="474">
        <f>IFERROR(VLOOKUP($S29,#REF!,8,FALSE),0)</f>
        <v>0</v>
      </c>
      <c r="V29" s="473">
        <f t="shared" si="5"/>
        <v>-2534070.7200000002</v>
      </c>
    </row>
    <row r="30" spans="1:22" ht="15.95" customHeight="1" thickBot="1" x14ac:dyDescent="0.25">
      <c r="A30" s="49" t="s">
        <v>680</v>
      </c>
      <c r="B30" s="499">
        <f>IFERROR(VLOOKUP($A30,'PP DS Query'!$C$1:$R$1005,5,FALSE),0)</f>
        <v>2042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523263.47</v>
      </c>
      <c r="G30" s="524">
        <f>IFERROR(VLOOKUP($A30,'PP DS Query'!$C$1:$R$1005,7,FALSE),0)</f>
        <v>3.5</v>
      </c>
      <c r="H30" s="250">
        <f>IFERROR(VLOOKUP($A30,'PP DS Query'!$C$1:$R$1005,8,FALSE),0)</f>
        <v>1831422.15</v>
      </c>
      <c r="I30" s="524">
        <f>IFERROR(VLOOKUP($A30,'PP DS Query'!$C$1:$R$1005,9,FALSE),0)</f>
        <v>12</v>
      </c>
      <c r="J30" s="250">
        <f>IFERROR(VLOOKUP($A30,'PP DS Query'!$C$1:$R$1005,10,FALSE),0)</f>
        <v>6279161.6399999997</v>
      </c>
      <c r="K30" s="524">
        <f>IFERROR(VLOOKUP($A30,'PP DS Query'!$C$1:$R$1005,11,FALSE),0)</f>
        <v>8.5</v>
      </c>
      <c r="L30" s="250">
        <f>IFERROR(VLOOKUP($A30,'PP DS Query'!$C$1:$R$1005,12,FALSE),0)</f>
        <v>4447739.5</v>
      </c>
      <c r="M30" s="21">
        <f>IFERROR(VLOOKUP($A30,'PP DS Query'!$C$1:$R$1005,13,FALSE),0)</f>
        <v>0.31208333999999999</v>
      </c>
      <c r="N30" s="250">
        <f>IFERROR(VLOOKUP($A30,'PP DS Query'!$C$1:$R$1005,14,FALSE),0)</f>
        <v>163301.81</v>
      </c>
      <c r="O30" s="57">
        <f>IFERROR(VLOOKUP($A30,'PP DS Query'!$C$1:$R$1005,4,FALSE),0)</f>
        <v>-7.0000000000000007E-2</v>
      </c>
      <c r="P30" s="250">
        <f>-IFERROR(VLOOKUP($A30,'PP DS Query'!$C$1:$R$1005,15,FALSE),0)</f>
        <v>36628.44</v>
      </c>
      <c r="Q30" s="250">
        <f>IFERROR(VLOOKUP($A30,'PP DS Query'!$C$1:$R$1005,16,FALSE),0)</f>
        <v>150007.01999999999</v>
      </c>
      <c r="R30" s="48"/>
      <c r="S30" s="472">
        <f t="shared" si="4"/>
        <v>34383</v>
      </c>
      <c r="T30" s="472" t="s">
        <v>961</v>
      </c>
      <c r="U30" s="475">
        <f>IFERROR(VLOOKUP($S30,#REF!,9,FALSE),0)</f>
        <v>0</v>
      </c>
      <c r="V30" s="476">
        <f t="shared" si="5"/>
        <v>-523263.47</v>
      </c>
    </row>
    <row r="31" spans="1:22" ht="15.95" customHeight="1" x14ac:dyDescent="0.2">
      <c r="A31" s="49" t="s">
        <v>684</v>
      </c>
      <c r="B31" s="499">
        <f>IFERROR(VLOOKUP($A31,'PP DS Query'!$C$1:$R$1005,5,FALSE),0)</f>
        <v>2042</v>
      </c>
      <c r="C31" s="33"/>
      <c r="D31" s="34"/>
      <c r="E31" s="15"/>
      <c r="F31" s="443">
        <f>IFERROR(VLOOKUP($A31,'PP DS Query'!$C$1:$R$1005,6,FALSE),0)</f>
        <v>32584058.719999999</v>
      </c>
      <c r="G31" s="525">
        <f>IFERROR(VLOOKUP($A31,'PP DS Query'!$C$1:$R$1005,7,FALSE),0)</f>
        <v>16.489039229999999</v>
      </c>
      <c r="H31" s="443">
        <f>IFERROR(VLOOKUP($A31,'PP DS Query'!$C$1:$R$1005,8,FALSE),0)</f>
        <v>537279822.38999999</v>
      </c>
      <c r="I31" s="525">
        <f>IFERROR(VLOOKUP($A31,'PP DS Query'!$C$1:$R$1005,9,FALSE),0)</f>
        <v>31.831737270000001</v>
      </c>
      <c r="J31" s="443">
        <f>IFERROR(VLOOKUP($A31,'PP DS Query'!$C$1:$R$1005,10,FALSE),0)</f>
        <v>1037207196.42</v>
      </c>
      <c r="K31" s="525">
        <f>IFERROR(VLOOKUP($A31,'PP DS Query'!$C$1:$R$1005,11,FALSE),0)</f>
        <v>15.623226649999999</v>
      </c>
      <c r="L31" s="443">
        <f>IFERROR(VLOOKUP($A31,'PP DS Query'!$C$1:$R$1005,12,FALSE),0)</f>
        <v>509068134.43000001</v>
      </c>
      <c r="M31" s="445">
        <f>IFERROR(VLOOKUP($A31,'PP DS Query'!$C$1:$R$1005,13,FALSE),0)</f>
        <v>0.55628949999999999</v>
      </c>
      <c r="N31" s="443">
        <f>IFERROR(VLOOKUP($A31,'PP DS Query'!$C$1:$R$1005,14,FALSE),0)</f>
        <v>18126169.859999999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2280884.11</v>
      </c>
      <c r="Q31" s="443">
        <f>IFERROR(VLOOKUP($A31,'PP DS Query'!$C$1:$R$1005,16,FALSE),0)</f>
        <v>16650475.470000001</v>
      </c>
      <c r="R31" s="48"/>
      <c r="U31" s="473">
        <f>SUM(U27:U30)</f>
        <v>0</v>
      </c>
      <c r="V31" s="473">
        <f>SUM(V27:V30)</f>
        <v>-32584058.719999999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1280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705</v>
      </c>
      <c r="B34" s="499">
        <f>IFERROR(VLOOKUP($A34,'PP DS Query'!$C$1:$R$1005,5,FALSE),0)</f>
        <v>2042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2226347.89</v>
      </c>
      <c r="G34" s="523">
        <f>IFERROR(VLOOKUP($A34,'PP DS Query'!$C$1:$R$1005,7,FALSE),0)</f>
        <v>17.5</v>
      </c>
      <c r="H34" s="358">
        <f>IFERROR(VLOOKUP($A34,'PP DS Query'!$C$1:$R$1005,8,FALSE),0)</f>
        <v>38961088.079999998</v>
      </c>
      <c r="I34" s="523">
        <f>IFERROR(VLOOKUP($A34,'PP DS Query'!$C$1:$R$1005,9,FALSE),0)</f>
        <v>40</v>
      </c>
      <c r="J34" s="358">
        <f>IFERROR(VLOOKUP($A34,'PP DS Query'!$C$1:$R$1005,10,FALSE),0)</f>
        <v>89053915.599999994</v>
      </c>
      <c r="K34" s="523">
        <f>IFERROR(VLOOKUP($A34,'PP DS Query'!$C$1:$R$1005,11,FALSE),0)</f>
        <v>22.5</v>
      </c>
      <c r="L34" s="358">
        <f>IFERROR(VLOOKUP($A34,'PP DS Query'!$C$1:$R$1005,12,FALSE),0)</f>
        <v>50092827.530000001</v>
      </c>
      <c r="M34" s="19">
        <f>IFERROR(VLOOKUP($A34,'PP DS Query'!$C$1:$R$1005,13,FALSE),0)</f>
        <v>0.45937499999999998</v>
      </c>
      <c r="N34" s="358">
        <f>IFERROR(VLOOKUP($A34,'PP DS Query'!$C$1:$R$1005,14,FALSE),0)</f>
        <v>1022728.56</v>
      </c>
      <c r="O34" s="56">
        <f>IFERROR(VLOOKUP($A34,'PP DS Query'!$C$1:$R$1005,4,FALSE),0)</f>
        <v>-0.05</v>
      </c>
      <c r="P34" s="358">
        <f>-IFERROR(VLOOKUP($A34,'PP DS Query'!$C$1:$R$1005,15,FALSE),0)</f>
        <v>111317.39</v>
      </c>
      <c r="Q34" s="358">
        <f>IFERROR(VLOOKUP($A34,'PP DS Query'!$C$1:$R$1005,16,FALSE),0)</f>
        <v>867782.19</v>
      </c>
      <c r="R34" s="48"/>
      <c r="S34" s="472">
        <f>IFERROR(ROUND(LEFT(A34,7)*100,0),0)</f>
        <v>34583</v>
      </c>
      <c r="T34" s="472" t="s">
        <v>962</v>
      </c>
      <c r="U34" s="474">
        <f>IFERROR(VLOOKUP($S34,#REF!,6,FALSE),0)</f>
        <v>0</v>
      </c>
      <c r="V34" s="473">
        <f>U34-F34</f>
        <v>-2226347.89</v>
      </c>
    </row>
    <row r="35" spans="1:22" ht="15.95" customHeight="1" x14ac:dyDescent="0.2">
      <c r="A35" s="49" t="s">
        <v>706</v>
      </c>
      <c r="B35" s="499">
        <f>IFERROR(VLOOKUP($A35,'PP DS Query'!$C$1:$R$1005,5,FALSE),0)</f>
        <v>2042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6028238.3799999999</v>
      </c>
      <c r="G35" s="523">
        <f>IFERROR(VLOOKUP($A35,'PP DS Query'!$C$1:$R$1005,7,FALSE),0)</f>
        <v>17.289574170000002</v>
      </c>
      <c r="H35" s="358">
        <f>IFERROR(VLOOKUP($A35,'PP DS Query'!$C$1:$R$1005,8,FALSE),0)</f>
        <v>104225674.59</v>
      </c>
      <c r="I35" s="523">
        <f>IFERROR(VLOOKUP($A35,'PP DS Query'!$C$1:$R$1005,9,FALSE),0)</f>
        <v>29.91</v>
      </c>
      <c r="J35" s="358">
        <f>IFERROR(VLOOKUP($A35,'PP DS Query'!$C$1:$R$1005,10,FALSE),0)</f>
        <v>180304609.94999999</v>
      </c>
      <c r="K35" s="523">
        <f>IFERROR(VLOOKUP($A35,'PP DS Query'!$C$1:$R$1005,11,FALSE),0)</f>
        <v>12.709624</v>
      </c>
      <c r="L35" s="358">
        <f>IFERROR(VLOOKUP($A35,'PP DS Query'!$C$1:$R$1005,12,FALSE),0)</f>
        <v>76616643.189999998</v>
      </c>
      <c r="M35" s="19">
        <f>IFERROR(VLOOKUP($A35,'PP DS Query'!$C$1:$R$1005,13,FALSE),0)</f>
        <v>0.60375250000000003</v>
      </c>
      <c r="N35" s="358">
        <f>IFERROR(VLOOKUP($A35,'PP DS Query'!$C$1:$R$1005,14,FALSE),0)</f>
        <v>3639564</v>
      </c>
      <c r="O35" s="56">
        <f>IFERROR(VLOOKUP($A35,'PP DS Query'!$C$1:$R$1005,4,FALSE),0)</f>
        <v>-0.05</v>
      </c>
      <c r="P35" s="358">
        <f>-IFERROR(VLOOKUP($A35,'PP DS Query'!$C$1:$R$1005,15,FALSE),0)</f>
        <v>301411.92</v>
      </c>
      <c r="Q35" s="358">
        <f>IFERROR(VLOOKUP($A35,'PP DS Query'!$C$1:$R$1005,16,FALSE),0)</f>
        <v>3088159.39</v>
      </c>
      <c r="R35" s="48"/>
      <c r="S35" s="472">
        <f t="shared" ref="S35:S37" si="6">IFERROR(ROUND(LEFT(A35,7)*100,0),0)</f>
        <v>34583</v>
      </c>
      <c r="T35" s="472" t="s">
        <v>963</v>
      </c>
      <c r="U35" s="474">
        <f>IFERROR(VLOOKUP($S35,#REF!,7,FALSE),0)</f>
        <v>0</v>
      </c>
      <c r="V35" s="473">
        <f t="shared" ref="V35:V37" si="7">U35-F35</f>
        <v>-6028238.3799999999</v>
      </c>
    </row>
    <row r="36" spans="1:22" ht="15.95" customHeight="1" x14ac:dyDescent="0.2">
      <c r="A36" s="49" t="s">
        <v>707</v>
      </c>
      <c r="B36" s="499">
        <f>IFERROR(VLOOKUP($A36,'PP DS Query'!$C$1:$R$1005,5,FALSE),0)</f>
        <v>2042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801483.75</v>
      </c>
      <c r="G36" s="523">
        <f>IFERROR(VLOOKUP($A36,'PP DS Query'!$C$1:$R$1005,7,FALSE),0)</f>
        <v>16.445828819999999</v>
      </c>
      <c r="H36" s="358">
        <f>IFERROR(VLOOKUP($A36,'PP DS Query'!$C$1:$R$1005,8,FALSE),0)</f>
        <v>13181064.560000001</v>
      </c>
      <c r="I36" s="523">
        <f>IFERROR(VLOOKUP($A36,'PP DS Query'!$C$1:$R$1005,9,FALSE),0)</f>
        <v>20</v>
      </c>
      <c r="J36" s="358">
        <f>IFERROR(VLOOKUP($A36,'PP DS Query'!$C$1:$R$1005,10,FALSE),0)</f>
        <v>16029675</v>
      </c>
      <c r="K36" s="523">
        <f>IFERROR(VLOOKUP($A36,'PP DS Query'!$C$1:$R$1005,11,FALSE),0)</f>
        <v>5.8346879999999999</v>
      </c>
      <c r="L36" s="358">
        <f>IFERROR(VLOOKUP($A36,'PP DS Query'!$C$1:$R$1005,12,FALSE),0)</f>
        <v>4676407.62</v>
      </c>
      <c r="M36" s="19">
        <f>IFERROR(VLOOKUP($A36,'PP DS Query'!$C$1:$R$1005,13,FALSE),0)</f>
        <v>0.74364328999999996</v>
      </c>
      <c r="N36" s="358">
        <f>IFERROR(VLOOKUP($A36,'PP DS Query'!$C$1:$R$1005,14,FALSE),0)</f>
        <v>596018.01</v>
      </c>
      <c r="O36" s="56">
        <f>IFERROR(VLOOKUP($A36,'PP DS Query'!$C$1:$R$1005,4,FALSE),0)</f>
        <v>-0.05</v>
      </c>
      <c r="P36" s="358">
        <f>-IFERROR(VLOOKUP($A36,'PP DS Query'!$C$1:$R$1005,15,FALSE),0)</f>
        <v>40074.19</v>
      </c>
      <c r="Q36" s="358">
        <f>IFERROR(VLOOKUP($A36,'PP DS Query'!$C$1:$R$1005,16,FALSE),0)</f>
        <v>505719.53</v>
      </c>
      <c r="R36" s="48"/>
      <c r="S36" s="472">
        <f t="shared" si="6"/>
        <v>34583</v>
      </c>
      <c r="T36" s="472" t="s">
        <v>964</v>
      </c>
      <c r="U36" s="474">
        <f>IFERROR(VLOOKUP($S36,#REF!,8,FALSE),0)</f>
        <v>0</v>
      </c>
      <c r="V36" s="473">
        <f t="shared" si="7"/>
        <v>-801483.75</v>
      </c>
    </row>
    <row r="37" spans="1:22" ht="16.5" customHeight="1" thickBot="1" x14ac:dyDescent="0.25">
      <c r="A37" s="396" t="s">
        <v>895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34583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708</v>
      </c>
      <c r="B38" s="499">
        <f>IFERROR(VLOOKUP($A38,'PP DS Query'!$C$1:$R$1005,5,FALSE),0)</f>
        <v>2042</v>
      </c>
      <c r="C38" s="33"/>
      <c r="D38" s="34"/>
      <c r="E38" s="15"/>
      <c r="F38" s="443">
        <f>IFERROR(VLOOKUP($A38,'PP DS Query'!$C$1:$R$1005,6,FALSE),0)</f>
        <v>9056070.0199999996</v>
      </c>
      <c r="G38" s="525">
        <f>IFERROR(VLOOKUP($A38,'PP DS Query'!$C$1:$R$1005,7,FALSE),0)</f>
        <v>17.266631870000001</v>
      </c>
      <c r="H38" s="443">
        <f>IFERROR(VLOOKUP($A38,'PP DS Query'!$C$1:$R$1005,8,FALSE),0)</f>
        <v>156367827.22</v>
      </c>
      <c r="I38" s="525">
        <f>IFERROR(VLOOKUP($A38,'PP DS Query'!$C$1:$R$1005,9,FALSE),0)</f>
        <v>31.513471070000001</v>
      </c>
      <c r="J38" s="443">
        <f>IFERROR(VLOOKUP($A38,'PP DS Query'!$C$1:$R$1005,10,FALSE),0)</f>
        <v>285388200.55000001</v>
      </c>
      <c r="K38" s="525">
        <f>IFERROR(VLOOKUP($A38,'PP DS Query'!$C$1:$R$1005,11,FALSE),0)</f>
        <v>14.508045770000001</v>
      </c>
      <c r="L38" s="443">
        <f>IFERROR(VLOOKUP($A38,'PP DS Query'!$C$1:$R$1005,12,FALSE),0)</f>
        <v>131385878.34</v>
      </c>
      <c r="M38" s="445">
        <f>IFERROR(VLOOKUP($A38,'PP DS Query'!$C$1:$R$1005,13,FALSE),0)</f>
        <v>0.58063935</v>
      </c>
      <c r="N38" s="443">
        <f>IFERROR(VLOOKUP($A38,'PP DS Query'!$C$1:$R$1005,14,FALSE),0)</f>
        <v>5258310.57</v>
      </c>
      <c r="O38" s="446">
        <f>IFERROR(VLOOKUP($A38,'PP DS Query'!$C$1:$R$1005,4,FALSE),0)</f>
        <v>-0.05</v>
      </c>
      <c r="P38" s="443">
        <f>-IFERROR(VLOOKUP($A38,'PP DS Query'!$C$1:$R$1005,15,FALSE),0)</f>
        <v>452803.5</v>
      </c>
      <c r="Q38" s="443">
        <f>IFERROR(VLOOKUP($A38,'PP DS Query'!$C$1:$R$1005,16,FALSE),0)</f>
        <v>4461661.1100000003</v>
      </c>
      <c r="R38" s="48"/>
      <c r="U38" s="473">
        <f>SUM(U34:U37)</f>
        <v>0</v>
      </c>
      <c r="V38" s="473">
        <f>SUM(V34:V37)</f>
        <v>-9056070.0199999996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1281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728</v>
      </c>
      <c r="B41" s="499">
        <f>IFERROR(VLOOKUP($A41,'PP DS Query'!$C$1:$R$1005,5,FALSE),0)</f>
        <v>2042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427148.92</v>
      </c>
      <c r="G41" s="523">
        <f>IFERROR(VLOOKUP($A41,'PP DS Query'!$C$1:$R$1005,7,FALSE),0)</f>
        <v>17.5</v>
      </c>
      <c r="H41" s="358">
        <f>IFERROR(VLOOKUP($A41,'PP DS Query'!$C$1:$R$1005,8,FALSE),0)</f>
        <v>7475106.0999999996</v>
      </c>
      <c r="I41" s="523">
        <f>IFERROR(VLOOKUP($A41,'PP DS Query'!$C$1:$R$1005,9,FALSE),0)</f>
        <v>40</v>
      </c>
      <c r="J41" s="358">
        <f>IFERROR(VLOOKUP($A41,'PP DS Query'!$C$1:$R$1005,10,FALSE),0)</f>
        <v>17085956.800000001</v>
      </c>
      <c r="K41" s="523">
        <f>IFERROR(VLOOKUP($A41,'PP DS Query'!$C$1:$R$1005,11,FALSE),0)</f>
        <v>22.5</v>
      </c>
      <c r="L41" s="358">
        <f>IFERROR(VLOOKUP($A41,'PP DS Query'!$C$1:$R$1005,12,FALSE),0)</f>
        <v>9610850.6999999993</v>
      </c>
      <c r="M41" s="19">
        <f>IFERROR(VLOOKUP($A41,'PP DS Query'!$C$1:$R$1005,13,FALSE),0)</f>
        <v>0.44625000999999997</v>
      </c>
      <c r="N41" s="358">
        <f>IFERROR(VLOOKUP($A41,'PP DS Query'!$C$1:$R$1005,14,FALSE),0)</f>
        <v>190615.21</v>
      </c>
      <c r="O41" s="56">
        <f>IFERROR(VLOOKUP($A41,'PP DS Query'!$C$1:$R$1005,4,FALSE),0)</f>
        <v>-0.02</v>
      </c>
      <c r="P41" s="358">
        <f>-IFERROR(VLOOKUP($A41,'PP DS Query'!$C$1:$R$1005,15,FALSE),0)</f>
        <v>8542.98</v>
      </c>
      <c r="Q41" s="358">
        <f>IFERROR(VLOOKUP($A41,'PP DS Query'!$C$1:$R$1005,16,FALSE),0)</f>
        <v>224261.94</v>
      </c>
      <c r="R41" s="48"/>
      <c r="S41" s="472">
        <f>IFERROR(ROUND(LEFT(A41,7)*100,0),0)</f>
        <v>34683</v>
      </c>
      <c r="T41" s="472" t="s">
        <v>962</v>
      </c>
      <c r="U41" s="474">
        <f>IFERROR(VLOOKUP($S41,#REF!,6,FALSE),0)</f>
        <v>0</v>
      </c>
      <c r="V41" s="473">
        <f>U41-F41</f>
        <v>-427148.92</v>
      </c>
    </row>
    <row r="42" spans="1:22" ht="15.95" customHeight="1" x14ac:dyDescent="0.2">
      <c r="A42" s="49" t="s">
        <v>729</v>
      </c>
      <c r="B42" s="499">
        <f>IFERROR(VLOOKUP($A42,'PP DS Query'!$C$1:$R$1005,5,FALSE),0)</f>
        <v>2042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5761.5</v>
      </c>
      <c r="G42" s="523">
        <f>IFERROR(VLOOKUP($A42,'PP DS Query'!$C$1:$R$1005,7,FALSE),0)</f>
        <v>17.5</v>
      </c>
      <c r="H42" s="358">
        <f>IFERROR(VLOOKUP($A42,'PP DS Query'!$C$1:$R$1005,8,FALSE),0)</f>
        <v>100826.25</v>
      </c>
      <c r="I42" s="523">
        <f>IFERROR(VLOOKUP($A42,'PP DS Query'!$C$1:$R$1005,9,FALSE),0)</f>
        <v>30</v>
      </c>
      <c r="J42" s="358">
        <f>IFERROR(VLOOKUP($A42,'PP DS Query'!$C$1:$R$1005,10,FALSE),0)</f>
        <v>172845</v>
      </c>
      <c r="K42" s="523">
        <f>IFERROR(VLOOKUP($A42,'PP DS Query'!$C$1:$R$1005,11,FALSE),0)</f>
        <v>12.547853</v>
      </c>
      <c r="L42" s="358">
        <f>IFERROR(VLOOKUP($A42,'PP DS Query'!$C$1:$R$1005,12,FALSE),0)</f>
        <v>72294.460000000006</v>
      </c>
      <c r="M42" s="19">
        <f>IFERROR(VLOOKUP($A42,'PP DS Query'!$C$1:$R$1005,13,FALSE),0)</f>
        <v>0.59337324999999996</v>
      </c>
      <c r="N42" s="358">
        <f>IFERROR(VLOOKUP($A42,'PP DS Query'!$C$1:$R$1005,14,FALSE),0)</f>
        <v>3418.72</v>
      </c>
      <c r="O42" s="56">
        <f>IFERROR(VLOOKUP($A42,'PP DS Query'!$C$1:$R$1005,4,FALSE),0)</f>
        <v>-0.02</v>
      </c>
      <c r="P42" s="358">
        <f>-IFERROR(VLOOKUP($A42,'PP DS Query'!$C$1:$R$1005,15,FALSE),0)</f>
        <v>115.23</v>
      </c>
      <c r="Q42" s="358">
        <f>IFERROR(VLOOKUP($A42,'PP DS Query'!$C$1:$R$1005,16,FALSE),0)</f>
        <v>4022.18</v>
      </c>
      <c r="R42" s="48"/>
      <c r="S42" s="472">
        <f t="shared" ref="S42:S44" si="8">IFERROR(ROUND(LEFT(A42,7)*100,0),0)</f>
        <v>34683</v>
      </c>
      <c r="T42" s="472" t="s">
        <v>963</v>
      </c>
      <c r="U42" s="474">
        <f>IFERROR(VLOOKUP($S42,#REF!,7,FALSE),0)</f>
        <v>0</v>
      </c>
      <c r="V42" s="473">
        <f t="shared" ref="V42:V44" si="9">U42-F42</f>
        <v>-5761.5</v>
      </c>
    </row>
    <row r="43" spans="1:22" ht="15.95" customHeight="1" x14ac:dyDescent="0.2">
      <c r="A43" s="396" t="s">
        <v>896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34683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897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34683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730</v>
      </c>
      <c r="B45" s="499">
        <f>IFERROR(VLOOKUP($A45,'PP DS Query'!$C$1:$R$1005,5,FALSE),0)</f>
        <v>2042</v>
      </c>
      <c r="C45" s="33"/>
      <c r="D45" s="34"/>
      <c r="E45" s="15"/>
      <c r="F45" s="443">
        <f>IFERROR(VLOOKUP($A45,'PP DS Query'!$C$1:$R$1005,6,FALSE),0)</f>
        <v>432910.42</v>
      </c>
      <c r="G45" s="525">
        <f>IFERROR(VLOOKUP($A45,'PP DS Query'!$C$1:$R$1005,7,FALSE),0)</f>
        <v>17.5</v>
      </c>
      <c r="H45" s="443">
        <f>IFERROR(VLOOKUP($A45,'PP DS Query'!$C$1:$R$1005,8,FALSE),0)</f>
        <v>7575932.3499999996</v>
      </c>
      <c r="I45" s="525">
        <f>IFERROR(VLOOKUP($A45,'PP DS Query'!$C$1:$R$1005,9,FALSE),0)</f>
        <v>39.866912419999998</v>
      </c>
      <c r="J45" s="443">
        <f>IFERROR(VLOOKUP($A45,'PP DS Query'!$C$1:$R$1005,10,FALSE),0)</f>
        <v>17258801.800000001</v>
      </c>
      <c r="K45" s="525">
        <f>IFERROR(VLOOKUP($A45,'PP DS Query'!$C$1:$R$1005,11,FALSE),0)</f>
        <v>22.367549279999999</v>
      </c>
      <c r="L45" s="443">
        <f>IFERROR(VLOOKUP($A45,'PP DS Query'!$C$1:$R$1005,12,FALSE),0)</f>
        <v>9683145.1600000001</v>
      </c>
      <c r="M45" s="445">
        <f>IFERROR(VLOOKUP($A45,'PP DS Query'!$C$1:$R$1005,13,FALSE),0)</f>
        <v>0.44820803999999997</v>
      </c>
      <c r="N45" s="443">
        <f>IFERROR(VLOOKUP($A45,'PP DS Query'!$C$1:$R$1005,14,FALSE),0)</f>
        <v>194033.93</v>
      </c>
      <c r="O45" s="446">
        <f>IFERROR(VLOOKUP($A45,'PP DS Query'!$C$1:$R$1005,4,FALSE),0)</f>
        <v>-0.02</v>
      </c>
      <c r="P45" s="443">
        <f>-IFERROR(VLOOKUP($A45,'PP DS Query'!$C$1:$R$1005,15,FALSE),0)</f>
        <v>8658.2099999999991</v>
      </c>
      <c r="Q45" s="443">
        <f>IFERROR(VLOOKUP($A45,'PP DS Query'!$C$1:$R$1005,16,FALSE),0)</f>
        <v>228284.12</v>
      </c>
      <c r="R45" s="48"/>
      <c r="U45" s="473">
        <f>SUM(U41:U44)</f>
        <v>0</v>
      </c>
      <c r="V45" s="473">
        <f>SUM(V41:V44)</f>
        <v>-432910.42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Unit #3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24492424.450000003</v>
      </c>
      <c r="G49" s="523">
        <f>IF($F49=0,0,H49/$F49)</f>
        <v>17.159646051291585</v>
      </c>
      <c r="H49" s="358">
        <f t="shared" ref="H49:H52" si="10">H13+H20+H27+H34+H41</f>
        <v>420281334.5</v>
      </c>
      <c r="I49" s="523">
        <f>IF($F49=0,0,J49/$F49)</f>
        <v>39.476966352753202</v>
      </c>
      <c r="J49" s="358">
        <f>J13+J20+J27+J34+J41</f>
        <v>966886615.90999997</v>
      </c>
      <c r="K49" s="523">
        <f>IF($F49=0,0,L49/$F49)</f>
        <v>22.500000000612431</v>
      </c>
      <c r="L49" s="358">
        <f>L13+L20+L27+L34+L41</f>
        <v>551079550.13999999</v>
      </c>
      <c r="M49" s="19">
        <f>IF($F49=0,0,N49/$F49)</f>
        <v>0.44890440358181855</v>
      </c>
      <c r="N49" s="358">
        <f t="shared" ref="N49:P52" si="11">N13+N20+N27+N34+N41</f>
        <v>10994757.190000001</v>
      </c>
      <c r="O49" s="56">
        <f>-IF($F49=0,0,P49/$F49)</f>
        <v>-4.5029432355766633E-2</v>
      </c>
      <c r="P49" s="358">
        <f t="shared" si="11"/>
        <v>1102879.97</v>
      </c>
      <c r="Q49" s="358">
        <f t="shared" ref="Q49" si="12">Q13+Q20+Q27+Q34+Q41</f>
        <v>10451986.82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25532523.549999997</v>
      </c>
      <c r="G50" s="523">
        <f>IF($F50=0,0,H50/$F50)</f>
        <v>16.598599770605126</v>
      </c>
      <c r="H50" s="358">
        <f t="shared" si="10"/>
        <v>423804139.53999996</v>
      </c>
      <c r="I50" s="523">
        <f>IF($F50=0,0,J50/$F50)</f>
        <v>29.744087767227388</v>
      </c>
      <c r="J50" s="358">
        <f>J14+J21+J28+J35+J42</f>
        <v>759441621.3900001</v>
      </c>
      <c r="K50" s="523">
        <f>IF($F50=0,0,L50/$F50)</f>
        <v>13.271742145127678</v>
      </c>
      <c r="L50" s="358">
        <f>L14+L21+L28+L35+L42</f>
        <v>338861068.86999995</v>
      </c>
      <c r="M50" s="19">
        <f>IF($F50=0,0,N50/$F50)</f>
        <v>0.58964543635954081</v>
      </c>
      <c r="N50" s="358">
        <f t="shared" si="11"/>
        <v>15055135.99</v>
      </c>
      <c r="O50" s="56">
        <f>-IF($F50=0,0,P50/$F50)</f>
        <v>-6.5082548802740656E-2</v>
      </c>
      <c r="P50" s="358">
        <f t="shared" si="11"/>
        <v>1661721.71</v>
      </c>
      <c r="Q50" s="358">
        <f t="shared" ref="Q50" si="13">Q14+Q21+Q28+Q35+Q42</f>
        <v>13581083.75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3412358.52</v>
      </c>
      <c r="G51" s="523">
        <f>IF($F51=0,0,H51/$F51)</f>
        <v>16.405397191383045</v>
      </c>
      <c r="H51" s="358">
        <f t="shared" si="10"/>
        <v>55981096.880000003</v>
      </c>
      <c r="I51" s="523">
        <f>IF($F51=0,0,J51/$F51)</f>
        <v>19.992573843032179</v>
      </c>
      <c r="J51" s="358">
        <f>J15+J22+J29+J36+J43</f>
        <v>68221829.689999998</v>
      </c>
      <c r="K51" s="523">
        <f>IF($F51=0,0,L51/$F51)</f>
        <v>5.912586242549918</v>
      </c>
      <c r="L51" s="358">
        <f>L15+L22+L29+L36+L43</f>
        <v>20175864.039999999</v>
      </c>
      <c r="M51" s="19">
        <f>IF($F51=0,0,N51/$F51)</f>
        <v>0.74949763191940333</v>
      </c>
      <c r="N51" s="358">
        <f t="shared" si="11"/>
        <v>2557554.63</v>
      </c>
      <c r="O51" s="56">
        <f>-IF($F51=0,0,P51/$F51)</f>
        <v>-6.4322889495210492E-2</v>
      </c>
      <c r="P51" s="358">
        <f t="shared" si="11"/>
        <v>219492.76</v>
      </c>
      <c r="Q51" s="358">
        <f t="shared" ref="Q51" si="14">Q15+Q22+Q29+Q36+Q43</f>
        <v>2311744.38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523263.47</v>
      </c>
      <c r="G52" s="524">
        <f>IF($F52=0,0,H52/$F52)</f>
        <v>3.5000000095554156</v>
      </c>
      <c r="H52" s="250">
        <f t="shared" si="10"/>
        <v>1831422.15</v>
      </c>
      <c r="I52" s="524">
        <f>IF($F52=0,0,J52/$F52)</f>
        <v>12</v>
      </c>
      <c r="J52" s="250">
        <f>J16+J23+J30+J37+J44</f>
        <v>6279161.6399999997</v>
      </c>
      <c r="K52" s="524">
        <f>IF($F52=0,0,L52/$F52)</f>
        <v>8.500000009555416</v>
      </c>
      <c r="L52" s="250">
        <f>L16+L23+L30+L37+L44</f>
        <v>4447739.5</v>
      </c>
      <c r="M52" s="21">
        <f>IF($F52=0,0,N52/$F52)</f>
        <v>0.31208333729086801</v>
      </c>
      <c r="N52" s="250">
        <f t="shared" si="11"/>
        <v>163301.81</v>
      </c>
      <c r="O52" s="57">
        <f>-IF($F52=0,0,P52/$F52)</f>
        <v>-6.9999994457858872E-2</v>
      </c>
      <c r="P52" s="250">
        <f t="shared" si="11"/>
        <v>36628.44</v>
      </c>
      <c r="Q52" s="250">
        <f t="shared" ref="Q52" si="15">Q16+Q23+Q30+Q37+Q44</f>
        <v>150007.01999999999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53960569.990000002</v>
      </c>
      <c r="G53" s="525">
        <f>IF($F53=0,0,H53/$F53)</f>
        <v>16.71401901864899</v>
      </c>
      <c r="H53" s="443">
        <f t="shared" ref="H53" si="16">SUM(H49:H52)</f>
        <v>901897993.06999993</v>
      </c>
      <c r="I53" s="525">
        <f>IF($F53=0,0,J53/$F53)</f>
        <v>33.37305793774474</v>
      </c>
      <c r="J53" s="443">
        <f>SUM(J49:J52)</f>
        <v>1800829228.6300004</v>
      </c>
      <c r="K53" s="525">
        <f>IF($F53=0,0,L53/$F53)</f>
        <v>16.948750221124193</v>
      </c>
      <c r="L53" s="443">
        <f>SUM(L49:L52)</f>
        <v>914564222.54999995</v>
      </c>
      <c r="M53" s="445">
        <f>IF($F53=0,0,N53/$F53)</f>
        <v>0.53318098058140984</v>
      </c>
      <c r="N53" s="443">
        <f t="shared" ref="N53:P53" si="17">SUM(N49:N52)</f>
        <v>28770749.619999997</v>
      </c>
      <c r="O53" s="446">
        <f>-IF($F53=0,0,P53/$F53)</f>
        <v>-5.5980188507271163E-2</v>
      </c>
      <c r="P53" s="443">
        <f t="shared" si="17"/>
        <v>3020722.8799999994</v>
      </c>
      <c r="Q53" s="443">
        <f t="shared" ref="Q53" si="18">SUM(Q49:Q52)</f>
        <v>26494821.969999999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74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34183</v>
      </c>
      <c r="F56" s="352">
        <f>IFERROR(VLOOKUP(E56,'2019 B-7'!C:P,14,FALSE),0)</f>
        <v>10533315.640000001</v>
      </c>
      <c r="G56" s="353">
        <f>F56-F17</f>
        <v>0</v>
      </c>
      <c r="P56" s="260">
        <f>E56</f>
        <v>34183</v>
      </c>
      <c r="Q56" s="352">
        <f>IFERROR(VLOOKUP(P56,'2019 B-9'!C:R,16,FALSE),0)</f>
        <v>4635169.349999994</v>
      </c>
      <c r="R56" s="353">
        <f>Q56-Q17</f>
        <v>0</v>
      </c>
    </row>
    <row r="57" spans="1:18" x14ac:dyDescent="0.2">
      <c r="E57" s="260">
        <v>34283</v>
      </c>
      <c r="F57" s="352">
        <f>IFERROR(VLOOKUP(E57,'2019 B-7'!C:P,14,FALSE),0)</f>
        <v>1354215.19</v>
      </c>
      <c r="G57" s="353">
        <f>F57-F24</f>
        <v>0</v>
      </c>
      <c r="P57" s="260">
        <f t="shared" ref="P57:P60" si="19">E57</f>
        <v>34283</v>
      </c>
      <c r="Q57" s="352">
        <f>IFERROR(VLOOKUP(P57,'2019 B-9'!C:R,16,FALSE),0)</f>
        <v>519231.91999999783</v>
      </c>
      <c r="R57" s="353">
        <f>Q57-Q24</f>
        <v>-2.1536834537982941E-9</v>
      </c>
    </row>
    <row r="58" spans="1:18" x14ac:dyDescent="0.2">
      <c r="E58" s="260">
        <v>34383</v>
      </c>
      <c r="F58" s="352">
        <f>IFERROR(VLOOKUP(E58,'2019 B-7'!C:P,14,FALSE),0)</f>
        <v>32584058.720000003</v>
      </c>
      <c r="G58" s="353">
        <f>F58-F31</f>
        <v>0</v>
      </c>
      <c r="P58" s="260">
        <f t="shared" si="19"/>
        <v>34383</v>
      </c>
      <c r="Q58" s="352">
        <f>IFERROR(VLOOKUP(P58,'2019 B-9'!C:R,16,FALSE),0)</f>
        <v>16650475.469999958</v>
      </c>
      <c r="R58" s="353">
        <f>Q58-Q31</f>
        <v>-4.2840838432312012E-8</v>
      </c>
    </row>
    <row r="59" spans="1:18" x14ac:dyDescent="0.2">
      <c r="E59" s="260">
        <v>34583</v>
      </c>
      <c r="F59" s="352">
        <f>IFERROR(VLOOKUP(E59,'2019 B-7'!C:P,14,FALSE),0)</f>
        <v>9056070.0200000033</v>
      </c>
      <c r="G59" s="353">
        <f>F59-F38</f>
        <v>0</v>
      </c>
      <c r="P59" s="260">
        <f t="shared" si="19"/>
        <v>34583</v>
      </c>
      <c r="Q59" s="352">
        <f>IFERROR(VLOOKUP(P59,'2019 B-9'!C:R,16,FALSE),0)</f>
        <v>4461661.1100000022</v>
      </c>
      <c r="R59" s="353">
        <f>Q59-Q38</f>
        <v>0</v>
      </c>
    </row>
    <row r="60" spans="1:18" x14ac:dyDescent="0.2">
      <c r="E60" s="260">
        <v>34683</v>
      </c>
      <c r="F60" s="352">
        <f>IFERROR(VLOOKUP(E60,'2019 B-7'!C:P,14,FALSE),0)</f>
        <v>432910.42</v>
      </c>
      <c r="G60" s="353">
        <f>F60-F45</f>
        <v>0</v>
      </c>
      <c r="P60" s="260">
        <f t="shared" si="19"/>
        <v>34683</v>
      </c>
      <c r="Q60" s="352">
        <f>IFERROR(VLOOKUP(P60,'2019 B-9'!C:R,16,FALSE),0)</f>
        <v>228284.1200000004</v>
      </c>
      <c r="R60" s="353">
        <f>Q60-Q45</f>
        <v>4.0745362639427185E-10</v>
      </c>
    </row>
    <row r="61" spans="1:18" ht="13.5" thickBot="1" x14ac:dyDescent="0.25">
      <c r="E61" s="349" t="s">
        <v>40</v>
      </c>
      <c r="F61" s="354">
        <f>SUM(F56:F60)</f>
        <v>53960569.99000001</v>
      </c>
      <c r="G61" s="354">
        <f>SUM(G56:G60)</f>
        <v>0</v>
      </c>
      <c r="P61" s="349" t="s">
        <v>40</v>
      </c>
      <c r="Q61" s="354">
        <f>SUM(Q56:Q60)</f>
        <v>26494821.969999954</v>
      </c>
      <c r="R61" s="354">
        <f>SUM(R56:R60)</f>
        <v>-4.4587068259716034E-8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-4.4703483581542969E-8</v>
      </c>
      <c r="R62" s="353">
        <f>R61-Q62</f>
        <v>1.1641532182693481E-10</v>
      </c>
    </row>
    <row r="63" spans="1:18" x14ac:dyDescent="0.2">
      <c r="E63" s="29"/>
      <c r="G63" s="18"/>
    </row>
    <row r="64" spans="1:18" x14ac:dyDescent="0.2">
      <c r="E64" s="29"/>
      <c r="G64" s="18"/>
    </row>
    <row r="65" spans="5:8" x14ac:dyDescent="0.2">
      <c r="E65" s="50"/>
      <c r="H65" s="18"/>
    </row>
    <row r="66" spans="5:8" x14ac:dyDescent="0.2">
      <c r="E66" s="50"/>
      <c r="H66" s="18"/>
    </row>
    <row r="67" spans="5:8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0.85546875" bestFit="1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89</v>
      </c>
      <c r="D6" s="71"/>
      <c r="E6" s="29"/>
      <c r="G6" s="38"/>
      <c r="M6" s="404"/>
      <c r="N6" s="404"/>
      <c r="R6" s="48"/>
    </row>
    <row r="7" spans="1:22" ht="15.95" customHeight="1" x14ac:dyDescent="0.2">
      <c r="A7" s="49"/>
      <c r="B7" s="49"/>
      <c r="C7" s="5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2047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1282</v>
      </c>
      <c r="E12" s="50"/>
      <c r="P12" s="18"/>
      <c r="Q12" s="18"/>
      <c r="R12" s="48"/>
    </row>
    <row r="13" spans="1:22" ht="15.95" customHeight="1" x14ac:dyDescent="0.2">
      <c r="A13" s="396" t="s">
        <v>1064</v>
      </c>
      <c r="B13" s="499">
        <f>IFERROR(VLOOKUP($A13,'PP DS Query'!$C$1:$R$1005,5,FALSE),0)</f>
        <v>2047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5593228.2999999998</v>
      </c>
      <c r="G13" s="523">
        <f>IFERROR(VLOOKUP($A13,'PP DS Query'!$C$1:$R$1005,7,FALSE),0)</f>
        <v>12.171805129999999</v>
      </c>
      <c r="H13" s="358">
        <f>IFERROR(VLOOKUP($A13,'PP DS Query'!$C$1:$R$1005,8,FALSE),0)</f>
        <v>68079684.890000001</v>
      </c>
      <c r="I13" s="523">
        <f>IFERROR(VLOOKUP($A13,'PP DS Query'!$C$1:$R$1005,9,FALSE),0)</f>
        <v>39.54</v>
      </c>
      <c r="J13" s="358">
        <f>IFERROR(VLOOKUP($A13,'PP DS Query'!$C$1:$R$1005,10,FALSE),0)</f>
        <v>221156246.97999999</v>
      </c>
      <c r="K13" s="523">
        <f>IFERROR(VLOOKUP($A13,'PP DS Query'!$C$1:$R$1005,11,FALSE),0)</f>
        <v>27.5</v>
      </c>
      <c r="L13" s="358">
        <f>IFERROR(VLOOKUP($A13,'PP DS Query'!$C$1:$R$1005,12,FALSE),0)</f>
        <v>153813778.25</v>
      </c>
      <c r="M13" s="19">
        <f>IFERROR(VLOOKUP($A13,'PP DS Query'!$C$1:$R$1005,13,FALSE),0)</f>
        <v>0.31064330000000001</v>
      </c>
      <c r="N13" s="358">
        <f>IFERROR(VLOOKUP($A13,'PP DS Query'!$C$1:$R$1005,14,FALSE),0)</f>
        <v>1737498.9</v>
      </c>
      <c r="O13" s="56">
        <f>IFERROR(VLOOKUP($A13,'PP DS Query'!$C$1:$R$1005,4,FALSE),0)</f>
        <v>-0.02</v>
      </c>
      <c r="P13" s="358">
        <f>-IFERROR(VLOOKUP($A13,'PP DS Query'!$C$1:$R$1005,15,FALSE),0)</f>
        <v>111864.57</v>
      </c>
      <c r="Q13" s="358">
        <f>IFERROR(VLOOKUP($A13,'PP DS Query'!$C$1:$R$1005,16,FALSE),0)</f>
        <v>1623861.03</v>
      </c>
      <c r="R13" s="48"/>
      <c r="S13" s="472">
        <f>IFERROR(ROUND(LEFT(A13,7)*100,0),0)</f>
        <v>34184</v>
      </c>
      <c r="T13" s="472" t="s">
        <v>962</v>
      </c>
      <c r="U13" s="474">
        <f>IFERROR(VLOOKUP($S13,#REF!,6,FALSE),0)</f>
        <v>0</v>
      </c>
      <c r="V13" s="473">
        <f>U13-F13</f>
        <v>-5593228.2999999998</v>
      </c>
    </row>
    <row r="14" spans="1:22" ht="15.95" customHeight="1" x14ac:dyDescent="0.2">
      <c r="A14" s="396" t="s">
        <v>1065</v>
      </c>
      <c r="B14" s="499">
        <f>IFERROR(VLOOKUP($A14,'PP DS Query'!$C$1:$R$1005,5,FALSE),0)</f>
        <v>2047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140570.43</v>
      </c>
      <c r="G14" s="523">
        <f>IFERROR(VLOOKUP($A14,'PP DS Query'!$C$1:$R$1005,7,FALSE),0)</f>
        <v>12.5</v>
      </c>
      <c r="H14" s="358">
        <f>IFERROR(VLOOKUP($A14,'PP DS Query'!$C$1:$R$1005,8,FALSE),0)</f>
        <v>1757130.38</v>
      </c>
      <c r="I14" s="523">
        <f>IFERROR(VLOOKUP($A14,'PP DS Query'!$C$1:$R$1005,9,FALSE),0)</f>
        <v>30</v>
      </c>
      <c r="J14" s="358">
        <f>IFERROR(VLOOKUP($A14,'PP DS Query'!$C$1:$R$1005,10,FALSE),0)</f>
        <v>4217112.9000000004</v>
      </c>
      <c r="K14" s="523">
        <f>IFERROR(VLOOKUP($A14,'PP DS Query'!$C$1:$R$1005,11,FALSE),0)</f>
        <v>17.456125</v>
      </c>
      <c r="L14" s="358">
        <f>IFERROR(VLOOKUP($A14,'PP DS Query'!$C$1:$R$1005,12,FALSE),0)</f>
        <v>2453815</v>
      </c>
      <c r="M14" s="19">
        <f>IFERROR(VLOOKUP($A14,'PP DS Query'!$C$1:$R$1005,13,FALSE),0)</f>
        <v>0.42649176</v>
      </c>
      <c r="N14" s="358">
        <f>IFERROR(VLOOKUP($A14,'PP DS Query'!$C$1:$R$1005,14,FALSE),0)</f>
        <v>59952.13</v>
      </c>
      <c r="O14" s="56">
        <f>IFERROR(VLOOKUP($A14,'PP DS Query'!$C$1:$R$1005,4,FALSE),0)</f>
        <v>-0.02</v>
      </c>
      <c r="P14" s="358">
        <f>-IFERROR(VLOOKUP($A14,'PP DS Query'!$C$1:$R$1005,15,FALSE),0)</f>
        <v>2811.41</v>
      </c>
      <c r="Q14" s="358">
        <f>IFERROR(VLOOKUP($A14,'PP DS Query'!$C$1:$R$1005,16,FALSE),0)</f>
        <v>56031.07</v>
      </c>
      <c r="R14" s="48"/>
      <c r="S14" s="472">
        <f t="shared" ref="S14:S16" si="0">IFERROR(ROUND(LEFT(A14,7)*100,0),0)</f>
        <v>34184</v>
      </c>
      <c r="T14" s="472" t="s">
        <v>963</v>
      </c>
      <c r="U14" s="474">
        <f>IFERROR(VLOOKUP($S14,#REF!,7,FALSE),0)</f>
        <v>0</v>
      </c>
      <c r="V14" s="473">
        <f t="shared" ref="V14:V16" si="1">U14-F14</f>
        <v>-140570.43</v>
      </c>
    </row>
    <row r="15" spans="1:22" ht="15.95" customHeight="1" x14ac:dyDescent="0.2">
      <c r="A15" s="396" t="s">
        <v>1071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523">
        <f>IFERROR(VLOOKUP($A15,'PP DS Query'!$C$1:$R$1005,7,FALSE),0)</f>
        <v>0</v>
      </c>
      <c r="H15" s="358">
        <f>IFERROR(VLOOKUP($A15,'PP DS Query'!$C$1:$R$1005,8,FALSE),0)</f>
        <v>0</v>
      </c>
      <c r="I15" s="523">
        <f>IFERROR(VLOOKUP($A15,'PP DS Query'!$C$1:$R$1005,9,FALSE),0)</f>
        <v>0</v>
      </c>
      <c r="J15" s="358">
        <f>IFERROR(VLOOKUP($A15,'PP DS Query'!$C$1:$R$1005,10,FALSE),0)</f>
        <v>0</v>
      </c>
      <c r="K15" s="523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34184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1072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34184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641</v>
      </c>
      <c r="B17" s="499">
        <f>IFERROR(VLOOKUP($A17,'PP DS Query'!$C$1:$R$1005,5,FALSE),0)</f>
        <v>2047</v>
      </c>
      <c r="C17" s="33"/>
      <c r="D17" s="34"/>
      <c r="E17" s="15"/>
      <c r="F17" s="443">
        <f>IFERROR(VLOOKUP($A17,'PP DS Query'!$C$1:$R$1005,6,FALSE),0)</f>
        <v>5811519.6500000004</v>
      </c>
      <c r="G17" s="525">
        <f>IFERROR(VLOOKUP($A17,'PP DS Query'!$C$1:$R$1005,7,FALSE),0)</f>
        <v>12.016962769798084</v>
      </c>
      <c r="H17" s="443">
        <f>IFERROR(VLOOKUP($A17,'PP DS Query'!$C$1:$R$1005,8,FALSE),0)</f>
        <v>69836815.269999996</v>
      </c>
      <c r="I17" s="525">
        <f>IFERROR(VLOOKUP($A17,'PP DS Query'!$C$1:$R$1005,9,FALSE),0)</f>
        <v>38.780452180007678</v>
      </c>
      <c r="J17" s="443">
        <f>IFERROR(VLOOKUP($A17,'PP DS Query'!$C$1:$R$1005,10,FALSE),0)</f>
        <v>225373359.88</v>
      </c>
      <c r="K17" s="525">
        <f>IFERROR(VLOOKUP($A17,'PP DS Query'!$C$1:$R$1005,11,FALSE),0)</f>
        <v>26.889282435791127</v>
      </c>
      <c r="L17" s="443">
        <f>IFERROR(VLOOKUP($A17,'PP DS Query'!$C$1:$R$1005,12,FALSE),0)</f>
        <v>156267593.25</v>
      </c>
      <c r="M17" s="445">
        <f>IFERROR(VLOOKUP($A17,'PP DS Query'!$C$1:$R$1005,13,FALSE),0)</f>
        <v>0.30929105264231527</v>
      </c>
      <c r="N17" s="443">
        <f>IFERROR(VLOOKUP($A17,'PP DS Query'!$C$1:$R$1005,14,FALSE),0)</f>
        <v>1797451.0299999998</v>
      </c>
      <c r="O17" s="446">
        <f>IFERROR(VLOOKUP($A17,'PP DS Query'!$C$1:$R$1005,4,FALSE),0)</f>
        <v>-0.02</v>
      </c>
      <c r="P17" s="443">
        <f>-IFERROR(VLOOKUP($A17,'PP DS Query'!$C$1:$R$1005,15,FALSE),0)</f>
        <v>114675.98000000001</v>
      </c>
      <c r="Q17" s="443">
        <f>IFERROR(VLOOKUP($A17,'PP DS Query'!$C$1:$R$1005,16,FALSE),0)</f>
        <v>1679892.1</v>
      </c>
      <c r="R17" s="48"/>
      <c r="U17" s="473">
        <f>SUM(U13:U16)</f>
        <v>0</v>
      </c>
      <c r="V17" s="473">
        <f>SUM(V13:V16)</f>
        <v>-5733798.7299999995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1283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659</v>
      </c>
      <c r="B20" s="499">
        <f>IFERROR(VLOOKUP($A20,'PP DS Query'!$C$1:$R$1005,5,FALSE),0)</f>
        <v>2057</v>
      </c>
      <c r="C20" s="33">
        <f>IFERROR(VLOOKUP($A20,'PP DS Query'!$C$1:$R$1005,3,FALSE),0)</f>
        <v>50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1671908.7</v>
      </c>
      <c r="G20" s="523">
        <f>IFERROR(VLOOKUP($A20,'PP DS Query'!$C$1:$R$1005,7,FALSE),0)</f>
        <v>11.430922860000001</v>
      </c>
      <c r="H20" s="358">
        <f>IFERROR(VLOOKUP($A20,'PP DS Query'!$C$1:$R$1005,8,FALSE),0)</f>
        <v>19111459.379999999</v>
      </c>
      <c r="I20" s="523">
        <f>IFERROR(VLOOKUP($A20,'PP DS Query'!$C$1:$R$1005,9,FALSE),0)</f>
        <v>48.71</v>
      </c>
      <c r="J20" s="358">
        <f>IFERROR(VLOOKUP($A20,'PP DS Query'!$C$1:$R$1005,10,FALSE),0)</f>
        <v>81438672.780000001</v>
      </c>
      <c r="K20" s="523">
        <f>IFERROR(VLOOKUP($A20,'PP DS Query'!$C$1:$R$1005,11,FALSE),0)</f>
        <v>37.5</v>
      </c>
      <c r="L20" s="358">
        <f>IFERROR(VLOOKUP($A20,'PP DS Query'!$C$1:$R$1005,12,FALSE),0)</f>
        <v>62696576.25</v>
      </c>
      <c r="M20" s="19">
        <f>IFERROR(VLOOKUP($A20,'PP DS Query'!$C$1:$R$1005,13,FALSE),0)</f>
        <v>0.24162032999999999</v>
      </c>
      <c r="N20" s="358">
        <f>IFERROR(VLOOKUP($A20,'PP DS Query'!$C$1:$R$1005,14,FALSE),0)</f>
        <v>403967.13</v>
      </c>
      <c r="O20" s="56">
        <f>IFERROR(VLOOKUP($A20,'PP DS Query'!$C$1:$R$1005,4,FALSE),0)</f>
        <v>-0.05</v>
      </c>
      <c r="P20" s="358">
        <f>-IFERROR(VLOOKUP($A20,'PP DS Query'!$C$1:$R$1005,15,FALSE),0)</f>
        <v>83595.44</v>
      </c>
      <c r="Q20" s="358">
        <f>IFERROR(VLOOKUP($A20,'PP DS Query'!$C$1:$R$1005,16,FALSE),0)</f>
        <v>210352.22</v>
      </c>
      <c r="R20" s="48"/>
      <c r="S20" s="472">
        <f>IFERROR(ROUND(LEFT(A20,7)*100,0),0)</f>
        <v>34284</v>
      </c>
      <c r="T20" s="472" t="s">
        <v>962</v>
      </c>
      <c r="U20" s="474">
        <f>IFERROR(VLOOKUP($S20,#REF!,6,FALSE),0)</f>
        <v>0</v>
      </c>
      <c r="V20" s="473">
        <f>U20-F20</f>
        <v>-1671908.7</v>
      </c>
    </row>
    <row r="21" spans="1:22" ht="15.95" customHeight="1" x14ac:dyDescent="0.2">
      <c r="A21" s="49" t="s">
        <v>660</v>
      </c>
      <c r="B21" s="499">
        <f>IFERROR(VLOOKUP($A21,'PP DS Query'!$C$1:$R$1005,5,FALSE),0)</f>
        <v>2057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42908.53</v>
      </c>
      <c r="G21" s="523">
        <f>IFERROR(VLOOKUP($A21,'PP DS Query'!$C$1:$R$1005,7,FALSE),0)</f>
        <v>2.5</v>
      </c>
      <c r="H21" s="358">
        <f>IFERROR(VLOOKUP($A21,'PP DS Query'!$C$1:$R$1005,8,FALSE),0)</f>
        <v>107271.33</v>
      </c>
      <c r="I21" s="523">
        <f>IFERROR(VLOOKUP($A21,'PP DS Query'!$C$1:$R$1005,9,FALSE),0)</f>
        <v>30</v>
      </c>
      <c r="J21" s="358">
        <f>IFERROR(VLOOKUP($A21,'PP DS Query'!$C$1:$R$1005,10,FALSE),0)</f>
        <v>1287255.8999999999</v>
      </c>
      <c r="K21" s="523">
        <f>IFERROR(VLOOKUP($A21,'PP DS Query'!$C$1:$R$1005,11,FALSE),0)</f>
        <v>27.454346000000001</v>
      </c>
      <c r="L21" s="358">
        <f>IFERROR(VLOOKUP($A21,'PP DS Query'!$C$1:$R$1005,12,FALSE),0)</f>
        <v>1178025.6299999999</v>
      </c>
      <c r="M21" s="19">
        <f>IFERROR(VLOOKUP($A21,'PP DS Query'!$C$1:$R$1005,13,FALSE),0)</f>
        <v>8.9097899999999994E-2</v>
      </c>
      <c r="N21" s="358">
        <f>IFERROR(VLOOKUP($A21,'PP DS Query'!$C$1:$R$1005,14,FALSE),0)</f>
        <v>3823.06</v>
      </c>
      <c r="O21" s="56">
        <f>IFERROR(VLOOKUP($A21,'PP DS Query'!$C$1:$R$1005,4,FALSE),0)</f>
        <v>-0.05</v>
      </c>
      <c r="P21" s="358">
        <f>-IFERROR(VLOOKUP($A21,'PP DS Query'!$C$1:$R$1005,15,FALSE),0)</f>
        <v>2145.4299999999998</v>
      </c>
      <c r="Q21" s="358">
        <f>IFERROR(VLOOKUP($A21,'PP DS Query'!$C$1:$R$1005,16,FALSE),0)</f>
        <v>1990.73</v>
      </c>
      <c r="R21" s="48"/>
      <c r="S21" s="472">
        <f t="shared" ref="S21:S23" si="2">IFERROR(ROUND(LEFT(A21,7)*100,0),0)</f>
        <v>34284</v>
      </c>
      <c r="T21" s="472" t="s">
        <v>963</v>
      </c>
      <c r="U21" s="474">
        <f>IFERROR(VLOOKUP($S21,#REF!,7,FALSE),0)</f>
        <v>0</v>
      </c>
      <c r="V21" s="473">
        <f t="shared" ref="V21:V23" si="3">U21-F21</f>
        <v>-42908.53</v>
      </c>
    </row>
    <row r="22" spans="1:22" s="40" customFormat="1" ht="15.95" customHeight="1" x14ac:dyDescent="0.2">
      <c r="A22" s="60" t="s">
        <v>661</v>
      </c>
      <c r="B22" s="499">
        <f>IFERROR(VLOOKUP($A22,'PP DS Query'!$C$1:$R$1005,5,FALSE),0)</f>
        <v>2057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452610.59</v>
      </c>
      <c r="G22" s="523">
        <f>IFERROR(VLOOKUP($A22,'PP DS Query'!$C$1:$R$1005,7,FALSE),0)</f>
        <v>7.9206652599999998</v>
      </c>
      <c r="H22" s="358">
        <f>IFERROR(VLOOKUP($A22,'PP DS Query'!$C$1:$R$1005,8,FALSE),0)</f>
        <v>3584976.98</v>
      </c>
      <c r="I22" s="523">
        <f>IFERROR(VLOOKUP($A22,'PP DS Query'!$C$1:$R$1005,9,FALSE),0)</f>
        <v>20</v>
      </c>
      <c r="J22" s="358">
        <f>IFERROR(VLOOKUP($A22,'PP DS Query'!$C$1:$R$1005,10,FALSE),0)</f>
        <v>9052211.8000000007</v>
      </c>
      <c r="K22" s="523">
        <f>IFERROR(VLOOKUP($A22,'PP DS Query'!$C$1:$R$1005,11,FALSE),0)</f>
        <v>12.425387000000001</v>
      </c>
      <c r="L22" s="358">
        <f>IFERROR(VLOOKUP($A22,'PP DS Query'!$C$1:$R$1005,12,FALSE),0)</f>
        <v>5623861.7400000002</v>
      </c>
      <c r="M22" s="19">
        <f>IFERROR(VLOOKUP($A22,'PP DS Query'!$C$1:$R$1005,13,FALSE),0)</f>
        <v>0.39766720999999999</v>
      </c>
      <c r="N22" s="358">
        <f>IFERROR(VLOOKUP($A22,'PP DS Query'!$C$1:$R$1005,14,FALSE),0)</f>
        <v>179988.39</v>
      </c>
      <c r="O22" s="56">
        <f>IFERROR(VLOOKUP($A22,'PP DS Query'!$C$1:$R$1005,4,FALSE),0)</f>
        <v>-0.05</v>
      </c>
      <c r="P22" s="358">
        <f>-IFERROR(VLOOKUP($A22,'PP DS Query'!$C$1:$R$1005,15,FALSE),0)</f>
        <v>22630.53</v>
      </c>
      <c r="Q22" s="358">
        <f>IFERROR(VLOOKUP($A22,'PP DS Query'!$C$1:$R$1005,16,FALSE),0)</f>
        <v>93722.86</v>
      </c>
      <c r="R22" s="48"/>
      <c r="S22" s="472">
        <f t="shared" si="2"/>
        <v>34284</v>
      </c>
      <c r="T22" s="472" t="s">
        <v>964</v>
      </c>
      <c r="U22" s="474">
        <f>IFERROR(VLOOKUP($S22,#REF!,8,FALSE),0)</f>
        <v>0</v>
      </c>
      <c r="V22" s="473">
        <f t="shared" si="3"/>
        <v>-452610.59</v>
      </c>
    </row>
    <row r="23" spans="1:22" ht="15.95" customHeight="1" thickBot="1" x14ac:dyDescent="0.25">
      <c r="A23" s="398" t="s">
        <v>891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34284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662</v>
      </c>
      <c r="B24" s="499">
        <f>IFERROR(VLOOKUP($A24,'PP DS Query'!$C$1:$R$1005,5,FALSE),0)</f>
        <v>2057</v>
      </c>
      <c r="C24" s="33"/>
      <c r="D24" s="34"/>
      <c r="E24" s="15"/>
      <c r="F24" s="443">
        <f>IFERROR(VLOOKUP($A24,'PP DS Query'!$C$1:$R$1005,6,FALSE),0)</f>
        <v>2167427.8199999998</v>
      </c>
      <c r="G24" s="525">
        <f>IFERROR(VLOOKUP($A24,'PP DS Query'!$C$1:$R$1005,7,FALSE),0)</f>
        <v>10.521092080000001</v>
      </c>
      <c r="H24" s="443">
        <f>IFERROR(VLOOKUP($A24,'PP DS Query'!$C$1:$R$1005,8,FALSE),0)</f>
        <v>22803707.68</v>
      </c>
      <c r="I24" s="525">
        <f>IFERROR(VLOOKUP($A24,'PP DS Query'!$C$1:$R$1005,9,FALSE),0)</f>
        <v>42.344266150000003</v>
      </c>
      <c r="J24" s="443">
        <f>IFERROR(VLOOKUP($A24,'PP DS Query'!$C$1:$R$1005,10,FALSE),0)</f>
        <v>91778140.480000004</v>
      </c>
      <c r="K24" s="525">
        <f>IFERROR(VLOOKUP($A24,'PP DS Query'!$C$1:$R$1005,11,FALSE),0)</f>
        <v>32.064949509999998</v>
      </c>
      <c r="L24" s="443">
        <f>IFERROR(VLOOKUP($A24,'PP DS Query'!$C$1:$R$1005,12,FALSE),0)</f>
        <v>69498463.620000005</v>
      </c>
      <c r="M24" s="445">
        <f>IFERROR(VLOOKUP($A24,'PP DS Query'!$C$1:$R$1005,13,FALSE),0)</f>
        <v>0.27118714999999999</v>
      </c>
      <c r="N24" s="443">
        <f>IFERROR(VLOOKUP($A24,'PP DS Query'!$C$1:$R$1005,14,FALSE),0)</f>
        <v>587778.57999999996</v>
      </c>
      <c r="O24" s="446">
        <f>IFERROR(VLOOKUP($A24,'PP DS Query'!$C$1:$R$1005,4,FALSE),0)</f>
        <v>-0.05</v>
      </c>
      <c r="P24" s="443">
        <f>-IFERROR(VLOOKUP($A24,'PP DS Query'!$C$1:$R$1005,15,FALSE),0)</f>
        <v>108371.39</v>
      </c>
      <c r="Q24" s="443">
        <f>IFERROR(VLOOKUP($A24,'PP DS Query'!$C$1:$R$1005,16,FALSE),0)</f>
        <v>306065.81</v>
      </c>
      <c r="R24" s="48"/>
      <c r="U24" s="473">
        <f>SUM(U20:U23)</f>
        <v>0</v>
      </c>
      <c r="V24" s="473">
        <f>SUM(V20:V23)</f>
        <v>-2167427.8199999998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1284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685</v>
      </c>
      <c r="B27" s="499">
        <f>IFERROR(VLOOKUP($A27,'PP DS Query'!$C$1:$R$1005,5,FALSE),0)</f>
        <v>2047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5299637.21</v>
      </c>
      <c r="G27" s="523">
        <f>IFERROR(VLOOKUP($A27,'PP DS Query'!$C$1:$R$1005,7,FALSE),0)</f>
        <v>11.675164860000001</v>
      </c>
      <c r="H27" s="358">
        <f>IFERROR(VLOOKUP($A27,'PP DS Query'!$C$1:$R$1005,8,FALSE),0)</f>
        <v>61874138.130000003</v>
      </c>
      <c r="I27" s="523">
        <f>IFERROR(VLOOKUP($A27,'PP DS Query'!$C$1:$R$1005,9,FALSE),0)</f>
        <v>39.130000000000003</v>
      </c>
      <c r="J27" s="358">
        <f>IFERROR(VLOOKUP($A27,'PP DS Query'!$C$1:$R$1005,10,FALSE),0)</f>
        <v>207374804.03</v>
      </c>
      <c r="K27" s="523">
        <f>IFERROR(VLOOKUP($A27,'PP DS Query'!$C$1:$R$1005,11,FALSE),0)</f>
        <v>27.5</v>
      </c>
      <c r="L27" s="358">
        <f>IFERROR(VLOOKUP($A27,'PP DS Query'!$C$1:$R$1005,12,FALSE),0)</f>
        <v>145740023.28</v>
      </c>
      <c r="M27" s="19">
        <f>IFERROR(VLOOKUP($A27,'PP DS Query'!$C$1:$R$1005,13,FALSE),0)</f>
        <v>0.31797583000000001</v>
      </c>
      <c r="N27" s="358">
        <f>IFERROR(VLOOKUP($A27,'PP DS Query'!$C$1:$R$1005,14,FALSE),0)</f>
        <v>1685156.53</v>
      </c>
      <c r="O27" s="56">
        <f>IFERROR(VLOOKUP($A27,'PP DS Query'!$C$1:$R$1005,4,FALSE),0)</f>
        <v>-7.0000000000000007E-2</v>
      </c>
      <c r="P27" s="358">
        <f>-IFERROR(VLOOKUP($A27,'PP DS Query'!$C$1:$R$1005,15,FALSE),0)</f>
        <v>370974.6</v>
      </c>
      <c r="Q27" s="358">
        <f>IFERROR(VLOOKUP($A27,'PP DS Query'!$C$1:$R$1005,16,FALSE),0)</f>
        <v>551682.43000000005</v>
      </c>
      <c r="R27" s="48"/>
      <c r="S27" s="472">
        <f>IFERROR(ROUND(LEFT(A27,7)*100,0),0)</f>
        <v>34384</v>
      </c>
      <c r="T27" s="472" t="s">
        <v>962</v>
      </c>
      <c r="U27" s="474">
        <f>IFERROR(VLOOKUP($S27,#REF!,6,FALSE),0)</f>
        <v>0</v>
      </c>
      <c r="V27" s="473">
        <f>U27-F27</f>
        <v>-5299637.21</v>
      </c>
    </row>
    <row r="28" spans="1:22" ht="15.95" customHeight="1" x14ac:dyDescent="0.2">
      <c r="A28" s="49" t="s">
        <v>686</v>
      </c>
      <c r="B28" s="499">
        <f>IFERROR(VLOOKUP($A28,'PP DS Query'!$C$1:$R$1005,5,FALSE),0)</f>
        <v>2047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15099862.970000001</v>
      </c>
      <c r="G28" s="523">
        <f>IFERROR(VLOOKUP($A28,'PP DS Query'!$C$1:$R$1005,7,FALSE),0)</f>
        <v>11.559423199999999</v>
      </c>
      <c r="H28" s="358">
        <f>IFERROR(VLOOKUP($A28,'PP DS Query'!$C$1:$R$1005,8,FALSE),0)</f>
        <v>174545706.31</v>
      </c>
      <c r="I28" s="523">
        <f>IFERROR(VLOOKUP($A28,'PP DS Query'!$C$1:$R$1005,9,FALSE),0)</f>
        <v>29.93</v>
      </c>
      <c r="J28" s="358">
        <f>IFERROR(VLOOKUP($A28,'PP DS Query'!$C$1:$R$1005,10,FALSE),0)</f>
        <v>451938898.69</v>
      </c>
      <c r="K28" s="523">
        <f>IFERROR(VLOOKUP($A28,'PP DS Query'!$C$1:$R$1005,11,FALSE),0)</f>
        <v>18.300511</v>
      </c>
      <c r="L28" s="358">
        <f>IFERROR(VLOOKUP($A28,'PP DS Query'!$C$1:$R$1005,12,FALSE),0)</f>
        <v>276335208.38</v>
      </c>
      <c r="M28" s="19">
        <f>IFERROR(VLOOKUP($A28,'PP DS Query'!$C$1:$R$1005,13,FALSE),0)</f>
        <v>0.41581991000000001</v>
      </c>
      <c r="N28" s="358">
        <f>IFERROR(VLOOKUP($A28,'PP DS Query'!$C$1:$R$1005,14,FALSE),0)</f>
        <v>6278823.7300000004</v>
      </c>
      <c r="O28" s="56">
        <f>IFERROR(VLOOKUP($A28,'PP DS Query'!$C$1:$R$1005,4,FALSE),0)</f>
        <v>-7.0000000000000007E-2</v>
      </c>
      <c r="P28" s="358">
        <f>-IFERROR(VLOOKUP($A28,'PP DS Query'!$C$1:$R$1005,15,FALSE),0)</f>
        <v>1056990.4099999999</v>
      </c>
      <c r="Q28" s="358">
        <f>IFERROR(VLOOKUP($A28,'PP DS Query'!$C$1:$R$1005,16,FALSE),0)</f>
        <v>2055545.99</v>
      </c>
      <c r="R28" s="48"/>
      <c r="S28" s="472">
        <f t="shared" ref="S28:S30" si="4">IFERROR(ROUND(LEFT(A28,7)*100,0),0)</f>
        <v>34384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-15099862.970000001</v>
      </c>
    </row>
    <row r="29" spans="1:22" s="40" customFormat="1" ht="15.95" customHeight="1" x14ac:dyDescent="0.2">
      <c r="A29" s="60" t="s">
        <v>687</v>
      </c>
      <c r="B29" s="499">
        <f>IFERROR(VLOOKUP($A29,'PP DS Query'!$C$1:$R$1005,5,FALSE),0)</f>
        <v>2047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1062662.27</v>
      </c>
      <c r="G29" s="523">
        <f>IFERROR(VLOOKUP($A29,'PP DS Query'!$C$1:$R$1005,7,FALSE),0)</f>
        <v>11.929520500000001</v>
      </c>
      <c r="H29" s="358">
        <f>IFERROR(VLOOKUP($A29,'PP DS Query'!$C$1:$R$1005,8,FALSE),0)</f>
        <v>12677051.33</v>
      </c>
      <c r="I29" s="523">
        <f>IFERROR(VLOOKUP($A29,'PP DS Query'!$C$1:$R$1005,9,FALSE),0)</f>
        <v>20</v>
      </c>
      <c r="J29" s="358">
        <f>IFERROR(VLOOKUP($A29,'PP DS Query'!$C$1:$R$1005,10,FALSE),0)</f>
        <v>21253245.399999999</v>
      </c>
      <c r="K29" s="523">
        <f>IFERROR(VLOOKUP($A29,'PP DS Query'!$C$1:$R$1005,11,FALSE),0)</f>
        <v>8.6676660000000005</v>
      </c>
      <c r="L29" s="358">
        <f>IFERROR(VLOOKUP($A29,'PP DS Query'!$C$1:$R$1005,12,FALSE),0)</f>
        <v>9210801.6300000008</v>
      </c>
      <c r="M29" s="19">
        <f>IFERROR(VLOOKUP($A29,'PP DS Query'!$C$1:$R$1005,13,FALSE),0)</f>
        <v>0.60627984999999995</v>
      </c>
      <c r="N29" s="358">
        <f>IFERROR(VLOOKUP($A29,'PP DS Query'!$C$1:$R$1005,14,FALSE),0)</f>
        <v>644270.72</v>
      </c>
      <c r="O29" s="56">
        <f>IFERROR(VLOOKUP($A29,'PP DS Query'!$C$1:$R$1005,4,FALSE),0)</f>
        <v>-7.0000000000000007E-2</v>
      </c>
      <c r="P29" s="358">
        <f>-IFERROR(VLOOKUP($A29,'PP DS Query'!$C$1:$R$1005,15,FALSE),0)</f>
        <v>74386.36</v>
      </c>
      <c r="Q29" s="358">
        <f>IFERROR(VLOOKUP($A29,'PP DS Query'!$C$1:$R$1005,16,FALSE),0)</f>
        <v>210919.78</v>
      </c>
      <c r="R29" s="48"/>
      <c r="S29" s="472">
        <f t="shared" si="4"/>
        <v>34384</v>
      </c>
      <c r="T29" s="472" t="s">
        <v>964</v>
      </c>
      <c r="U29" s="474">
        <f>IFERROR(VLOOKUP($S29,#REF!,8,FALSE),0)</f>
        <v>0</v>
      </c>
      <c r="V29" s="473">
        <f t="shared" si="5"/>
        <v>-1062662.27</v>
      </c>
    </row>
    <row r="30" spans="1:22" ht="15.95" customHeight="1" thickBot="1" x14ac:dyDescent="0.25">
      <c r="A30" s="398" t="s">
        <v>892</v>
      </c>
      <c r="B30" s="499">
        <f>IFERROR(VLOOKUP($A30,'PP DS Query'!$C$1:$R$1005,5,FALSE),0)</f>
        <v>2047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571112.97</v>
      </c>
      <c r="G30" s="524">
        <f>IFERROR(VLOOKUP($A30,'PP DS Query'!$C$1:$R$1005,7,FALSE),0)</f>
        <v>3.5</v>
      </c>
      <c r="H30" s="250">
        <f>IFERROR(VLOOKUP($A30,'PP DS Query'!$C$1:$R$1005,8,FALSE),0)</f>
        <v>1998895.4</v>
      </c>
      <c r="I30" s="524">
        <f>IFERROR(VLOOKUP($A30,'PP DS Query'!$C$1:$R$1005,9,FALSE),0)</f>
        <v>12</v>
      </c>
      <c r="J30" s="250">
        <f>IFERROR(VLOOKUP($A30,'PP DS Query'!$C$1:$R$1005,10,FALSE),0)</f>
        <v>6853355.6399999997</v>
      </c>
      <c r="K30" s="524">
        <f>IFERROR(VLOOKUP($A30,'PP DS Query'!$C$1:$R$1005,11,FALSE),0)</f>
        <v>8.5</v>
      </c>
      <c r="L30" s="250">
        <f>IFERROR(VLOOKUP($A30,'PP DS Query'!$C$1:$R$1005,12,FALSE),0)</f>
        <v>4854460.25</v>
      </c>
      <c r="M30" s="21">
        <f>IFERROR(VLOOKUP($A30,'PP DS Query'!$C$1:$R$1005,13,FALSE),0)</f>
        <v>0.31208332999999999</v>
      </c>
      <c r="N30" s="250">
        <f>IFERROR(VLOOKUP($A30,'PP DS Query'!$C$1:$R$1005,14,FALSE),0)</f>
        <v>178234.84</v>
      </c>
      <c r="O30" s="57">
        <f>IFERROR(VLOOKUP($A30,'PP DS Query'!$C$1:$R$1005,4,FALSE),0)</f>
        <v>-7.0000000000000007E-2</v>
      </c>
      <c r="P30" s="250">
        <f>-IFERROR(VLOOKUP($A30,'PP DS Query'!$C$1:$R$1005,15,FALSE),0)</f>
        <v>39977.910000000003</v>
      </c>
      <c r="Q30" s="250">
        <f>IFERROR(VLOOKUP($A30,'PP DS Query'!$C$1:$R$1005,16,FALSE),0)</f>
        <v>58350.09</v>
      </c>
      <c r="R30" s="48"/>
      <c r="S30" s="472">
        <f t="shared" si="4"/>
        <v>34384</v>
      </c>
      <c r="T30" s="472" t="s">
        <v>961</v>
      </c>
      <c r="U30" s="475">
        <f>IFERROR(VLOOKUP($S30,#REF!,9,FALSE),0)</f>
        <v>0</v>
      </c>
      <c r="V30" s="476">
        <f t="shared" si="5"/>
        <v>-571112.97</v>
      </c>
    </row>
    <row r="31" spans="1:22" ht="15.95" customHeight="1" x14ac:dyDescent="0.2">
      <c r="A31" s="49" t="s">
        <v>688</v>
      </c>
      <c r="B31" s="499">
        <f>IFERROR(VLOOKUP($A31,'PP DS Query'!$C$1:$R$1005,5,FALSE),0)</f>
        <v>2047</v>
      </c>
      <c r="C31" s="33"/>
      <c r="D31" s="34"/>
      <c r="E31" s="15"/>
      <c r="F31" s="443">
        <f>IFERROR(VLOOKUP($A31,'PP DS Query'!$C$1:$R$1005,6,FALSE),0)</f>
        <v>22033275.420000002</v>
      </c>
      <c r="G31" s="525">
        <f>IFERROR(VLOOKUP($A31,'PP DS Query'!$C$1:$R$1005,7,FALSE),0)</f>
        <v>11.39620807</v>
      </c>
      <c r="H31" s="443">
        <f>IFERROR(VLOOKUP($A31,'PP DS Query'!$C$1:$R$1005,8,FALSE),0)</f>
        <v>251095791.16</v>
      </c>
      <c r="I31" s="525">
        <f>IFERROR(VLOOKUP($A31,'PP DS Query'!$C$1:$R$1005,9,FALSE),0)</f>
        <v>31.199188079999999</v>
      </c>
      <c r="J31" s="443">
        <f>IFERROR(VLOOKUP($A31,'PP DS Query'!$C$1:$R$1005,10,FALSE),0)</f>
        <v>687420303.75999999</v>
      </c>
      <c r="K31" s="525">
        <f>IFERROR(VLOOKUP($A31,'PP DS Query'!$C$1:$R$1005,11,FALSE),0)</f>
        <v>19.79462813</v>
      </c>
      <c r="L31" s="443">
        <f>IFERROR(VLOOKUP($A31,'PP DS Query'!$C$1:$R$1005,12,FALSE),0)</f>
        <v>436140493.52999997</v>
      </c>
      <c r="M31" s="445">
        <f>IFERROR(VLOOKUP($A31,'PP DS Query'!$C$1:$R$1005,13,FALSE),0)</f>
        <v>0.39878255000000001</v>
      </c>
      <c r="N31" s="443">
        <f>IFERROR(VLOOKUP($A31,'PP DS Query'!$C$1:$R$1005,14,FALSE),0)</f>
        <v>8786485.8200000003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1542329.28</v>
      </c>
      <c r="Q31" s="443">
        <f>IFERROR(VLOOKUP($A31,'PP DS Query'!$C$1:$R$1005,16,FALSE),0)</f>
        <v>2876498.29</v>
      </c>
      <c r="R31" s="48"/>
      <c r="U31" s="473">
        <f>SUM(U27:U30)</f>
        <v>0</v>
      </c>
      <c r="V31" s="473">
        <f>SUM(V27:V30)</f>
        <v>-22033275.419999998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1285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709</v>
      </c>
      <c r="B34" s="499">
        <f>IFERROR(VLOOKUP($A34,'PP DS Query'!$C$1:$R$1005,5,FALSE),0)</f>
        <v>2047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2910866.65</v>
      </c>
      <c r="G34" s="523">
        <f>IFERROR(VLOOKUP($A34,'PP DS Query'!$C$1:$R$1005,7,FALSE),0)</f>
        <v>12.5</v>
      </c>
      <c r="H34" s="358">
        <f>IFERROR(VLOOKUP($A34,'PP DS Query'!$C$1:$R$1005,8,FALSE),0)</f>
        <v>36385833.130000003</v>
      </c>
      <c r="I34" s="523">
        <f>IFERROR(VLOOKUP($A34,'PP DS Query'!$C$1:$R$1005,9,FALSE),0)</f>
        <v>40</v>
      </c>
      <c r="J34" s="358">
        <f>IFERROR(VLOOKUP($A34,'PP DS Query'!$C$1:$R$1005,10,FALSE),0)</f>
        <v>116434666</v>
      </c>
      <c r="K34" s="523">
        <f>IFERROR(VLOOKUP($A34,'PP DS Query'!$C$1:$R$1005,11,FALSE),0)</f>
        <v>27.5</v>
      </c>
      <c r="L34" s="358">
        <f>IFERROR(VLOOKUP($A34,'PP DS Query'!$C$1:$R$1005,12,FALSE),0)</f>
        <v>80048832.879999995</v>
      </c>
      <c r="M34" s="19">
        <f>IFERROR(VLOOKUP($A34,'PP DS Query'!$C$1:$R$1005,13,FALSE),0)</f>
        <v>0.328125</v>
      </c>
      <c r="N34" s="358">
        <f>IFERROR(VLOOKUP($A34,'PP DS Query'!$C$1:$R$1005,14,FALSE),0)</f>
        <v>955128.12</v>
      </c>
      <c r="O34" s="56">
        <f>IFERROR(VLOOKUP($A34,'PP DS Query'!$C$1:$R$1005,4,FALSE),0)</f>
        <v>-0.05</v>
      </c>
      <c r="P34" s="358">
        <f>-IFERROR(VLOOKUP($A34,'PP DS Query'!$C$1:$R$1005,15,FALSE),0)</f>
        <v>145543.32999999999</v>
      </c>
      <c r="Q34" s="358">
        <f>IFERROR(VLOOKUP($A34,'PP DS Query'!$C$1:$R$1005,16,FALSE),0)</f>
        <v>1175096.6599999999</v>
      </c>
      <c r="R34" s="48"/>
      <c r="S34" s="472">
        <f>IFERROR(ROUND(LEFT(A34,7)*100,0),0)</f>
        <v>34584</v>
      </c>
      <c r="T34" s="472" t="s">
        <v>962</v>
      </c>
      <c r="U34" s="474">
        <f>IFERROR(VLOOKUP($S34,#REF!,6,FALSE),0)</f>
        <v>0</v>
      </c>
      <c r="V34" s="473">
        <f>U34-F34</f>
        <v>-2910866.65</v>
      </c>
    </row>
    <row r="35" spans="1:22" ht="15.95" customHeight="1" x14ac:dyDescent="0.2">
      <c r="A35" s="49" t="s">
        <v>710</v>
      </c>
      <c r="B35" s="499">
        <f>IFERROR(VLOOKUP($A35,'PP DS Query'!$C$1:$R$1005,5,FALSE),0)</f>
        <v>2047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2413564.48</v>
      </c>
      <c r="G35" s="523">
        <f>IFERROR(VLOOKUP($A35,'PP DS Query'!$C$1:$R$1005,7,FALSE),0)</f>
        <v>12.125268159999999</v>
      </c>
      <c r="H35" s="358">
        <f>IFERROR(VLOOKUP($A35,'PP DS Query'!$C$1:$R$1005,8,FALSE),0)</f>
        <v>29265116.550000001</v>
      </c>
      <c r="I35" s="523">
        <f>IFERROR(VLOOKUP($A35,'PP DS Query'!$C$1:$R$1005,9,FALSE),0)</f>
        <v>29.93</v>
      </c>
      <c r="J35" s="358">
        <f>IFERROR(VLOOKUP($A35,'PP DS Query'!$C$1:$R$1005,10,FALSE),0)</f>
        <v>72237984.890000001</v>
      </c>
      <c r="K35" s="523">
        <f>IFERROR(VLOOKUP($A35,'PP DS Query'!$C$1:$R$1005,11,FALSE),0)</f>
        <v>17.773423000000001</v>
      </c>
      <c r="L35" s="358">
        <f>IFERROR(VLOOKUP($A35,'PP DS Query'!$C$1:$R$1005,12,FALSE),0)</f>
        <v>42897302.439999998</v>
      </c>
      <c r="M35" s="19">
        <f>IFERROR(VLOOKUP($A35,'PP DS Query'!$C$1:$R$1005,13,FALSE),0)</f>
        <v>0.42639345000000001</v>
      </c>
      <c r="N35" s="358">
        <f>IFERROR(VLOOKUP($A35,'PP DS Query'!$C$1:$R$1005,14,FALSE),0)</f>
        <v>1029128.09</v>
      </c>
      <c r="O35" s="56">
        <f>IFERROR(VLOOKUP($A35,'PP DS Query'!$C$1:$R$1005,4,FALSE),0)</f>
        <v>-0.05</v>
      </c>
      <c r="P35" s="358">
        <f>-IFERROR(VLOOKUP($A35,'PP DS Query'!$C$1:$R$1005,15,FALSE),0)</f>
        <v>120678.22</v>
      </c>
      <c r="Q35" s="358">
        <f>IFERROR(VLOOKUP($A35,'PP DS Query'!$C$1:$R$1005,16,FALSE),0)</f>
        <v>1266139.02</v>
      </c>
      <c r="R35" s="48"/>
      <c r="S35" s="472">
        <f t="shared" ref="S35:S37" si="6">IFERROR(ROUND(LEFT(A35,7)*100,0),0)</f>
        <v>34584</v>
      </c>
      <c r="T35" s="472" t="s">
        <v>963</v>
      </c>
      <c r="U35" s="474">
        <f>IFERROR(VLOOKUP($S35,#REF!,7,FALSE),0)</f>
        <v>0</v>
      </c>
      <c r="V35" s="473">
        <f t="shared" ref="V35:V37" si="7">U35-F35</f>
        <v>-2413564.48</v>
      </c>
    </row>
    <row r="36" spans="1:22" ht="15.95" customHeight="1" x14ac:dyDescent="0.2">
      <c r="A36" s="49" t="s">
        <v>711</v>
      </c>
      <c r="B36" s="499">
        <f>IFERROR(VLOOKUP($A36,'PP DS Query'!$C$1:$R$1005,5,FALSE),0)</f>
        <v>2047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238579.22</v>
      </c>
      <c r="G36" s="523">
        <f>IFERROR(VLOOKUP($A36,'PP DS Query'!$C$1:$R$1005,7,FALSE),0)</f>
        <v>9.7927660700000008</v>
      </c>
      <c r="H36" s="358">
        <f>IFERROR(VLOOKUP($A36,'PP DS Query'!$C$1:$R$1005,8,FALSE),0)</f>
        <v>2336350.4900000002</v>
      </c>
      <c r="I36" s="523">
        <f>IFERROR(VLOOKUP($A36,'PP DS Query'!$C$1:$R$1005,9,FALSE),0)</f>
        <v>20</v>
      </c>
      <c r="J36" s="358">
        <f>IFERROR(VLOOKUP($A36,'PP DS Query'!$C$1:$R$1005,10,FALSE),0)</f>
        <v>4771584.4000000004</v>
      </c>
      <c r="K36" s="523">
        <f>IFERROR(VLOOKUP($A36,'PP DS Query'!$C$1:$R$1005,11,FALSE),0)</f>
        <v>10.676816000000001</v>
      </c>
      <c r="L36" s="358">
        <f>IFERROR(VLOOKUP($A36,'PP DS Query'!$C$1:$R$1005,12,FALSE),0)</f>
        <v>2547266.4300000002</v>
      </c>
      <c r="M36" s="19">
        <f>IFERROR(VLOOKUP($A36,'PP DS Query'!$C$1:$R$1005,13,FALSE),0)</f>
        <v>0.48946719</v>
      </c>
      <c r="N36" s="358">
        <f>IFERROR(VLOOKUP($A36,'PP DS Query'!$C$1:$R$1005,14,FALSE),0)</f>
        <v>116776.7</v>
      </c>
      <c r="O36" s="56">
        <f>IFERROR(VLOOKUP($A36,'PP DS Query'!$C$1:$R$1005,4,FALSE),0)</f>
        <v>-0.05</v>
      </c>
      <c r="P36" s="358">
        <f>-IFERROR(VLOOKUP($A36,'PP DS Query'!$C$1:$R$1005,15,FALSE),0)</f>
        <v>11928.96</v>
      </c>
      <c r="Q36" s="358">
        <f>IFERROR(VLOOKUP($A36,'PP DS Query'!$C$1:$R$1005,16,FALSE),0)</f>
        <v>143670.69</v>
      </c>
      <c r="R36" s="48"/>
      <c r="S36" s="472">
        <f t="shared" si="6"/>
        <v>34584</v>
      </c>
      <c r="T36" s="472" t="s">
        <v>964</v>
      </c>
      <c r="U36" s="474">
        <f>IFERROR(VLOOKUP($S36,#REF!,8,FALSE),0)</f>
        <v>0</v>
      </c>
      <c r="V36" s="473">
        <f t="shared" si="7"/>
        <v>-238579.22</v>
      </c>
    </row>
    <row r="37" spans="1:22" ht="15.95" customHeight="1" thickBot="1" x14ac:dyDescent="0.25">
      <c r="A37" s="396" t="s">
        <v>893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34584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712</v>
      </c>
      <c r="B38" s="499">
        <f>IFERROR(VLOOKUP($A38,'PP DS Query'!$C$1:$R$1005,5,FALSE),0)</f>
        <v>2047</v>
      </c>
      <c r="C38" s="33"/>
      <c r="D38" s="34"/>
      <c r="E38" s="15"/>
      <c r="F38" s="443">
        <f>IFERROR(VLOOKUP($A38,'PP DS Query'!$C$1:$R$1005,6,FALSE),0)</f>
        <v>5563010.3499999996</v>
      </c>
      <c r="G38" s="525">
        <f>IFERROR(VLOOKUP($A38,'PP DS Query'!$C$1:$R$1005,7,FALSE),0)</f>
        <v>12.221314700000001</v>
      </c>
      <c r="H38" s="443">
        <f>IFERROR(VLOOKUP($A38,'PP DS Query'!$C$1:$R$1005,8,FALSE),0)</f>
        <v>67987300.159999996</v>
      </c>
      <c r="I38" s="525">
        <f>IFERROR(VLOOKUP($A38,'PP DS Query'!$C$1:$R$1005,9,FALSE),0)</f>
        <v>34.773301349999997</v>
      </c>
      <c r="J38" s="443">
        <f>IFERROR(VLOOKUP($A38,'PP DS Query'!$C$1:$R$1005,10,FALSE),0)</f>
        <v>193444235.28999999</v>
      </c>
      <c r="K38" s="525">
        <f>IFERROR(VLOOKUP($A38,'PP DS Query'!$C$1:$R$1005,11,FALSE),0)</f>
        <v>22.55854184</v>
      </c>
      <c r="L38" s="443">
        <f>IFERROR(VLOOKUP($A38,'PP DS Query'!$C$1:$R$1005,12,FALSE),0)</f>
        <v>125493401.75</v>
      </c>
      <c r="M38" s="445">
        <f>IFERROR(VLOOKUP($A38,'PP DS Query'!$C$1:$R$1005,13,FALSE),0)</f>
        <v>0.37767912999999997</v>
      </c>
      <c r="N38" s="443">
        <f>IFERROR(VLOOKUP($A38,'PP DS Query'!$C$1:$R$1005,14,FALSE),0)</f>
        <v>2101032.91</v>
      </c>
      <c r="O38" s="446">
        <f>IFERROR(VLOOKUP($A38,'PP DS Query'!$C$1:$R$1005,4,FALSE),0)</f>
        <v>-0.05</v>
      </c>
      <c r="P38" s="443">
        <f>-IFERROR(VLOOKUP($A38,'PP DS Query'!$C$1:$R$1005,15,FALSE),0)</f>
        <v>278150.52</v>
      </c>
      <c r="Q38" s="443">
        <f>IFERROR(VLOOKUP($A38,'PP DS Query'!$C$1:$R$1005,16,FALSE),0)</f>
        <v>2584906.37</v>
      </c>
      <c r="R38" s="48"/>
      <c r="U38" s="473">
        <f>SUM(U34:U37)</f>
        <v>0</v>
      </c>
      <c r="V38" s="473">
        <f>SUM(V34:V37)</f>
        <v>-5563010.3499999996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1286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1015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523">
        <f>IFERROR(VLOOKUP($A41,'PP DS Query'!$C$1:$R$1005,7,FALSE),0)</f>
        <v>0</v>
      </c>
      <c r="H41" s="358">
        <f>IFERROR(VLOOKUP($A41,'PP DS Query'!$C$1:$R$1005,8,FALSE),0)</f>
        <v>0</v>
      </c>
      <c r="I41" s="523">
        <f>IFERROR(VLOOKUP($A41,'PP DS Query'!$C$1:$R$1005,9,FALSE),0)</f>
        <v>0</v>
      </c>
      <c r="J41" s="358">
        <f>IFERROR(VLOOKUP($A41,'PP DS Query'!$C$1:$R$1005,10,FALSE),0)</f>
        <v>0</v>
      </c>
      <c r="K41" s="523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34684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49" t="s">
        <v>1012</v>
      </c>
      <c r="B42" s="499">
        <f>IFERROR(VLOOKUP($A42,'PP DS Query'!$C$1:$R$1005,5,FALSE),0)</f>
        <v>0</v>
      </c>
      <c r="C42" s="33">
        <f>IFERROR(VLOOKUP($A42,'PP DS Query'!$C$1:$R$1005,3,FALSE),0)</f>
        <v>0</v>
      </c>
      <c r="D42" s="34" t="s">
        <v>22</v>
      </c>
      <c r="E42" s="360">
        <f>IFERROR(VLOOKUP($A42,'PP DS Query'!$C$1:$R$1005,2,FALSE),0)</f>
        <v>0</v>
      </c>
      <c r="F42" s="358">
        <f>IFERROR(VLOOKUP($A42,'PP DS Query'!$C$1:$R$1005,6,FALSE),0)</f>
        <v>0</v>
      </c>
      <c r="G42" s="523">
        <f>IFERROR(VLOOKUP($A42,'PP DS Query'!$C$1:$R$1005,7,FALSE),0)</f>
        <v>0</v>
      </c>
      <c r="H42" s="358">
        <f>IFERROR(VLOOKUP($A42,'PP DS Query'!$C$1:$R$1005,8,FALSE),0)</f>
        <v>0</v>
      </c>
      <c r="I42" s="523">
        <f>IFERROR(VLOOKUP($A42,'PP DS Query'!$C$1:$R$1005,9,FALSE),0)</f>
        <v>0</v>
      </c>
      <c r="J42" s="358">
        <f>IFERROR(VLOOKUP($A42,'PP DS Query'!$C$1:$R$1005,10,FALSE),0)</f>
        <v>0</v>
      </c>
      <c r="K42" s="523">
        <f>IFERROR(VLOOKUP($A42,'PP DS Query'!$C$1:$R$1005,11,FALSE),0)</f>
        <v>0</v>
      </c>
      <c r="L42" s="358">
        <f>IFERROR(VLOOKUP($A42,'PP DS Query'!$C$1:$R$1005,12,FALSE),0)</f>
        <v>0</v>
      </c>
      <c r="M42" s="19">
        <f>IFERROR(VLOOKUP($A42,'PP DS Query'!$C$1:$R$1005,13,FALSE),0)</f>
        <v>0</v>
      </c>
      <c r="N42" s="358">
        <f>IFERROR(VLOOKUP($A42,'PP DS Query'!$C$1:$R$1005,14,FALSE),0)</f>
        <v>0</v>
      </c>
      <c r="O42" s="56">
        <f>IFERROR(VLOOKUP($A42,'PP DS Query'!$C$1:$R$1005,4,FALSE),0)</f>
        <v>0</v>
      </c>
      <c r="P42" s="358">
        <f>-IFERROR(VLOOKUP($A42,'PP DS Query'!$C$1:$R$1005,15,FALSE),0)</f>
        <v>0</v>
      </c>
      <c r="Q42" s="358">
        <f>IFERROR(VLOOKUP($A42,'PP DS Query'!$C$1:$R$1005,16,FALSE),0)</f>
        <v>0</v>
      </c>
      <c r="R42" s="48"/>
      <c r="S42" s="472">
        <f t="shared" ref="S42:S44" si="8">IFERROR(ROUND(LEFT(A42,7)*100,0),0)</f>
        <v>34684</v>
      </c>
      <c r="T42" s="472" t="s">
        <v>963</v>
      </c>
      <c r="U42" s="474">
        <f>IFERROR(VLOOKUP($S42,#REF!,7,FALSE),0)</f>
        <v>0</v>
      </c>
      <c r="V42" s="473">
        <f t="shared" ref="V42:V44" si="9">U42-F42</f>
        <v>0</v>
      </c>
    </row>
    <row r="43" spans="1:22" ht="15.95" customHeight="1" x14ac:dyDescent="0.2">
      <c r="A43" s="396" t="s">
        <v>1013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34684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1014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34684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1087</v>
      </c>
      <c r="B45" s="499">
        <f>IFERROR(VLOOKUP($A45,'PP DS Query'!$C$1:$R$1005,5,FALSE),0)</f>
        <v>0</v>
      </c>
      <c r="C45" s="33"/>
      <c r="D45" s="34"/>
      <c r="E45" s="15"/>
      <c r="F45" s="443">
        <f>IFERROR(VLOOKUP($A45,'PP DS Query'!$C$1:$R$1005,6,FALSE),0)</f>
        <v>0</v>
      </c>
      <c r="G45" s="525">
        <f>IFERROR(VLOOKUP($A45,'PP DS Query'!$C$1:$R$1005,7,FALSE),0)</f>
        <v>0</v>
      </c>
      <c r="H45" s="443">
        <f>IFERROR(VLOOKUP($A45,'PP DS Query'!$C$1:$R$1005,8,FALSE),0)</f>
        <v>0</v>
      </c>
      <c r="I45" s="525">
        <f>IFERROR(VLOOKUP($A45,'PP DS Query'!$C$1:$R$1005,9,FALSE),0)</f>
        <v>0</v>
      </c>
      <c r="J45" s="443">
        <f>IFERROR(VLOOKUP($A45,'PP DS Query'!$C$1:$R$1005,10,FALSE),0)</f>
        <v>0</v>
      </c>
      <c r="K45" s="525">
        <f>IFERROR(VLOOKUP($A45,'PP DS Query'!$C$1:$R$1005,11,FALSE),0)</f>
        <v>0</v>
      </c>
      <c r="L45" s="443">
        <f>IFERROR(VLOOKUP($A45,'PP DS Query'!$C$1:$R$1005,12,FALSE),0)</f>
        <v>0</v>
      </c>
      <c r="M45" s="445">
        <f>IFERROR(VLOOKUP($A45,'PP DS Query'!$C$1:$R$1005,13,FALSE),0)</f>
        <v>0</v>
      </c>
      <c r="N45" s="443">
        <f>IFERROR(VLOOKUP($A45,'PP DS Query'!$C$1:$R$1005,14,FALSE),0)</f>
        <v>0</v>
      </c>
      <c r="O45" s="446">
        <f>IFERROR(VLOOKUP($A45,'PP DS Query'!$C$1:$R$1005,4,FALSE),0)</f>
        <v>0</v>
      </c>
      <c r="P45" s="443">
        <f>-IFERROR(VLOOKUP($A45,'PP DS Query'!$C$1:$R$1005,15,FALSE),0)</f>
        <v>0</v>
      </c>
      <c r="Q45" s="443">
        <f>IFERROR(VLOOKUP($A45,'PP DS Query'!$C$1:$R$1005,16,FALSE),0)</f>
        <v>0</v>
      </c>
      <c r="R45" s="48"/>
      <c r="U45" s="473">
        <f>SUM(U41:U44)</f>
        <v>0</v>
      </c>
      <c r="V45" s="473">
        <f>SUM(V41:V44)</f>
        <v>0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Unit #4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15475640.860000001</v>
      </c>
      <c r="G49" s="523">
        <f>IF($F49=0,0,H49/$F49)</f>
        <v>11.983420732471043</v>
      </c>
      <c r="H49" s="358">
        <f t="shared" ref="H49:H52" si="10">H13+H20+H27+H34+H41</f>
        <v>185451115.53</v>
      </c>
      <c r="I49" s="523">
        <f>IF($F49=0,0,J49/$F49)</f>
        <v>40.476798050352272</v>
      </c>
      <c r="J49" s="358">
        <f>J13+J20+J27+J34+J41</f>
        <v>626404389.78999996</v>
      </c>
      <c r="K49" s="523">
        <f>IF($F49=0,0,L49/$F49)</f>
        <v>28.580348604703918</v>
      </c>
      <c r="L49" s="358">
        <f>L13+L20+L27+L34+L41</f>
        <v>442299210.65999997</v>
      </c>
      <c r="M49" s="19">
        <f>IF($F49=0,0,N49/$F49)</f>
        <v>0.30898563253425093</v>
      </c>
      <c r="N49" s="358">
        <f t="shared" ref="N49:P52" si="11">N13+N20+N27+N34+N41</f>
        <v>4781750.68</v>
      </c>
      <c r="O49" s="56">
        <f>-IF($F49=0,0,P49/$F49)</f>
        <v>-4.6006362285148032E-2</v>
      </c>
      <c r="P49" s="358">
        <f t="shared" si="11"/>
        <v>711977.94</v>
      </c>
      <c r="Q49" s="358">
        <f t="shared" ref="Q49" si="12">Q13+Q20+Q27+Q34+Q41</f>
        <v>3560992.34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17696906.41</v>
      </c>
      <c r="G50" s="523">
        <f>IF($F50=0,0,H50/$F50)</f>
        <v>11.622100484962672</v>
      </c>
      <c r="H50" s="358">
        <f t="shared" si="10"/>
        <v>205675224.57000002</v>
      </c>
      <c r="I50" s="523">
        <f>IF($F50=0,0,J50/$F50)</f>
        <v>29.930725749936311</v>
      </c>
      <c r="J50" s="358">
        <f>J14+J21+J28+J35+J42</f>
        <v>529681252.38</v>
      </c>
      <c r="K50" s="523">
        <f>IF($F50=0,0,L50/$F50)</f>
        <v>18.244112500225398</v>
      </c>
      <c r="L50" s="358">
        <f>L14+L21+L28+L35+L42</f>
        <v>322864351.44999999</v>
      </c>
      <c r="M50" s="19">
        <f>IF($F50=0,0,N50/$F50)</f>
        <v>0.41655455700632826</v>
      </c>
      <c r="N50" s="358">
        <f t="shared" si="11"/>
        <v>7371727.0100000007</v>
      </c>
      <c r="O50" s="56">
        <f>-IF($F50=0,0,P50/$F50)</f>
        <v>-6.6826678211494253E-2</v>
      </c>
      <c r="P50" s="358">
        <f t="shared" si="11"/>
        <v>1182625.47</v>
      </c>
      <c r="Q50" s="358">
        <f t="shared" ref="Q50" si="13">Q14+Q21+Q28+Q35+Q42</f>
        <v>3379706.81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1753852.08</v>
      </c>
      <c r="G51" s="523">
        <f>IF($F51=0,0,H51/$F51)</f>
        <v>10.604302958092109</v>
      </c>
      <c r="H51" s="358">
        <f t="shared" si="10"/>
        <v>18598378.800000001</v>
      </c>
      <c r="I51" s="523">
        <f>IF($F51=0,0,J51/$F51)</f>
        <v>20</v>
      </c>
      <c r="J51" s="358">
        <f>J15+J22+J29+J36+J43</f>
        <v>35077041.600000001</v>
      </c>
      <c r="K51" s="523">
        <f>IF($F51=0,0,L51/$F51)</f>
        <v>9.910715959580811</v>
      </c>
      <c r="L51" s="358">
        <f>L15+L22+L29+L36+L43</f>
        <v>17381929.800000001</v>
      </c>
      <c r="M51" s="19">
        <f>IF($F51=0,0,N51/$F51)</f>
        <v>0.53655369271506637</v>
      </c>
      <c r="N51" s="358">
        <f t="shared" si="11"/>
        <v>941035.80999999994</v>
      </c>
      <c r="O51" s="56">
        <f>-IF($F51=0,0,P51/$F51)</f>
        <v>-6.2118037913436806E-2</v>
      </c>
      <c r="P51" s="358">
        <f t="shared" si="11"/>
        <v>108945.85</v>
      </c>
      <c r="Q51" s="358">
        <f t="shared" ref="Q51" si="14">Q15+Q22+Q29+Q36+Q43</f>
        <v>448313.33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571112.97</v>
      </c>
      <c r="G52" s="524">
        <f>IF($F52=0,0,H52/$F52)</f>
        <v>3.5000000087548355</v>
      </c>
      <c r="H52" s="250">
        <f t="shared" si="10"/>
        <v>1998895.4</v>
      </c>
      <c r="I52" s="524">
        <f>IF($F52=0,0,J52/$F52)</f>
        <v>12</v>
      </c>
      <c r="J52" s="250">
        <f>J16+J23+J30+J37+J44</f>
        <v>6853355.6399999997</v>
      </c>
      <c r="K52" s="524">
        <f>IF($F52=0,0,L52/$F52)</f>
        <v>8.5000000087548351</v>
      </c>
      <c r="L52" s="250">
        <f>L16+L23+L30+L37+L44</f>
        <v>4854460.25</v>
      </c>
      <c r="M52" s="21">
        <f>IF($F52=0,0,N52/$F52)</f>
        <v>0.31208333440580066</v>
      </c>
      <c r="N52" s="250">
        <f t="shared" si="11"/>
        <v>178234.84</v>
      </c>
      <c r="O52" s="57">
        <f>-IF($F52=0,0,P52/$F52)</f>
        <v>-7.0000003677030839E-2</v>
      </c>
      <c r="P52" s="250">
        <f t="shared" si="11"/>
        <v>39977.910000000003</v>
      </c>
      <c r="Q52" s="250">
        <f t="shared" ref="Q52" si="15">Q16+Q23+Q30+Q37+Q44</f>
        <v>58350.09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35497512.32</v>
      </c>
      <c r="G53" s="525">
        <f>IF($F53=0,0,H53/$F53)</f>
        <v>11.598661072033117</v>
      </c>
      <c r="H53" s="443">
        <f t="shared" ref="H53" si="16">SUM(H49:H52)</f>
        <v>411723614.30000001</v>
      </c>
      <c r="I53" s="525">
        <f>IF($F53=0,0,J53/$F53)</f>
        <v>33.74929568613782</v>
      </c>
      <c r="J53" s="443">
        <f>SUM(J49:J52)</f>
        <v>1198016039.4100001</v>
      </c>
      <c r="K53" s="525">
        <f>IF($F53=0,0,L53/$F53)</f>
        <v>22.181834745539707</v>
      </c>
      <c r="L53" s="443">
        <f>SUM(L49:L52)</f>
        <v>787399952.15999985</v>
      </c>
      <c r="M53" s="445">
        <f>IF($F53=0,0,N53/$F53)</f>
        <v>0.37390643660744283</v>
      </c>
      <c r="N53" s="443">
        <f t="shared" ref="N53:P53" si="17">SUM(N49:N52)</f>
        <v>13272748.340000002</v>
      </c>
      <c r="O53" s="446">
        <f>-IF($F53=0,0,P53/$F53)</f>
        <v>-5.7568179752377643E-2</v>
      </c>
      <c r="P53" s="443">
        <f t="shared" si="17"/>
        <v>2043527.17</v>
      </c>
      <c r="Q53" s="443">
        <f t="shared" ref="Q53" si="18">SUM(Q49:Q52)</f>
        <v>7447362.5700000003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74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34184</v>
      </c>
      <c r="F56" s="352">
        <f>IFERROR(VLOOKUP(E56,'2019 B-7'!C:P,14,FALSE),0)</f>
        <v>5811519.6600000001</v>
      </c>
      <c r="G56" s="353">
        <f>F56-F17</f>
        <v>9.9999997764825821E-3</v>
      </c>
      <c r="P56" s="260">
        <f>E56</f>
        <v>34184</v>
      </c>
      <c r="Q56" s="352">
        <f>IFERROR(VLOOKUP(P56,'2019 B-9'!C:R,16,FALSE),0)</f>
        <v>1679892.0999999968</v>
      </c>
      <c r="R56" s="353">
        <f>Q56-Q17</f>
        <v>-3.2596290111541748E-9</v>
      </c>
    </row>
    <row r="57" spans="1:18" x14ac:dyDescent="0.2">
      <c r="E57" s="260">
        <v>34284</v>
      </c>
      <c r="F57" s="352">
        <f>IFERROR(VLOOKUP(E57,'2019 B-7'!C:P,14,FALSE),0)</f>
        <v>2167427.8199999998</v>
      </c>
      <c r="G57" s="353">
        <f>F57-F24</f>
        <v>0</v>
      </c>
      <c r="P57" s="260">
        <f t="shared" ref="P57:P60" si="19">E57</f>
        <v>34284</v>
      </c>
      <c r="Q57" s="352">
        <f>IFERROR(VLOOKUP(P57,'2019 B-9'!C:R,16,FALSE),0)</f>
        <v>306065.80999999918</v>
      </c>
      <c r="R57" s="353">
        <f>Q57-Q24</f>
        <v>-8.149072527885437E-10</v>
      </c>
    </row>
    <row r="58" spans="1:18" x14ac:dyDescent="0.2">
      <c r="E58" s="260">
        <v>34384</v>
      </c>
      <c r="F58" s="352">
        <f>IFERROR(VLOOKUP(E58,'2019 B-7'!C:P,14,FALSE),0)</f>
        <v>22033275.419999998</v>
      </c>
      <c r="G58" s="353">
        <f>F58-F31</f>
        <v>0</v>
      </c>
      <c r="P58" s="260">
        <f t="shared" si="19"/>
        <v>34384</v>
      </c>
      <c r="Q58" s="352">
        <f>IFERROR(VLOOKUP(P58,'2019 B-9'!C:R,16,FALSE),0)</f>
        <v>2876498.290000001</v>
      </c>
      <c r="R58" s="353">
        <f>Q58-Q31</f>
        <v>0</v>
      </c>
    </row>
    <row r="59" spans="1:18" x14ac:dyDescent="0.2">
      <c r="E59" s="260">
        <v>34584</v>
      </c>
      <c r="F59" s="352">
        <f>IFERROR(VLOOKUP(E59,'2019 B-7'!C:P,14,FALSE),0)</f>
        <v>5563010.3499999987</v>
      </c>
      <c r="G59" s="353">
        <f>F59-F38</f>
        <v>0</v>
      </c>
      <c r="P59" s="260">
        <f t="shared" si="19"/>
        <v>34584</v>
      </c>
      <c r="Q59" s="352">
        <f>IFERROR(VLOOKUP(P59,'2019 B-9'!C:R,16,FALSE),0)</f>
        <v>2584906.3699999982</v>
      </c>
      <c r="R59" s="353">
        <f>Q59-Q38</f>
        <v>0</v>
      </c>
    </row>
    <row r="60" spans="1:18" x14ac:dyDescent="0.2">
      <c r="E60" s="260">
        <v>34684</v>
      </c>
      <c r="F60" s="352">
        <f>IFERROR(VLOOKUP(E60,'2019 B-7'!C:P,14,FALSE),0)</f>
        <v>0</v>
      </c>
      <c r="G60" s="353">
        <f>F60-F45</f>
        <v>0</v>
      </c>
      <c r="P60" s="260">
        <f t="shared" si="19"/>
        <v>34684</v>
      </c>
      <c r="Q60" s="352">
        <f>IFERROR(VLOOKUP(P60,'2019 B-9'!C:R,16,FALSE),0)</f>
        <v>7.503331289626658E-12</v>
      </c>
      <c r="R60" s="353">
        <f>Q60-Q45</f>
        <v>7.503331289626658E-12</v>
      </c>
    </row>
    <row r="61" spans="1:18" ht="13.5" thickBot="1" x14ac:dyDescent="0.25">
      <c r="E61" s="349" t="s">
        <v>40</v>
      </c>
      <c r="F61" s="354">
        <f>SUM(F56:F60)</f>
        <v>35575233.25</v>
      </c>
      <c r="G61" s="354">
        <f>SUM(G56:G60)</f>
        <v>9.9999997764825821E-3</v>
      </c>
      <c r="P61" s="349" t="s">
        <v>40</v>
      </c>
      <c r="Q61" s="354">
        <f>SUM(Q56:Q60)</f>
        <v>7447362.5699999956</v>
      </c>
      <c r="R61" s="354">
        <f>SUM(R56:R60)</f>
        <v>-4.0670329326530918E-9</v>
      </c>
    </row>
    <row r="62" spans="1:18" ht="13.5" thickTop="1" x14ac:dyDescent="0.2">
      <c r="E62" s="29"/>
      <c r="F62" s="353">
        <v>0</v>
      </c>
      <c r="G62" s="353">
        <v>0</v>
      </c>
      <c r="P62" s="50"/>
      <c r="Q62" s="353">
        <f>Q61-Q53</f>
        <v>0</v>
      </c>
      <c r="R62" s="353">
        <f>R61-Q62</f>
        <v>-4.0670329326530918E-9</v>
      </c>
    </row>
    <row r="63" spans="1:18" x14ac:dyDescent="0.2">
      <c r="E63" s="50"/>
      <c r="G63" s="18"/>
    </row>
    <row r="64" spans="1:18" x14ac:dyDescent="0.2">
      <c r="E64" s="50"/>
      <c r="G64" s="18"/>
    </row>
    <row r="65" spans="5:7" x14ac:dyDescent="0.2">
      <c r="E65" s="50"/>
      <c r="G65" s="29"/>
    </row>
    <row r="66" spans="5:7" x14ac:dyDescent="0.2">
      <c r="E66" s="50"/>
    </row>
    <row r="67" spans="5:7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EBC70-BED9-4081-AF6E-9AD3C8587FB9}">
  <sheetPr>
    <tabColor theme="9" tint="0.39997558519241921"/>
  </sheetPr>
  <dimension ref="A1:O375"/>
  <sheetViews>
    <sheetView view="pageBreakPreview" zoomScaleNormal="100" zoomScaleSheetLayoutView="100" workbookViewId="0">
      <pane xSplit="1" ySplit="12" topLeftCell="B257" activePane="bottomRight" state="frozen"/>
      <selection activeCell="F20" sqref="F20"/>
      <selection pane="topRight" activeCell="F20" sqref="F20"/>
      <selection pane="bottomLeft" activeCell="F20" sqref="F20"/>
      <selection pane="bottomRight" activeCell="F273" sqref="F273"/>
    </sheetView>
  </sheetViews>
  <sheetFormatPr defaultRowHeight="12.75" x14ac:dyDescent="0.2"/>
  <cols>
    <col min="1" max="1" width="9.85546875" style="67" customWidth="1"/>
    <col min="2" max="2" width="26.85546875" style="63" customWidth="1"/>
    <col min="3" max="3" width="2.42578125" style="63" customWidth="1"/>
    <col min="4" max="4" width="14.7109375" style="63" bestFit="1" customWidth="1"/>
    <col min="5" max="5" width="14.7109375" style="65" bestFit="1" customWidth="1"/>
    <col min="6" max="6" width="2.42578125" style="63" customWidth="1"/>
    <col min="7" max="7" width="6.85546875" style="63" bestFit="1" customWidth="1"/>
    <col min="8" max="8" width="13" style="63" bestFit="1" customWidth="1"/>
    <col min="9" max="9" width="2.42578125" style="63" customWidth="1"/>
    <col min="10" max="10" width="10.140625" style="63" customWidth="1"/>
    <col min="11" max="11" width="13" style="63" bestFit="1" customWidth="1"/>
    <col min="12" max="12" width="14.28515625" style="63" customWidth="1"/>
    <col min="13" max="13" width="3.5703125" style="63" customWidth="1"/>
    <col min="14" max="15" width="9.140625" style="842"/>
    <col min="16" max="16384" width="9.140625" style="76"/>
  </cols>
  <sheetData>
    <row r="1" spans="1:14" ht="15.75" x14ac:dyDescent="0.2">
      <c r="A1" s="219" t="s">
        <v>0</v>
      </c>
      <c r="B1" s="784"/>
      <c r="C1" s="220"/>
      <c r="D1" s="784"/>
      <c r="E1" s="811"/>
      <c r="F1" s="220"/>
      <c r="G1" s="784"/>
      <c r="H1" s="812"/>
      <c r="I1" s="220"/>
      <c r="J1" s="812"/>
      <c r="K1" s="812"/>
      <c r="L1" s="812"/>
      <c r="M1" s="847"/>
    </row>
    <row r="2" spans="1:14" ht="15.75" x14ac:dyDescent="0.2">
      <c r="A2" s="217" t="s">
        <v>1412</v>
      </c>
      <c r="B2" s="813"/>
      <c r="C2" s="221"/>
      <c r="D2" s="813"/>
      <c r="E2" s="811"/>
      <c r="F2" s="221"/>
      <c r="G2" s="813"/>
      <c r="H2" s="813"/>
      <c r="I2" s="221"/>
      <c r="J2" s="813"/>
      <c r="K2" s="813"/>
      <c r="L2" s="813"/>
      <c r="M2" s="847"/>
    </row>
    <row r="3" spans="1:14" ht="15.75" x14ac:dyDescent="0.2">
      <c r="A3" s="219" t="s">
        <v>1158</v>
      </c>
      <c r="B3" s="813"/>
      <c r="C3" s="221"/>
      <c r="D3" s="813"/>
      <c r="E3" s="811"/>
      <c r="F3" s="221"/>
      <c r="G3" s="813"/>
      <c r="H3" s="813"/>
      <c r="I3" s="221"/>
      <c r="J3" s="813"/>
      <c r="K3" s="813"/>
      <c r="L3" s="813"/>
      <c r="M3" s="847"/>
    </row>
    <row r="4" spans="1:14" ht="15.75" x14ac:dyDescent="0.2">
      <c r="A4" s="219" t="s">
        <v>1161</v>
      </c>
      <c r="B4" s="813"/>
      <c r="C4" s="221"/>
      <c r="D4" s="813"/>
      <c r="E4" s="811"/>
      <c r="F4" s="221"/>
      <c r="G4" s="813"/>
      <c r="H4" s="813"/>
      <c r="I4" s="221"/>
      <c r="J4" s="813"/>
      <c r="K4" s="813"/>
      <c r="L4" s="813"/>
      <c r="M4" s="847"/>
    </row>
    <row r="5" spans="1:14" x14ac:dyDescent="0.2">
      <c r="A5" s="814"/>
      <c r="B5" s="490"/>
      <c r="C5" s="490"/>
      <c r="D5" s="789"/>
      <c r="E5" s="815"/>
      <c r="F5" s="490"/>
      <c r="G5" s="490"/>
      <c r="H5" s="789"/>
      <c r="I5" s="490"/>
      <c r="J5" s="490"/>
      <c r="K5" s="490"/>
      <c r="L5" s="490"/>
      <c r="M5" s="490"/>
    </row>
    <row r="6" spans="1:14" ht="13.5" thickBot="1" x14ac:dyDescent="0.25">
      <c r="A6" s="814"/>
      <c r="B6" s="128"/>
      <c r="C6" s="128"/>
      <c r="D6" s="776" t="s">
        <v>1150</v>
      </c>
      <c r="E6" s="776"/>
      <c r="F6" s="776"/>
      <c r="G6" s="776"/>
      <c r="H6" s="776"/>
      <c r="I6" s="817"/>
      <c r="J6" s="496" t="str">
        <f>'Proposed Rates'!$N6</f>
        <v>Analysis of Rates - As of 12/31/2019</v>
      </c>
      <c r="K6" s="818"/>
      <c r="L6" s="818"/>
      <c r="M6" s="490"/>
    </row>
    <row r="7" spans="1:14" x14ac:dyDescent="0.2">
      <c r="A7" s="814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490"/>
    </row>
    <row r="8" spans="1:14" x14ac:dyDescent="0.2">
      <c r="A8" s="814"/>
      <c r="B8" s="128"/>
      <c r="C8" s="128"/>
      <c r="D8" s="789"/>
      <c r="E8" s="777" t="s">
        <v>1413</v>
      </c>
      <c r="F8" s="128"/>
      <c r="G8" s="490"/>
      <c r="H8" s="128"/>
      <c r="I8" s="128"/>
      <c r="J8" s="819"/>
      <c r="K8" s="819"/>
      <c r="L8" s="819"/>
      <c r="M8" s="490"/>
    </row>
    <row r="9" spans="1:14" x14ac:dyDescent="0.2">
      <c r="A9" s="814"/>
      <c r="B9" s="128"/>
      <c r="C9" s="128"/>
      <c r="D9" s="777" t="s">
        <v>1413</v>
      </c>
      <c r="E9" s="777" t="s">
        <v>122</v>
      </c>
      <c r="F9" s="128"/>
      <c r="G9" s="490"/>
      <c r="H9" s="820" t="s">
        <v>38</v>
      </c>
      <c r="I9" s="128"/>
      <c r="J9" s="819"/>
      <c r="K9" s="819"/>
      <c r="L9" s="819"/>
      <c r="M9" s="490"/>
    </row>
    <row r="10" spans="1:14" x14ac:dyDescent="0.2">
      <c r="A10" s="814"/>
      <c r="B10" s="128"/>
      <c r="C10" s="128"/>
      <c r="D10" s="128" t="s">
        <v>40</v>
      </c>
      <c r="E10" s="790" t="s">
        <v>41</v>
      </c>
      <c r="F10" s="128"/>
      <c r="G10" s="132" t="s">
        <v>39</v>
      </c>
      <c r="H10" s="820" t="s">
        <v>42</v>
      </c>
      <c r="I10" s="128"/>
      <c r="J10" s="132" t="s">
        <v>39</v>
      </c>
      <c r="K10" s="778" t="s">
        <v>49</v>
      </c>
      <c r="L10" s="820" t="s">
        <v>43</v>
      </c>
      <c r="M10" s="490"/>
    </row>
    <row r="11" spans="1:14" x14ac:dyDescent="0.2">
      <c r="A11" s="128" t="s">
        <v>44</v>
      </c>
      <c r="B11" s="128"/>
      <c r="C11" s="128"/>
      <c r="D11" s="128" t="s">
        <v>92</v>
      </c>
      <c r="E11" s="821" t="s">
        <v>9</v>
      </c>
      <c r="F11" s="128"/>
      <c r="G11" s="132" t="s">
        <v>47</v>
      </c>
      <c r="H11" s="820" t="s">
        <v>40</v>
      </c>
      <c r="I11" s="128"/>
      <c r="J11" s="132" t="s">
        <v>47</v>
      </c>
      <c r="K11" s="778" t="s">
        <v>6</v>
      </c>
      <c r="L11" s="820" t="s">
        <v>49</v>
      </c>
      <c r="M11" s="490"/>
    </row>
    <row r="12" spans="1:14" ht="13.5" thickBot="1" x14ac:dyDescent="0.25">
      <c r="A12" s="529" t="s">
        <v>52</v>
      </c>
      <c r="B12" s="529" t="s">
        <v>53</v>
      </c>
      <c r="C12" s="128"/>
      <c r="D12" s="858">
        <v>44196</v>
      </c>
      <c r="E12" s="858">
        <f>D12</f>
        <v>44196</v>
      </c>
      <c r="F12" s="128"/>
      <c r="G12" s="793" t="s">
        <v>24</v>
      </c>
      <c r="H12" s="529" t="s">
        <v>48</v>
      </c>
      <c r="I12" s="128"/>
      <c r="J12" s="793" t="s">
        <v>24</v>
      </c>
      <c r="K12" s="822" t="s">
        <v>38</v>
      </c>
      <c r="L12" s="823" t="s">
        <v>55</v>
      </c>
      <c r="M12" s="490"/>
      <c r="N12" s="842" t="s">
        <v>1439</v>
      </c>
    </row>
    <row r="13" spans="1:14" ht="13.5" thickTop="1" x14ac:dyDescent="0.2">
      <c r="A13" s="128"/>
      <c r="B13" s="128"/>
      <c r="C13" s="128"/>
      <c r="D13" s="128" t="s">
        <v>16</v>
      </c>
      <c r="E13" s="821" t="s">
        <v>16</v>
      </c>
      <c r="F13" s="128"/>
      <c r="G13" s="128" t="s">
        <v>57</v>
      </c>
      <c r="H13" s="128" t="s">
        <v>16</v>
      </c>
      <c r="I13" s="128"/>
      <c r="J13" s="128" t="s">
        <v>57</v>
      </c>
      <c r="K13" s="778" t="s">
        <v>16</v>
      </c>
      <c r="L13" s="128" t="s">
        <v>16</v>
      </c>
      <c r="M13" s="490"/>
    </row>
    <row r="14" spans="1:14" x14ac:dyDescent="0.2">
      <c r="A14" s="130"/>
      <c r="B14" s="130"/>
      <c r="C14" s="130"/>
      <c r="D14" s="130"/>
      <c r="E14" s="141"/>
      <c r="F14" s="130"/>
      <c r="G14" s="130"/>
      <c r="H14" s="130"/>
      <c r="I14" s="130"/>
      <c r="J14" s="130"/>
      <c r="K14" s="142"/>
      <c r="L14" s="130"/>
      <c r="M14" s="143"/>
    </row>
    <row r="15" spans="1:14" x14ac:dyDescent="0.2">
      <c r="A15" s="130"/>
      <c r="B15" s="144" t="s">
        <v>58</v>
      </c>
      <c r="C15" s="130"/>
      <c r="D15" s="145"/>
      <c r="E15" s="145"/>
      <c r="F15" s="130"/>
      <c r="G15" s="138"/>
      <c r="H15" s="145"/>
      <c r="I15" s="145"/>
      <c r="J15" s="145"/>
      <c r="K15" s="145"/>
      <c r="L15" s="145"/>
      <c r="M15" s="130"/>
    </row>
    <row r="16" spans="1:14" x14ac:dyDescent="0.2">
      <c r="A16" s="130"/>
      <c r="B16" s="150"/>
      <c r="C16" s="130"/>
      <c r="D16" s="145"/>
      <c r="E16" s="145"/>
      <c r="F16" s="130"/>
      <c r="G16" s="138"/>
      <c r="H16" s="145"/>
      <c r="I16" s="130"/>
      <c r="J16" s="138"/>
      <c r="K16" s="145"/>
      <c r="L16" s="145"/>
      <c r="M16" s="130"/>
    </row>
    <row r="17" spans="1:14" x14ac:dyDescent="0.2">
      <c r="A17" s="130"/>
      <c r="B17" s="144" t="s">
        <v>59</v>
      </c>
      <c r="C17" s="130"/>
      <c r="D17" s="145"/>
      <c r="E17" s="145"/>
      <c r="F17" s="130"/>
      <c r="G17" s="138"/>
      <c r="H17" s="145"/>
      <c r="I17" s="130"/>
      <c r="J17" s="138"/>
      <c r="K17" s="145"/>
      <c r="L17" s="145"/>
      <c r="M17" s="130"/>
    </row>
    <row r="18" spans="1:14" x14ac:dyDescent="0.2">
      <c r="A18" s="130"/>
      <c r="B18" s="130"/>
      <c r="C18" s="130"/>
      <c r="D18" s="145"/>
      <c r="E18" s="145" t="s">
        <v>60</v>
      </c>
      <c r="F18" s="130"/>
      <c r="G18" s="138"/>
      <c r="H18" s="145"/>
      <c r="I18" s="130"/>
      <c r="J18" s="138"/>
      <c r="K18" s="145"/>
      <c r="L18" s="145"/>
      <c r="M18" s="130"/>
    </row>
    <row r="19" spans="1:14" x14ac:dyDescent="0.2">
      <c r="A19" s="140">
        <f>'Plant &amp; Reserve'!$A19</f>
        <v>31140</v>
      </c>
      <c r="B19" s="130" t="str">
        <f>'Plant &amp; Reserve'!$B19</f>
        <v>BB Common</v>
      </c>
      <c r="C19" s="130"/>
      <c r="D19" s="145">
        <f>IFERROR(VLOOKUP($A19,'2020 B-7'!C:R,14,FALSE),0)</f>
        <v>235174549.85000002</v>
      </c>
      <c r="E19" s="145">
        <f>IFERROR(VLOOKUP($A19,'2020 B-9'!C:T,16,FALSE),0)</f>
        <v>63285667.740000032</v>
      </c>
      <c r="F19" s="130"/>
      <c r="G19" s="138">
        <f>'Proposed Rates'!$I19</f>
        <v>2.9</v>
      </c>
      <c r="H19" s="145">
        <f>ROUND(($D19*G19)/100,0)</f>
        <v>6820062</v>
      </c>
      <c r="I19" s="130"/>
      <c r="J19" s="138">
        <f>'Proposed Rates'!$V19</f>
        <v>3.2</v>
      </c>
      <c r="K19" s="145">
        <f>ROUND(($D19*J19)/100,0)</f>
        <v>7525586</v>
      </c>
      <c r="L19" s="145">
        <f>K19-H19</f>
        <v>705524</v>
      </c>
      <c r="M19" s="852"/>
      <c r="N19" s="853">
        <f>L19-'Proposed Accrual 2019'!L19</f>
        <v>32799</v>
      </c>
    </row>
    <row r="20" spans="1:14" x14ac:dyDescent="0.2">
      <c r="A20" s="140">
        <f>'Plant &amp; Reserve'!$A20</f>
        <v>31240</v>
      </c>
      <c r="B20" s="130" t="str">
        <f>'Plant &amp; Reserve'!$B20</f>
        <v>BB Common</v>
      </c>
      <c r="C20" s="130"/>
      <c r="D20" s="145">
        <f>IFERROR(VLOOKUP($A20,'2020 B-7'!C:R,14,FALSE),0)</f>
        <v>183098029.65000001</v>
      </c>
      <c r="E20" s="145">
        <f>IFERROR(VLOOKUP($A20,'2020 B-9'!C:T,16,FALSE),0)</f>
        <v>2053690.2399999998</v>
      </c>
      <c r="F20" s="130"/>
      <c r="G20" s="138">
        <f>'Proposed Rates'!$I20</f>
        <v>3.4</v>
      </c>
      <c r="H20" s="145">
        <f>ROUND(($D20*G20)/100,0)</f>
        <v>6225333</v>
      </c>
      <c r="I20" s="130"/>
      <c r="J20" s="138">
        <f>'Proposed Rates'!$V20</f>
        <v>4.5999999999999996</v>
      </c>
      <c r="K20" s="145">
        <f t="shared" ref="K20:K23" si="0">ROUND(($D20*J20)/100,0)</f>
        <v>8422509</v>
      </c>
      <c r="L20" s="145">
        <f>K20-H20</f>
        <v>2197176</v>
      </c>
      <c r="M20" s="852"/>
      <c r="N20" s="853">
        <f>L20-'Proposed Accrual 2019'!L20</f>
        <v>8044</v>
      </c>
    </row>
    <row r="21" spans="1:14" x14ac:dyDescent="0.2">
      <c r="A21" s="140">
        <f>'Plant &amp; Reserve'!$A21</f>
        <v>31440</v>
      </c>
      <c r="B21" s="130" t="str">
        <f>'Plant &amp; Reserve'!$B21</f>
        <v>BB Common</v>
      </c>
      <c r="C21" s="130"/>
      <c r="D21" s="145">
        <f>IFERROR(VLOOKUP($A21,'2020 B-7'!C:R,14,FALSE),0)</f>
        <v>8821954.7400000021</v>
      </c>
      <c r="E21" s="145">
        <f>IFERROR(VLOOKUP($A21,'2020 B-9'!C:T,16,FALSE),0)</f>
        <v>2336844.2299999986</v>
      </c>
      <c r="F21" s="130"/>
      <c r="G21" s="138">
        <f>'Proposed Rates'!$I21</f>
        <v>2.2999999999999998</v>
      </c>
      <c r="H21" s="145">
        <f>ROUND(($D21*G21)/100,0)</f>
        <v>202905</v>
      </c>
      <c r="I21" s="130"/>
      <c r="J21" s="138">
        <f>'Proposed Rates'!$V21</f>
        <v>3.1</v>
      </c>
      <c r="K21" s="145">
        <f t="shared" si="0"/>
        <v>273481</v>
      </c>
      <c r="L21" s="145">
        <f>K21-H21</f>
        <v>70576</v>
      </c>
      <c r="M21" s="852"/>
      <c r="N21" s="853">
        <f>L21-'Proposed Accrual 2019'!L21</f>
        <v>89</v>
      </c>
    </row>
    <row r="22" spans="1:14" x14ac:dyDescent="0.2">
      <c r="A22" s="140">
        <f>'Plant &amp; Reserve'!$A22</f>
        <v>31540</v>
      </c>
      <c r="B22" s="130" t="str">
        <f>'Plant &amp; Reserve'!$B22</f>
        <v>BB Common</v>
      </c>
      <c r="C22" s="130"/>
      <c r="D22" s="145">
        <f>IFERROR(VLOOKUP($A22,'2020 B-7'!C:R,14,FALSE),0)</f>
        <v>43821817.589999981</v>
      </c>
      <c r="E22" s="145">
        <f>IFERROR(VLOOKUP($A22,'2020 B-9'!C:T,16,FALSE),0)</f>
        <v>13813679.079999996</v>
      </c>
      <c r="F22" s="130"/>
      <c r="G22" s="138">
        <f>'Proposed Rates'!$I22</f>
        <v>3.7</v>
      </c>
      <c r="H22" s="145">
        <f>ROUND(($D22*G22)/100,0)</f>
        <v>1621407</v>
      </c>
      <c r="I22" s="130"/>
      <c r="J22" s="138">
        <f>'Proposed Rates'!$V22</f>
        <v>3.5</v>
      </c>
      <c r="K22" s="145">
        <f t="shared" si="0"/>
        <v>1533764</v>
      </c>
      <c r="L22" s="145">
        <f>K22-H22</f>
        <v>-87643</v>
      </c>
      <c r="M22" s="852"/>
      <c r="N22" s="853">
        <f>L22-'Proposed Accrual 2019'!L22</f>
        <v>-1008</v>
      </c>
    </row>
    <row r="23" spans="1:14" ht="15" x14ac:dyDescent="0.2">
      <c r="A23" s="140">
        <f>'Plant &amp; Reserve'!$A23</f>
        <v>31640</v>
      </c>
      <c r="B23" s="168" t="str">
        <f>'Plant &amp; Reserve'!$B23</f>
        <v>BB Common</v>
      </c>
      <c r="C23" s="130"/>
      <c r="D23" s="172">
        <f>IFERROR(VLOOKUP($A23,'2020 B-7'!C:R,14,FALSE),0)</f>
        <v>25096602.700000003</v>
      </c>
      <c r="E23" s="172">
        <f>IFERROR(VLOOKUP($A23,'2020 B-9'!C:T,16,FALSE),0)</f>
        <v>8550807.6900000051</v>
      </c>
      <c r="F23" s="130"/>
      <c r="G23" s="170">
        <f>'Proposed Rates'!$I23</f>
        <v>4.2</v>
      </c>
      <c r="H23" s="172">
        <f>ROUND(($D23*G23)/100,0)</f>
        <v>1054057</v>
      </c>
      <c r="I23" s="130"/>
      <c r="J23" s="170">
        <f>'Proposed Rates'!$V23</f>
        <v>3.3</v>
      </c>
      <c r="K23" s="171">
        <f t="shared" si="0"/>
        <v>828188</v>
      </c>
      <c r="L23" s="171">
        <f>K23-H23</f>
        <v>-225869</v>
      </c>
      <c r="M23" s="852"/>
      <c r="N23" s="853">
        <f>L23-'Proposed Accrual 2019'!L23</f>
        <v>-2079</v>
      </c>
    </row>
    <row r="24" spans="1:14" x14ac:dyDescent="0.2">
      <c r="A24" s="134"/>
      <c r="B24" s="128" t="s">
        <v>75</v>
      </c>
      <c r="C24" s="130"/>
      <c r="D24" s="173">
        <f>SUM(D19:D23)</f>
        <v>496012954.52999997</v>
      </c>
      <c r="E24" s="173">
        <f>SUM(E19:E23)</f>
        <v>90040688.980000049</v>
      </c>
      <c r="F24" s="130"/>
      <c r="G24" s="177">
        <f>'Proposed Rates'!$I24</f>
        <v>3</v>
      </c>
      <c r="H24" s="173">
        <f>SUM(H19:H23)</f>
        <v>15923764</v>
      </c>
      <c r="I24" s="130"/>
      <c r="J24" s="177">
        <f>'Proposed Rates'!$V24</f>
        <v>3.7</v>
      </c>
      <c r="K24" s="173">
        <f>SUM(K19:K23)</f>
        <v>18583528</v>
      </c>
      <c r="L24" s="173">
        <f>SUM(L19:L23)</f>
        <v>2659764</v>
      </c>
      <c r="M24" s="852"/>
      <c r="N24" s="853">
        <f>L24-'Proposed Accrual 2019'!L24</f>
        <v>37845</v>
      </c>
    </row>
    <row r="25" spans="1:14" x14ac:dyDescent="0.2">
      <c r="A25" s="140"/>
      <c r="B25" s="130"/>
      <c r="C25" s="130"/>
      <c r="D25" s="145"/>
      <c r="E25" s="145"/>
      <c r="F25" s="130"/>
      <c r="G25" s="138"/>
      <c r="H25" s="155"/>
      <c r="I25" s="130"/>
      <c r="J25" s="824"/>
      <c r="K25" s="145"/>
      <c r="L25" s="145"/>
      <c r="M25" s="130"/>
      <c r="N25" s="853">
        <f>L25-'Proposed Accrual 2019'!L25</f>
        <v>0</v>
      </c>
    </row>
    <row r="26" spans="1:14" x14ac:dyDescent="0.2">
      <c r="A26" s="140">
        <f>'Plant &amp; Reserve'!$A26</f>
        <v>31141</v>
      </c>
      <c r="B26" s="130" t="str">
        <f>'Plant &amp; Reserve'!$B26</f>
        <v>BB Unit  No. 1</v>
      </c>
      <c r="C26" s="130"/>
      <c r="D26" s="145">
        <f>IFERROR(VLOOKUP($A26,'2020 B-7'!C:R,14,FALSE),0)</f>
        <v>7287126.2399999993</v>
      </c>
      <c r="E26" s="145">
        <f>IFERROR(VLOOKUP($A26,'2020 B-9'!C:T,16,FALSE),0)</f>
        <v>4518344.5499999942</v>
      </c>
      <c r="F26" s="130"/>
      <c r="G26" s="138">
        <f>'Proposed Rates'!$I26</f>
        <v>2</v>
      </c>
      <c r="H26" s="145">
        <f>ROUND(($D26*G26)/100,0)</f>
        <v>145743</v>
      </c>
      <c r="I26" s="130"/>
      <c r="J26" s="138">
        <f>'Proposed Rates'!$V26</f>
        <v>2.8</v>
      </c>
      <c r="K26" s="145">
        <f>ROUND(($D26*J26)/100,0)</f>
        <v>204040</v>
      </c>
      <c r="L26" s="145">
        <f>K26-H26</f>
        <v>58297</v>
      </c>
      <c r="M26" s="852"/>
      <c r="N26" s="853">
        <f>L26-'Proposed Accrual 2019'!L26</f>
        <v>0</v>
      </c>
    </row>
    <row r="27" spans="1:14" x14ac:dyDescent="0.2">
      <c r="A27" s="140">
        <f>'Plant &amp; Reserve'!$A27</f>
        <v>31241</v>
      </c>
      <c r="B27" s="130" t="str">
        <f>'Plant &amp; Reserve'!$B27</f>
        <v>BB Unit  No. 1</v>
      </c>
      <c r="C27" s="130"/>
      <c r="D27" s="145">
        <f>IFERROR(VLOOKUP($A27,'2020 B-7'!C:R,14,FALSE),0)</f>
        <v>102965871.76000001</v>
      </c>
      <c r="E27" s="145">
        <f>IFERROR(VLOOKUP($A27,'2020 B-9'!C:T,16,FALSE),0)</f>
        <v>35309260.549999982</v>
      </c>
      <c r="F27" s="130"/>
      <c r="G27" s="138">
        <f>'Proposed Rates'!$I27</f>
        <v>4</v>
      </c>
      <c r="H27" s="145">
        <f>ROUND(($D27*G27)/100,0)</f>
        <v>4118635</v>
      </c>
      <c r="I27" s="130"/>
      <c r="J27" s="138">
        <f>'Proposed Rates'!$V27</f>
        <v>5.2</v>
      </c>
      <c r="K27" s="145">
        <f t="shared" ref="K27:K30" si="1">ROUND(($D27*J27)/100,0)</f>
        <v>5354225</v>
      </c>
      <c r="L27" s="145">
        <f>K27-H27</f>
        <v>1235590</v>
      </c>
      <c r="M27" s="852"/>
      <c r="N27" s="853">
        <f>L27-'Proposed Accrual 2019'!L27</f>
        <v>-541</v>
      </c>
    </row>
    <row r="28" spans="1:14" x14ac:dyDescent="0.2">
      <c r="A28" s="140">
        <f>'Plant &amp; Reserve'!$A28</f>
        <v>31441</v>
      </c>
      <c r="B28" s="130" t="str">
        <f>'Plant &amp; Reserve'!$B28</f>
        <v>BB Unit  No. 1</v>
      </c>
      <c r="C28" s="130"/>
      <c r="D28" s="145">
        <f>IFERROR(VLOOKUP($A28,'2020 B-7'!C:R,14,FALSE),0)</f>
        <v>50488850.079999998</v>
      </c>
      <c r="E28" s="145">
        <f>IFERROR(VLOOKUP($A28,'2020 B-9'!C:T,16,FALSE),0)</f>
        <v>17426514.730000012</v>
      </c>
      <c r="F28" s="130"/>
      <c r="G28" s="138">
        <f>'Proposed Rates'!$I28</f>
        <v>3.5</v>
      </c>
      <c r="H28" s="145">
        <f t="shared" ref="H28:H30" si="2">ROUND(($D28*G28)/100,0)</f>
        <v>1767110</v>
      </c>
      <c r="I28" s="130"/>
      <c r="J28" s="138">
        <f>'Proposed Rates'!$V28</f>
        <v>5.8</v>
      </c>
      <c r="K28" s="145">
        <f t="shared" si="1"/>
        <v>2928353</v>
      </c>
      <c r="L28" s="145">
        <f>K28-H28</f>
        <v>1161243</v>
      </c>
      <c r="M28" s="852"/>
      <c r="N28" s="853">
        <f>L28-'Proposed Accrual 2019'!L28</f>
        <v>117</v>
      </c>
    </row>
    <row r="29" spans="1:14" x14ac:dyDescent="0.2">
      <c r="A29" s="140">
        <f>'Plant &amp; Reserve'!$A29</f>
        <v>31541</v>
      </c>
      <c r="B29" s="130" t="str">
        <f>'Plant &amp; Reserve'!$B29</f>
        <v>BB Unit  No. 1</v>
      </c>
      <c r="C29" s="130"/>
      <c r="D29" s="145">
        <f>IFERROR(VLOOKUP($A29,'2020 B-7'!C:R,14,FALSE),0)</f>
        <v>17018634.02</v>
      </c>
      <c r="E29" s="145">
        <f>IFERROR(VLOOKUP($A29,'2020 B-9'!C:T,16,FALSE),0)</f>
        <v>8469866.549999997</v>
      </c>
      <c r="F29" s="130"/>
      <c r="G29" s="138">
        <f>'Proposed Rates'!$I29</f>
        <v>3.5</v>
      </c>
      <c r="H29" s="145">
        <f t="shared" si="2"/>
        <v>595652</v>
      </c>
      <c r="I29" s="130"/>
      <c r="J29" s="138">
        <f>'Proposed Rates'!$V29</f>
        <v>4.4000000000000004</v>
      </c>
      <c r="K29" s="145">
        <f t="shared" si="1"/>
        <v>748820</v>
      </c>
      <c r="L29" s="145">
        <f>K29-H29</f>
        <v>153168</v>
      </c>
      <c r="M29" s="852"/>
      <c r="N29" s="853">
        <f>L29-'Proposed Accrual 2019'!L29</f>
        <v>0</v>
      </c>
    </row>
    <row r="30" spans="1:14" ht="15" x14ac:dyDescent="0.2">
      <c r="A30" s="140">
        <f>'Plant &amp; Reserve'!$A30</f>
        <v>31641</v>
      </c>
      <c r="B30" s="168" t="str">
        <f>'Plant &amp; Reserve'!$B30</f>
        <v>BB Unit  No. 1</v>
      </c>
      <c r="C30" s="130"/>
      <c r="D30" s="172">
        <f>IFERROR(VLOOKUP($A30,'2020 B-7'!C:R,14,FALSE),0)</f>
        <v>948126.67999999993</v>
      </c>
      <c r="E30" s="172">
        <f>IFERROR(VLOOKUP($A30,'2020 B-9'!C:T,16,FALSE),0)</f>
        <v>511644.18999999831</v>
      </c>
      <c r="F30" s="130"/>
      <c r="G30" s="170">
        <f>'Proposed Rates'!$I30</f>
        <v>2.9</v>
      </c>
      <c r="H30" s="172">
        <f t="shared" si="2"/>
        <v>27496</v>
      </c>
      <c r="I30" s="130"/>
      <c r="J30" s="170">
        <f>'Proposed Rates'!$V30</f>
        <v>3.6</v>
      </c>
      <c r="K30" s="171">
        <f t="shared" si="1"/>
        <v>34133</v>
      </c>
      <c r="L30" s="171">
        <f>K30-H30</f>
        <v>6637</v>
      </c>
      <c r="M30" s="852"/>
      <c r="N30" s="853">
        <f>L30-'Proposed Accrual 2019'!L30</f>
        <v>-151</v>
      </c>
    </row>
    <row r="31" spans="1:14" x14ac:dyDescent="0.2">
      <c r="A31" s="134"/>
      <c r="B31" s="128" t="s">
        <v>75</v>
      </c>
      <c r="C31" s="130"/>
      <c r="D31" s="173">
        <f>SUM(D26:D30)</f>
        <v>178708608.78</v>
      </c>
      <c r="E31" s="173">
        <f>SUM(E26:E30)</f>
        <v>66235630.569999985</v>
      </c>
      <c r="F31" s="130"/>
      <c r="G31" s="177">
        <f>'Proposed Rates'!$I31</f>
        <v>3.7</v>
      </c>
      <c r="H31" s="173">
        <f>SUM(H26:H30)</f>
        <v>6654636</v>
      </c>
      <c r="I31" s="130"/>
      <c r="J31" s="177">
        <f>'Proposed Rates'!$V31</f>
        <v>5.2</v>
      </c>
      <c r="K31" s="173">
        <f>SUM(K26:K30)</f>
        <v>9269571</v>
      </c>
      <c r="L31" s="173">
        <f>SUM(L26:L30)</f>
        <v>2614935</v>
      </c>
      <c r="M31" s="852"/>
      <c r="N31" s="853">
        <f>L31-'Proposed Accrual 2019'!L31</f>
        <v>-575</v>
      </c>
    </row>
    <row r="32" spans="1:14" x14ac:dyDescent="0.2">
      <c r="A32" s="140"/>
      <c r="B32" s="130"/>
      <c r="C32" s="130"/>
      <c r="D32" s="145"/>
      <c r="E32" s="145"/>
      <c r="F32" s="130"/>
      <c r="G32" s="138" t="s">
        <v>60</v>
      </c>
      <c r="H32" s="825"/>
      <c r="I32" s="130"/>
      <c r="J32" s="825"/>
      <c r="K32" s="825"/>
      <c r="L32" s="145"/>
      <c r="M32" s="130"/>
      <c r="N32" s="853">
        <f>L32-'Proposed Accrual 2019'!L32</f>
        <v>0</v>
      </c>
    </row>
    <row r="33" spans="1:14" x14ac:dyDescent="0.2">
      <c r="A33" s="140">
        <f>'Plant &amp; Reserve'!$A33</f>
        <v>31142</v>
      </c>
      <c r="B33" s="130" t="str">
        <f>'Plant &amp; Reserve'!$B33</f>
        <v>BB Unit  No. 2</v>
      </c>
      <c r="C33" s="130"/>
      <c r="D33" s="145">
        <f>IFERROR(VLOOKUP($A33,'2020 B-7'!C:R,14,FALSE),0)</f>
        <v>7041821.6700000009</v>
      </c>
      <c r="E33" s="145">
        <f>IFERROR(VLOOKUP($A33,'2020 B-9'!C:T,16,FALSE),0)</f>
        <v>4032641.5299999909</v>
      </c>
      <c r="F33" s="130"/>
      <c r="G33" s="138">
        <f>'Proposed Rates'!$I33</f>
        <v>2</v>
      </c>
      <c r="H33" s="145">
        <f>ROUND(($D33*G33)/100,0)</f>
        <v>140836</v>
      </c>
      <c r="I33" s="130"/>
      <c r="J33" s="138">
        <f>'Proposed Rates'!$V33</f>
        <v>2.6</v>
      </c>
      <c r="K33" s="145">
        <f>ROUND(($D33*J33)/100,0)</f>
        <v>183087</v>
      </c>
      <c r="L33" s="145">
        <f>K33-H33</f>
        <v>42251</v>
      </c>
      <c r="M33" s="852"/>
      <c r="N33" s="853">
        <f>L33-'Proposed Accrual 2019'!L33</f>
        <v>-36</v>
      </c>
    </row>
    <row r="34" spans="1:14" x14ac:dyDescent="0.2">
      <c r="A34" s="140">
        <f>'Plant &amp; Reserve'!$A34</f>
        <v>31242</v>
      </c>
      <c r="B34" s="130" t="str">
        <f>'Plant &amp; Reserve'!$B34</f>
        <v>BB Unit  No. 2</v>
      </c>
      <c r="C34" s="130"/>
      <c r="D34" s="145">
        <f>IFERROR(VLOOKUP($A34,'2020 B-7'!C:R,14,FALSE),0)</f>
        <v>87640917.920000017</v>
      </c>
      <c r="E34" s="145">
        <f>IFERROR(VLOOKUP($A34,'2020 B-9'!C:T,16,FALSE),0)</f>
        <v>29428764.919999987</v>
      </c>
      <c r="F34" s="130"/>
      <c r="G34" s="138">
        <f>'Proposed Rates'!$I34</f>
        <v>3.7</v>
      </c>
      <c r="H34" s="145">
        <f t="shared" ref="H34:H37" si="3">ROUND(($D34*G34)/100,0)</f>
        <v>3242714</v>
      </c>
      <c r="I34" s="130"/>
      <c r="J34" s="138">
        <f>'Proposed Rates'!$V34</f>
        <v>4.3</v>
      </c>
      <c r="K34" s="145">
        <f t="shared" ref="K34:K37" si="4">ROUND(($D34*J34)/100,0)</f>
        <v>3768559</v>
      </c>
      <c r="L34" s="145">
        <f>K34-H34</f>
        <v>525845</v>
      </c>
      <c r="M34" s="852"/>
      <c r="N34" s="853">
        <f>L34-'Proposed Accrual 2019'!L34</f>
        <v>9281</v>
      </c>
    </row>
    <row r="35" spans="1:14" x14ac:dyDescent="0.2">
      <c r="A35" s="140">
        <f>'Plant &amp; Reserve'!$A35</f>
        <v>31442</v>
      </c>
      <c r="B35" s="130" t="str">
        <f>'Plant &amp; Reserve'!$B35</f>
        <v>BB Unit  No. 2</v>
      </c>
      <c r="C35" s="130"/>
      <c r="D35" s="145">
        <f>IFERROR(VLOOKUP($A35,'2020 B-7'!C:R,14,FALSE),0)</f>
        <v>50863062.61999999</v>
      </c>
      <c r="E35" s="145">
        <f>IFERROR(VLOOKUP($A35,'2020 B-9'!C:T,16,FALSE),0)</f>
        <v>25022385.920000009</v>
      </c>
      <c r="F35" s="130"/>
      <c r="G35" s="138">
        <f>'Proposed Rates'!$I35</f>
        <v>3.8</v>
      </c>
      <c r="H35" s="145">
        <f t="shared" si="3"/>
        <v>1932796</v>
      </c>
      <c r="I35" s="130"/>
      <c r="J35" s="138">
        <f>'Proposed Rates'!$V35</f>
        <v>4.0999999999999996</v>
      </c>
      <c r="K35" s="145">
        <f t="shared" si="4"/>
        <v>2085386</v>
      </c>
      <c r="L35" s="145">
        <f>K35-H35</f>
        <v>152590</v>
      </c>
      <c r="M35" s="852"/>
      <c r="N35" s="853">
        <f>L35-'Proposed Accrual 2019'!L35</f>
        <v>217</v>
      </c>
    </row>
    <row r="36" spans="1:14" x14ac:dyDescent="0.2">
      <c r="A36" s="140">
        <f>'Plant &amp; Reserve'!$A36</f>
        <v>31542</v>
      </c>
      <c r="B36" s="130" t="str">
        <f>'Plant &amp; Reserve'!$B36</f>
        <v>BB Unit  No. 2</v>
      </c>
      <c r="C36" s="130"/>
      <c r="D36" s="145">
        <f>IFERROR(VLOOKUP($A36,'2020 B-7'!C:R,14,FALSE),0)</f>
        <v>18870058.369999994</v>
      </c>
      <c r="E36" s="145">
        <f>IFERROR(VLOOKUP($A36,'2020 B-9'!C:T,16,FALSE),0)</f>
        <v>7618531.8000000035</v>
      </c>
      <c r="F36" s="130"/>
      <c r="G36" s="138">
        <f>'Proposed Rates'!$I36</f>
        <v>3.3</v>
      </c>
      <c r="H36" s="145">
        <f t="shared" si="3"/>
        <v>622712</v>
      </c>
      <c r="I36" s="130"/>
      <c r="J36" s="138">
        <f>'Proposed Rates'!$V36</f>
        <v>5</v>
      </c>
      <c r="K36" s="145">
        <f t="shared" si="4"/>
        <v>943503</v>
      </c>
      <c r="L36" s="145">
        <f>K36-H36</f>
        <v>320791</v>
      </c>
      <c r="M36" s="852"/>
      <c r="N36" s="853">
        <f>L36-'Proposed Accrual 2019'!L36</f>
        <v>0</v>
      </c>
    </row>
    <row r="37" spans="1:14" ht="15" x14ac:dyDescent="0.2">
      <c r="A37" s="140">
        <f>'Plant &amp; Reserve'!$A37</f>
        <v>31642</v>
      </c>
      <c r="B37" s="168" t="str">
        <f>'Plant &amp; Reserve'!$B37</f>
        <v>BB Unit  No. 2</v>
      </c>
      <c r="C37" s="130"/>
      <c r="D37" s="172">
        <f>IFERROR(VLOOKUP($A37,'2020 B-7'!C:R,14,FALSE),0)</f>
        <v>546950.39</v>
      </c>
      <c r="E37" s="172">
        <f>IFERROR(VLOOKUP($A37,'2020 B-9'!C:T,16,FALSE),0)</f>
        <v>485412.90000000072</v>
      </c>
      <c r="F37" s="130"/>
      <c r="G37" s="170">
        <f>'Proposed Rates'!$I37</f>
        <v>3</v>
      </c>
      <c r="H37" s="172">
        <f t="shared" si="3"/>
        <v>16409</v>
      </c>
      <c r="I37" s="130"/>
      <c r="J37" s="170">
        <f>'Proposed Rates'!$V37</f>
        <v>1.4</v>
      </c>
      <c r="K37" s="171">
        <f t="shared" si="4"/>
        <v>7657</v>
      </c>
      <c r="L37" s="171">
        <f>K37-H37</f>
        <v>-8752</v>
      </c>
      <c r="M37" s="852"/>
      <c r="N37" s="853">
        <f>L37-'Proposed Accrual 2019'!L37</f>
        <v>0</v>
      </c>
    </row>
    <row r="38" spans="1:14" x14ac:dyDescent="0.2">
      <c r="A38" s="134"/>
      <c r="B38" s="128" t="s">
        <v>75</v>
      </c>
      <c r="C38" s="130"/>
      <c r="D38" s="173">
        <f>SUM(D33:D37)</f>
        <v>164962810.97</v>
      </c>
      <c r="E38" s="173">
        <f>SUM(E33:E37)</f>
        <v>66587737.069999993</v>
      </c>
      <c r="F38" s="130"/>
      <c r="G38" s="177">
        <f>'Proposed Rates'!$I38</f>
        <v>3.5</v>
      </c>
      <c r="H38" s="173">
        <f>SUM(H33:H37)</f>
        <v>5955467</v>
      </c>
      <c r="I38" s="130"/>
      <c r="J38" s="177">
        <f>'Proposed Rates'!$V38</f>
        <v>4.2</v>
      </c>
      <c r="K38" s="173">
        <f>SUM(K33:K37)</f>
        <v>6988192</v>
      </c>
      <c r="L38" s="173">
        <f>SUM(L33:L37)</f>
        <v>1032725</v>
      </c>
      <c r="M38" s="852"/>
      <c r="N38" s="853">
        <f>L38-'Proposed Accrual 2019'!L38</f>
        <v>9462</v>
      </c>
    </row>
    <row r="39" spans="1:14" x14ac:dyDescent="0.2">
      <c r="A39" s="140"/>
      <c r="B39" s="130"/>
      <c r="C39" s="130"/>
      <c r="D39" s="145"/>
      <c r="E39" s="145"/>
      <c r="F39" s="130"/>
      <c r="G39" s="138" t="s">
        <v>60</v>
      </c>
      <c r="H39" s="145"/>
      <c r="I39" s="130"/>
      <c r="J39" s="138"/>
      <c r="K39" s="145"/>
      <c r="L39" s="145"/>
      <c r="M39" s="130"/>
      <c r="N39" s="853">
        <f>L39-'Proposed Accrual 2019'!L39</f>
        <v>0</v>
      </c>
    </row>
    <row r="40" spans="1:14" x14ac:dyDescent="0.2">
      <c r="A40" s="140">
        <f>'Plant &amp; Reserve'!$A40</f>
        <v>31143</v>
      </c>
      <c r="B40" s="130" t="str">
        <f>'Plant &amp; Reserve'!$B40</f>
        <v>BB Unit  No. 3</v>
      </c>
      <c r="C40" s="130"/>
      <c r="D40" s="145">
        <f>IFERROR(VLOOKUP($A40,'2020 B-7'!C:R,14,FALSE),0)</f>
        <v>15195121.609999998</v>
      </c>
      <c r="E40" s="145">
        <f>IFERROR(VLOOKUP($A40,'2020 B-9'!C:T,16,FALSE),0)</f>
        <v>10087978.699999975</v>
      </c>
      <c r="F40" s="130"/>
      <c r="G40" s="138">
        <f>'Proposed Rates'!$I40</f>
        <v>1.8</v>
      </c>
      <c r="H40" s="145">
        <f>ROUND(($D40*G40)/100,0)</f>
        <v>273512</v>
      </c>
      <c r="I40" s="130"/>
      <c r="J40" s="138">
        <f>'Proposed Rates'!$V40</f>
        <v>1.7</v>
      </c>
      <c r="K40" s="145">
        <f>ROUND(($D40*J40)/100,0)</f>
        <v>258317</v>
      </c>
      <c r="L40" s="145">
        <f>K40-H40</f>
        <v>-15195</v>
      </c>
      <c r="M40" s="852"/>
      <c r="N40" s="853">
        <f>L40-'Proposed Accrual 2019'!L40</f>
        <v>130</v>
      </c>
    </row>
    <row r="41" spans="1:14" x14ac:dyDescent="0.2">
      <c r="A41" s="140">
        <f>'Plant &amp; Reserve'!$A41</f>
        <v>31243</v>
      </c>
      <c r="B41" s="130" t="str">
        <f>'Plant &amp; Reserve'!$B41</f>
        <v>BB Unit  No. 3</v>
      </c>
      <c r="C41" s="130"/>
      <c r="D41" s="145">
        <f>IFERROR(VLOOKUP($A41,'2020 B-7'!C:R,14,FALSE),0)</f>
        <v>164880015.79999998</v>
      </c>
      <c r="E41" s="145">
        <f>IFERROR(VLOOKUP($A41,'2020 B-9'!C:T,16,FALSE),0)</f>
        <v>63080532.810000025</v>
      </c>
      <c r="F41" s="130"/>
      <c r="G41" s="138">
        <f>'Proposed Rates'!$I41</f>
        <v>3.5</v>
      </c>
      <c r="H41" s="145">
        <f t="shared" ref="H41:H44" si="5">ROUND(($D41*G41)/100,0)</f>
        <v>5770801</v>
      </c>
      <c r="I41" s="130"/>
      <c r="J41" s="138">
        <f>'Proposed Rates'!$V41</f>
        <v>3.6</v>
      </c>
      <c r="K41" s="145">
        <f t="shared" ref="K41:K44" si="6">ROUND(($D41*J41)/100,0)</f>
        <v>5935681</v>
      </c>
      <c r="L41" s="145">
        <f>K41-H41</f>
        <v>164880</v>
      </c>
      <c r="M41" s="852"/>
      <c r="N41" s="853">
        <f>L41-'Proposed Accrual 2019'!L41</f>
        <v>2906</v>
      </c>
    </row>
    <row r="42" spans="1:14" x14ac:dyDescent="0.2">
      <c r="A42" s="140">
        <f>'Plant &amp; Reserve'!$A42</f>
        <v>31443</v>
      </c>
      <c r="B42" s="130" t="str">
        <f>'Plant &amp; Reserve'!$B42</f>
        <v>BB Unit  No. 3</v>
      </c>
      <c r="C42" s="130"/>
      <c r="D42" s="145">
        <f>IFERROR(VLOOKUP($A42,'2020 B-7'!C:R,14,FALSE),0)</f>
        <v>54862763.579999998</v>
      </c>
      <c r="E42" s="145">
        <f>IFERROR(VLOOKUP($A42,'2020 B-9'!C:T,16,FALSE),0)</f>
        <v>23316479.299999967</v>
      </c>
      <c r="F42" s="130"/>
      <c r="G42" s="138">
        <f>'Proposed Rates'!$I42</f>
        <v>3.2</v>
      </c>
      <c r="H42" s="145">
        <f t="shared" si="5"/>
        <v>1755608</v>
      </c>
      <c r="I42" s="130"/>
      <c r="J42" s="138">
        <f>'Proposed Rates'!$V42</f>
        <v>3.8</v>
      </c>
      <c r="K42" s="145">
        <f t="shared" si="6"/>
        <v>2084785</v>
      </c>
      <c r="L42" s="145">
        <f>K42-H42</f>
        <v>329177</v>
      </c>
      <c r="M42" s="852"/>
      <c r="N42" s="853">
        <f>L42-'Proposed Accrual 2019'!L42</f>
        <v>17559</v>
      </c>
    </row>
    <row r="43" spans="1:14" x14ac:dyDescent="0.2">
      <c r="A43" s="140">
        <f>'Plant &amp; Reserve'!$A43</f>
        <v>31543</v>
      </c>
      <c r="B43" s="130" t="str">
        <f>'Plant &amp; Reserve'!$B43</f>
        <v>BB Unit  No. 3</v>
      </c>
      <c r="C43" s="130"/>
      <c r="D43" s="145">
        <f>IFERROR(VLOOKUP($A43,'2020 B-7'!C:R,14,FALSE),0)</f>
        <v>26082371.519999992</v>
      </c>
      <c r="E43" s="145">
        <f>IFERROR(VLOOKUP($A43,'2020 B-9'!C:T,16,FALSE),0)</f>
        <v>15308576.919999998</v>
      </c>
      <c r="F43" s="130"/>
      <c r="G43" s="138">
        <f>'Proposed Rates'!$I43</f>
        <v>3.6</v>
      </c>
      <c r="H43" s="145">
        <f t="shared" si="5"/>
        <v>938965</v>
      </c>
      <c r="I43" s="130"/>
      <c r="J43" s="138">
        <f>'Proposed Rates'!$V43</f>
        <v>3.3</v>
      </c>
      <c r="K43" s="145">
        <f t="shared" si="6"/>
        <v>860718</v>
      </c>
      <c r="L43" s="145">
        <f>K43-H43</f>
        <v>-78247</v>
      </c>
      <c r="M43" s="852"/>
      <c r="N43" s="853">
        <f>L43-'Proposed Accrual 2019'!L43</f>
        <v>-3625</v>
      </c>
    </row>
    <row r="44" spans="1:14" ht="15" x14ac:dyDescent="0.2">
      <c r="A44" s="140">
        <f>'Plant &amp; Reserve'!$A44</f>
        <v>31643</v>
      </c>
      <c r="B44" s="168" t="str">
        <f>'Plant &amp; Reserve'!$B44</f>
        <v>BB Unit  No. 3</v>
      </c>
      <c r="C44" s="130"/>
      <c r="D44" s="172">
        <f>IFERROR(VLOOKUP($A44,'2020 B-7'!C:R,14,FALSE),0)</f>
        <v>1988252.8</v>
      </c>
      <c r="E44" s="172">
        <f>IFERROR(VLOOKUP($A44,'2020 B-9'!C:T,16,FALSE),0)</f>
        <v>900973.58000000136</v>
      </c>
      <c r="F44" s="130"/>
      <c r="G44" s="170">
        <f>'Proposed Rates'!$I44</f>
        <v>3</v>
      </c>
      <c r="H44" s="172">
        <f t="shared" si="5"/>
        <v>59648</v>
      </c>
      <c r="I44" s="130"/>
      <c r="J44" s="170">
        <f>'Proposed Rates'!$V44</f>
        <v>3.6</v>
      </c>
      <c r="K44" s="171">
        <f t="shared" si="6"/>
        <v>71577</v>
      </c>
      <c r="L44" s="171">
        <f>K44-H44</f>
        <v>11929</v>
      </c>
      <c r="M44" s="852"/>
      <c r="N44" s="853">
        <f>L44-'Proposed Accrual 2019'!L44</f>
        <v>0</v>
      </c>
    </row>
    <row r="45" spans="1:14" x14ac:dyDescent="0.2">
      <c r="A45" s="134"/>
      <c r="B45" s="128" t="s">
        <v>75</v>
      </c>
      <c r="C45" s="130"/>
      <c r="D45" s="173">
        <f>SUM(D40:D44)</f>
        <v>263008525.30999994</v>
      </c>
      <c r="E45" s="173">
        <f>SUM(E40:E44)</f>
        <v>112694541.30999997</v>
      </c>
      <c r="F45" s="130"/>
      <c r="G45" s="177">
        <f>'Proposed Rates'!$I45</f>
        <v>3.4</v>
      </c>
      <c r="H45" s="173">
        <f>SUM(H40:H44)</f>
        <v>8798534</v>
      </c>
      <c r="I45" s="130"/>
      <c r="J45" s="177">
        <f>'Proposed Rates'!$V45</f>
        <v>3.5</v>
      </c>
      <c r="K45" s="173">
        <f>SUM(K40:K44)</f>
        <v>9211078</v>
      </c>
      <c r="L45" s="173">
        <f>SUM(L40:L44)</f>
        <v>412544</v>
      </c>
      <c r="M45" s="852"/>
      <c r="N45" s="853">
        <f>L45-'Proposed Accrual 2019'!L45</f>
        <v>16970</v>
      </c>
    </row>
    <row r="46" spans="1:14" x14ac:dyDescent="0.2">
      <c r="A46" s="140"/>
      <c r="B46" s="130"/>
      <c r="C46" s="130"/>
      <c r="D46" s="145"/>
      <c r="E46" s="145"/>
      <c r="F46" s="130"/>
      <c r="G46" s="138" t="s">
        <v>60</v>
      </c>
      <c r="H46" s="145"/>
      <c r="I46" s="130"/>
      <c r="J46" s="138"/>
      <c r="K46" s="145"/>
      <c r="L46" s="145"/>
      <c r="M46" s="130"/>
      <c r="N46" s="853">
        <f>L46-'Proposed Accrual 2019'!L46</f>
        <v>0</v>
      </c>
    </row>
    <row r="47" spans="1:14" x14ac:dyDescent="0.2">
      <c r="A47" s="140">
        <f>'Plant &amp; Reserve'!$A47</f>
        <v>31144</v>
      </c>
      <c r="B47" s="130" t="str">
        <f>'Plant &amp; Reserve'!$B47</f>
        <v>BB Unit  No. 4</v>
      </c>
      <c r="C47" s="130"/>
      <c r="D47" s="145">
        <f>IFERROR(VLOOKUP($A47,'2020 B-7'!C:R,14,FALSE),0)</f>
        <v>64771779.649999991</v>
      </c>
      <c r="E47" s="145">
        <f>IFERROR(VLOOKUP($A47,'2020 B-9'!C:T,16,FALSE),0)</f>
        <v>35727870.820000015</v>
      </c>
      <c r="F47" s="130"/>
      <c r="G47" s="138">
        <f>'Proposed Rates'!$I47</f>
        <v>1.8</v>
      </c>
      <c r="H47" s="145">
        <f>ROUND(($D47*G47)/100,0)</f>
        <v>1165892</v>
      </c>
      <c r="I47" s="130"/>
      <c r="J47" s="138">
        <f>'Proposed Rates'!$V47</f>
        <v>1.9</v>
      </c>
      <c r="K47" s="145">
        <f>ROUND(($D47*J47)/100,0)</f>
        <v>1230664</v>
      </c>
      <c r="L47" s="145">
        <f>K47-H47</f>
        <v>64772</v>
      </c>
      <c r="M47" s="852"/>
      <c r="N47" s="853">
        <f>L47-'Proposed Accrual 2019'!L47</f>
        <v>1408</v>
      </c>
    </row>
    <row r="48" spans="1:14" x14ac:dyDescent="0.2">
      <c r="A48" s="140">
        <f>'Plant &amp; Reserve'!$A48</f>
        <v>31244</v>
      </c>
      <c r="B48" s="130" t="str">
        <f>'Plant &amp; Reserve'!$B48</f>
        <v>BB Unit  No. 4</v>
      </c>
      <c r="C48" s="130"/>
      <c r="D48" s="145">
        <f>IFERROR(VLOOKUP($A48,'2020 B-7'!C:R,14,FALSE),0)</f>
        <v>288210493.83999997</v>
      </c>
      <c r="E48" s="145">
        <f>IFERROR(VLOOKUP($A48,'2020 B-9'!C:T,16,FALSE),0)</f>
        <v>93710611.190000117</v>
      </c>
      <c r="F48" s="130"/>
      <c r="G48" s="138">
        <f>'Proposed Rates'!$I48</f>
        <v>3</v>
      </c>
      <c r="H48" s="145">
        <f t="shared" ref="H48:H51" si="7">ROUND(($D48*G48)/100,0)</f>
        <v>8646315</v>
      </c>
      <c r="I48" s="130"/>
      <c r="J48" s="138">
        <f>'Proposed Rates'!$V48</f>
        <v>3.3</v>
      </c>
      <c r="K48" s="145">
        <f t="shared" ref="K48:K51" si="8">ROUND(($D48*J48)/100,0)</f>
        <v>9510946</v>
      </c>
      <c r="L48" s="145">
        <f>K48-H48</f>
        <v>864631</v>
      </c>
      <c r="M48" s="852"/>
      <c r="N48" s="853">
        <f>L48-'Proposed Accrual 2019'!L48</f>
        <v>95584</v>
      </c>
    </row>
    <row r="49" spans="1:14" x14ac:dyDescent="0.2">
      <c r="A49" s="140">
        <f>'Plant &amp; Reserve'!$A49</f>
        <v>31444</v>
      </c>
      <c r="B49" s="130" t="str">
        <f>'Plant &amp; Reserve'!$B49</f>
        <v>BB Unit  No. 4</v>
      </c>
      <c r="C49" s="130"/>
      <c r="D49" s="145">
        <f>IFERROR(VLOOKUP($A49,'2020 B-7'!C:R,14,FALSE),0)</f>
        <v>109750739.83999997</v>
      </c>
      <c r="E49" s="145">
        <f>IFERROR(VLOOKUP($A49,'2020 B-9'!C:T,16,FALSE),0)</f>
        <v>45080268.520000011</v>
      </c>
      <c r="F49" s="130"/>
      <c r="G49" s="138">
        <f>'Proposed Rates'!$I49</f>
        <v>2.8</v>
      </c>
      <c r="H49" s="145">
        <f t="shared" si="7"/>
        <v>3073021</v>
      </c>
      <c r="I49" s="130"/>
      <c r="J49" s="138">
        <f>'Proposed Rates'!$V49</f>
        <v>3.2</v>
      </c>
      <c r="K49" s="145">
        <f t="shared" si="8"/>
        <v>3512024</v>
      </c>
      <c r="L49" s="145">
        <f>K49-H49</f>
        <v>439003</v>
      </c>
      <c r="M49" s="852"/>
      <c r="N49" s="853">
        <f>L49-'Proposed Accrual 2019'!L49</f>
        <v>47878</v>
      </c>
    </row>
    <row r="50" spans="1:14" x14ac:dyDescent="0.2">
      <c r="A50" s="140">
        <f>'Plant &amp; Reserve'!$A50</f>
        <v>31544</v>
      </c>
      <c r="B50" s="130" t="str">
        <f>'Plant &amp; Reserve'!$B50</f>
        <v>BB Unit  No. 4</v>
      </c>
      <c r="C50" s="130"/>
      <c r="D50" s="145">
        <f>IFERROR(VLOOKUP($A50,'2020 B-7'!C:R,14,FALSE),0)</f>
        <v>51508720.270000011</v>
      </c>
      <c r="E50" s="145">
        <f>IFERROR(VLOOKUP($A50,'2020 B-9'!C:T,16,FALSE),0)</f>
        <v>29368762.999999974</v>
      </c>
      <c r="F50" s="130"/>
      <c r="G50" s="138">
        <f>'Proposed Rates'!$I50</f>
        <v>3.2</v>
      </c>
      <c r="H50" s="145">
        <f t="shared" si="7"/>
        <v>1648279</v>
      </c>
      <c r="I50" s="130"/>
      <c r="J50" s="138">
        <f>'Proposed Rates'!$V50</f>
        <v>2.9</v>
      </c>
      <c r="K50" s="145">
        <f t="shared" si="8"/>
        <v>1493753</v>
      </c>
      <c r="L50" s="145">
        <f>K50-H50</f>
        <v>-154526</v>
      </c>
      <c r="M50" s="852"/>
      <c r="N50" s="853">
        <f>L50-'Proposed Accrual 2019'!L50</f>
        <v>-20339</v>
      </c>
    </row>
    <row r="51" spans="1:14" ht="15" x14ac:dyDescent="0.2">
      <c r="A51" s="140">
        <f>'Plant &amp; Reserve'!$A51</f>
        <v>31644</v>
      </c>
      <c r="B51" s="168" t="str">
        <f>'Plant &amp; Reserve'!$B51</f>
        <v>BB Unit  No. 4</v>
      </c>
      <c r="C51" s="130"/>
      <c r="D51" s="172">
        <f>IFERROR(VLOOKUP($A51,'2020 B-7'!C:R,14,FALSE),0)</f>
        <v>5865811.79</v>
      </c>
      <c r="E51" s="172">
        <f>IFERROR(VLOOKUP($A51,'2020 B-9'!C:T,16,FALSE),0)</f>
        <v>3936281.7099999962</v>
      </c>
      <c r="F51" s="130"/>
      <c r="G51" s="170">
        <f>'Proposed Rates'!$I51</f>
        <v>2.5</v>
      </c>
      <c r="H51" s="172">
        <f t="shared" si="7"/>
        <v>146645</v>
      </c>
      <c r="I51" s="130"/>
      <c r="J51" s="170">
        <f>'Proposed Rates'!$V51</f>
        <v>1.8</v>
      </c>
      <c r="K51" s="171">
        <f t="shared" si="8"/>
        <v>105585</v>
      </c>
      <c r="L51" s="171">
        <f>K51-H51</f>
        <v>-41060</v>
      </c>
      <c r="M51" s="852"/>
      <c r="N51" s="853">
        <f>L51-'Proposed Accrual 2019'!L51</f>
        <v>0</v>
      </c>
    </row>
    <row r="52" spans="1:14" x14ac:dyDescent="0.2">
      <c r="A52" s="134"/>
      <c r="B52" s="128" t="s">
        <v>75</v>
      </c>
      <c r="C52" s="130"/>
      <c r="D52" s="173">
        <f>SUM(D47:D51)</f>
        <v>520107545.38999993</v>
      </c>
      <c r="E52" s="173">
        <f>SUM(E47:E51)</f>
        <v>207823795.24000013</v>
      </c>
      <c r="F52" s="130"/>
      <c r="G52" s="177">
        <f>'Proposed Rates'!$I52</f>
        <v>2.8</v>
      </c>
      <c r="H52" s="173">
        <f>SUM(H47:H51)</f>
        <v>14680152</v>
      </c>
      <c r="I52" s="130"/>
      <c r="J52" s="177">
        <f>'Proposed Rates'!$V52</f>
        <v>3</v>
      </c>
      <c r="K52" s="173">
        <f>SUM(K47:K51)</f>
        <v>15852972</v>
      </c>
      <c r="L52" s="173">
        <f>SUM(L47:L51)</f>
        <v>1172820</v>
      </c>
      <c r="M52" s="852"/>
      <c r="N52" s="853">
        <f>L52-'Proposed Accrual 2019'!L52</f>
        <v>124531</v>
      </c>
    </row>
    <row r="53" spans="1:14" x14ac:dyDescent="0.2">
      <c r="A53" s="140"/>
      <c r="B53" s="130"/>
      <c r="C53" s="130"/>
      <c r="D53" s="145"/>
      <c r="E53" s="145"/>
      <c r="F53" s="130"/>
      <c r="G53" s="138" t="s">
        <v>60</v>
      </c>
      <c r="H53" s="145"/>
      <c r="I53" s="130"/>
      <c r="J53" s="138"/>
      <c r="K53" s="145"/>
      <c r="L53" s="145"/>
      <c r="M53" s="130"/>
      <c r="N53" s="853">
        <f>L53-'Proposed Accrual 2019'!L53</f>
        <v>0</v>
      </c>
    </row>
    <row r="54" spans="1:14" x14ac:dyDescent="0.2">
      <c r="A54" s="140">
        <f>'Plant &amp; Reserve'!$A54</f>
        <v>31146</v>
      </c>
      <c r="B54" s="130" t="str">
        <f>'Plant &amp; Reserve'!$B54</f>
        <v>No. 1 &amp; 2  FGD System</v>
      </c>
      <c r="C54" s="130"/>
      <c r="D54" s="145">
        <f>IFERROR(VLOOKUP($A54,'2020 B-7'!C:R,14,FALSE),0)</f>
        <v>12657052.74</v>
      </c>
      <c r="E54" s="145">
        <f>IFERROR(VLOOKUP($A54,'2020 B-9'!C:T,16,FALSE),0)</f>
        <v>7242262.0200000014</v>
      </c>
      <c r="F54" s="130"/>
      <c r="G54" s="138">
        <f>'Proposed Rates'!$I54</f>
        <v>2.9</v>
      </c>
      <c r="H54" s="145">
        <f t="shared" ref="H54:H57" si="9">ROUND(($D54*G54)/100,0)</f>
        <v>367055</v>
      </c>
      <c r="I54" s="130"/>
      <c r="J54" s="138">
        <f>'Proposed Rates'!$V54</f>
        <v>2.9</v>
      </c>
      <c r="K54" s="145">
        <f t="shared" ref="K54:K57" si="10">ROUND(($D54*J54)/100,0)</f>
        <v>367055</v>
      </c>
      <c r="L54" s="145">
        <f>K54-H54</f>
        <v>0</v>
      </c>
      <c r="M54" s="852"/>
      <c r="N54" s="853">
        <f>L54-'Proposed Accrual 2019'!L54</f>
        <v>0</v>
      </c>
    </row>
    <row r="55" spans="1:14" x14ac:dyDescent="0.2">
      <c r="A55" s="140">
        <f>'Plant &amp; Reserve'!$A55</f>
        <v>31246</v>
      </c>
      <c r="B55" s="130" t="str">
        <f>'Plant &amp; Reserve'!$B55</f>
        <v>No. 1 &amp; 2  FGD System</v>
      </c>
      <c r="C55" s="130"/>
      <c r="D55" s="145">
        <f>IFERROR(VLOOKUP($A55,'2020 B-7'!C:R,14,FALSE),0)</f>
        <v>55036213.859999992</v>
      </c>
      <c r="E55" s="145">
        <f>IFERROR(VLOOKUP($A55,'2020 B-9'!C:T,16,FALSE),0)</f>
        <v>19322785.580000028</v>
      </c>
      <c r="F55" s="130"/>
      <c r="G55" s="138">
        <f>'Proposed Rates'!$I55</f>
        <v>3.3</v>
      </c>
      <c r="H55" s="145">
        <f t="shared" si="9"/>
        <v>1816195</v>
      </c>
      <c r="I55" s="130"/>
      <c r="J55" s="138">
        <f>'Proposed Rates'!$V55</f>
        <v>4.3</v>
      </c>
      <c r="K55" s="145">
        <f t="shared" si="10"/>
        <v>2366557</v>
      </c>
      <c r="L55" s="145">
        <f>K55-H55</f>
        <v>550362</v>
      </c>
      <c r="M55" s="852"/>
      <c r="N55" s="853">
        <f>L55-'Proposed Accrual 2019'!L55</f>
        <v>1765</v>
      </c>
    </row>
    <row r="56" spans="1:14" x14ac:dyDescent="0.2">
      <c r="A56" s="140">
        <f>'Plant &amp; Reserve'!$A56</f>
        <v>31546</v>
      </c>
      <c r="B56" s="130" t="str">
        <f>'Plant &amp; Reserve'!$B56</f>
        <v>No. 1 &amp; 2  FGD System</v>
      </c>
      <c r="C56" s="130"/>
      <c r="D56" s="145">
        <f>IFERROR(VLOOKUP($A56,'2020 B-7'!C:R,14,FALSE),0)</f>
        <v>9765956.1899999995</v>
      </c>
      <c r="E56" s="145">
        <f>IFERROR(VLOOKUP($A56,'2020 B-9'!C:T,16,FALSE),0)</f>
        <v>4823631.2600000026</v>
      </c>
      <c r="F56" s="130"/>
      <c r="G56" s="138">
        <f>'Proposed Rates'!$I56</f>
        <v>3.5</v>
      </c>
      <c r="H56" s="145">
        <f t="shared" si="9"/>
        <v>341808</v>
      </c>
      <c r="I56" s="130"/>
      <c r="J56" s="138">
        <f>'Proposed Rates'!$V56</f>
        <v>3.5</v>
      </c>
      <c r="K56" s="145">
        <f t="shared" si="10"/>
        <v>341808</v>
      </c>
      <c r="L56" s="145">
        <f>K56-H56</f>
        <v>0</v>
      </c>
      <c r="M56" s="852"/>
      <c r="N56" s="853">
        <f>L56-'Proposed Accrual 2019'!L56</f>
        <v>0</v>
      </c>
    </row>
    <row r="57" spans="1:14" ht="15" x14ac:dyDescent="0.2">
      <c r="A57" s="140">
        <f>'Plant &amp; Reserve'!$A57</f>
        <v>31646</v>
      </c>
      <c r="B57" s="168" t="str">
        <f>'Plant &amp; Reserve'!$B57</f>
        <v>No. 1 &amp; 2  FGD System</v>
      </c>
      <c r="C57" s="130"/>
      <c r="D57" s="172">
        <f>IFERROR(VLOOKUP($A57,'2020 B-7'!C:R,14,FALSE),0)</f>
        <v>1725496.47</v>
      </c>
      <c r="E57" s="172">
        <f>IFERROR(VLOOKUP($A57,'2020 B-9'!C:T,16,FALSE),0)</f>
        <v>990824.72999999905</v>
      </c>
      <c r="F57" s="130"/>
      <c r="G57" s="170">
        <f>'Proposed Rates'!$I57</f>
        <v>2.9</v>
      </c>
      <c r="H57" s="172">
        <f t="shared" si="9"/>
        <v>50039</v>
      </c>
      <c r="I57" s="130"/>
      <c r="J57" s="170">
        <f>'Proposed Rates'!$V57</f>
        <v>2.7</v>
      </c>
      <c r="K57" s="171">
        <f t="shared" si="10"/>
        <v>46588</v>
      </c>
      <c r="L57" s="171">
        <f>K57-H57</f>
        <v>-3451</v>
      </c>
      <c r="M57" s="852"/>
      <c r="N57" s="853">
        <f>L57-'Proposed Accrual 2019'!L57</f>
        <v>0</v>
      </c>
    </row>
    <row r="58" spans="1:14" x14ac:dyDescent="0.2">
      <c r="A58" s="134"/>
      <c r="B58" s="128" t="s">
        <v>75</v>
      </c>
      <c r="C58" s="130"/>
      <c r="D58" s="173">
        <f>SUM(D53:D57)</f>
        <v>79184719.25999999</v>
      </c>
      <c r="E58" s="173">
        <f>SUM(E53:E57)</f>
        <v>32379503.590000033</v>
      </c>
      <c r="F58" s="130"/>
      <c r="G58" s="177">
        <f>'Proposed Rates'!$I58</f>
        <v>3.2</v>
      </c>
      <c r="H58" s="173">
        <f>SUM(H53:H57)</f>
        <v>2575097</v>
      </c>
      <c r="I58" s="130"/>
      <c r="J58" s="177">
        <f>'Proposed Rates'!$V58</f>
        <v>3.9</v>
      </c>
      <c r="K58" s="173">
        <f>SUM(K53:K57)</f>
        <v>3122008</v>
      </c>
      <c r="L58" s="173">
        <f>SUM(L53:L57)</f>
        <v>546911</v>
      </c>
      <c r="M58" s="852"/>
      <c r="N58" s="853">
        <f>L58-'Proposed Accrual 2019'!L58</f>
        <v>1765</v>
      </c>
    </row>
    <row r="59" spans="1:14" x14ac:dyDescent="0.2">
      <c r="A59" s="140"/>
      <c r="B59" s="130"/>
      <c r="C59" s="130"/>
      <c r="D59" s="145"/>
      <c r="E59" s="145"/>
      <c r="F59" s="130"/>
      <c r="G59" s="138"/>
      <c r="H59" s="145"/>
      <c r="I59" s="130"/>
      <c r="J59" s="138"/>
      <c r="K59" s="145"/>
      <c r="L59" s="145"/>
      <c r="M59" s="130"/>
      <c r="N59" s="853">
        <f>L59-'Proposed Accrual 2019'!L59</f>
        <v>0</v>
      </c>
    </row>
    <row r="60" spans="1:14" x14ac:dyDescent="0.2">
      <c r="A60" s="140">
        <f>'Plant &amp; Reserve'!$A60</f>
        <v>31145</v>
      </c>
      <c r="B60" s="130" t="str">
        <f>'Plant &amp; Reserve'!$B60</f>
        <v>No. 3 &amp; 4  FGD System</v>
      </c>
      <c r="C60" s="130"/>
      <c r="D60" s="145">
        <f>IFERROR(VLOOKUP($A60,'2020 B-7'!C:R,14,FALSE),0)</f>
        <v>24499660.690000009</v>
      </c>
      <c r="E60" s="145">
        <f>IFERROR(VLOOKUP($A60,'2020 B-9'!C:T,16,FALSE),0)</f>
        <v>12782535.770000003</v>
      </c>
      <c r="F60" s="130"/>
      <c r="G60" s="138">
        <f>'Proposed Rates'!$I60</f>
        <v>2</v>
      </c>
      <c r="H60" s="145">
        <f t="shared" ref="H60:H63" si="11">ROUND(($D60*G60)/100,0)</f>
        <v>489993</v>
      </c>
      <c r="I60" s="130"/>
      <c r="J60" s="138">
        <f>'Proposed Rates'!$V60</f>
        <v>2.1</v>
      </c>
      <c r="K60" s="145">
        <f t="shared" ref="K60:K63" si="12">ROUND(($D60*J60)/100,0)</f>
        <v>514493</v>
      </c>
      <c r="L60" s="145">
        <f>K60-H60</f>
        <v>24500</v>
      </c>
      <c r="M60" s="852"/>
      <c r="N60" s="853">
        <f>L60-'Proposed Accrual 2019'!L60</f>
        <v>588</v>
      </c>
    </row>
    <row r="61" spans="1:14" x14ac:dyDescent="0.2">
      <c r="A61" s="140">
        <f>'Plant &amp; Reserve'!$A61</f>
        <v>31245</v>
      </c>
      <c r="B61" s="130" t="str">
        <f>'Plant &amp; Reserve'!$B61</f>
        <v>No. 3 &amp; 4  FGD System</v>
      </c>
      <c r="C61" s="130"/>
      <c r="D61" s="145">
        <f>IFERROR(VLOOKUP($A61,'2020 B-7'!C:R,14,FALSE),0)</f>
        <v>161429553.99999997</v>
      </c>
      <c r="E61" s="145">
        <f>IFERROR(VLOOKUP($A61,'2020 B-9'!C:T,16,FALSE),0)</f>
        <v>62564680.180000059</v>
      </c>
      <c r="F61" s="130"/>
      <c r="G61" s="138">
        <f>'Proposed Rates'!$I61</f>
        <v>2.5</v>
      </c>
      <c r="H61" s="145">
        <f t="shared" si="11"/>
        <v>4035739</v>
      </c>
      <c r="I61" s="130"/>
      <c r="J61" s="138">
        <f>'Proposed Rates'!$V61</f>
        <v>3.1</v>
      </c>
      <c r="K61" s="145">
        <f t="shared" si="12"/>
        <v>5004316</v>
      </c>
      <c r="L61" s="145">
        <f>K61-H61</f>
        <v>968577</v>
      </c>
      <c r="M61" s="852"/>
      <c r="N61" s="853">
        <f>L61-'Proposed Accrual 2019'!L61</f>
        <v>13371</v>
      </c>
    </row>
    <row r="62" spans="1:14" x14ac:dyDescent="0.2">
      <c r="A62" s="140">
        <f>'Plant &amp; Reserve'!$A62</f>
        <v>31545</v>
      </c>
      <c r="B62" s="130" t="str">
        <f>'Plant &amp; Reserve'!$B62</f>
        <v>No. 3 &amp; 4  FGD System</v>
      </c>
      <c r="C62" s="130"/>
      <c r="D62" s="145">
        <f>IFERROR(VLOOKUP($A62,'2020 B-7'!C:R,14,FALSE),0)</f>
        <v>25708504.089999996</v>
      </c>
      <c r="E62" s="145">
        <f>IFERROR(VLOOKUP($A62,'2020 B-9'!C:T,16,FALSE),0)</f>
        <v>15180194.069999989</v>
      </c>
      <c r="F62" s="130"/>
      <c r="G62" s="138">
        <f>'Proposed Rates'!$I62</f>
        <v>3.1</v>
      </c>
      <c r="H62" s="145">
        <f t="shared" si="11"/>
        <v>796964</v>
      </c>
      <c r="I62" s="130"/>
      <c r="J62" s="138">
        <f>'Proposed Rates'!$V62</f>
        <v>2.4</v>
      </c>
      <c r="K62" s="145">
        <f t="shared" si="12"/>
        <v>617004</v>
      </c>
      <c r="L62" s="145">
        <f>K62-H62</f>
        <v>-179960</v>
      </c>
      <c r="M62" s="852"/>
      <c r="N62" s="853">
        <f>L62-'Proposed Accrual 2019'!L62</f>
        <v>8535</v>
      </c>
    </row>
    <row r="63" spans="1:14" ht="15" x14ac:dyDescent="0.2">
      <c r="A63" s="140">
        <f>'Plant &amp; Reserve'!$A63</f>
        <v>31645</v>
      </c>
      <c r="B63" s="168" t="str">
        <f>'Plant &amp; Reserve'!$B63</f>
        <v>No. 3 &amp; 4  FGD System</v>
      </c>
      <c r="C63" s="130"/>
      <c r="D63" s="172">
        <f>IFERROR(VLOOKUP($A63,'2020 B-7'!C:R,14,FALSE),0)</f>
        <v>672913.55</v>
      </c>
      <c r="E63" s="172">
        <f>IFERROR(VLOOKUP($A63,'2020 B-9'!C:T,16,FALSE),0)</f>
        <v>589914.21000000089</v>
      </c>
      <c r="F63" s="130"/>
      <c r="G63" s="170">
        <f>'Proposed Rates'!$I63</f>
        <v>3.2</v>
      </c>
      <c r="H63" s="172">
        <f t="shared" si="11"/>
        <v>21533</v>
      </c>
      <c r="I63" s="130"/>
      <c r="J63" s="170">
        <f>'Proposed Rates'!$V63</f>
        <v>0.6</v>
      </c>
      <c r="K63" s="171">
        <f t="shared" si="12"/>
        <v>4037</v>
      </c>
      <c r="L63" s="171">
        <f>K63-H63</f>
        <v>-17496</v>
      </c>
      <c r="M63" s="852"/>
      <c r="N63" s="853">
        <f>L63-'Proposed Accrual 2019'!L63</f>
        <v>429</v>
      </c>
    </row>
    <row r="64" spans="1:14" x14ac:dyDescent="0.2">
      <c r="A64" s="134"/>
      <c r="B64" s="128" t="s">
        <v>75</v>
      </c>
      <c r="C64" s="130"/>
      <c r="D64" s="173">
        <f>SUM(D59:D63)</f>
        <v>212310632.32999998</v>
      </c>
      <c r="E64" s="173">
        <f>SUM(E59:E63)</f>
        <v>91117324.230000049</v>
      </c>
      <c r="F64" s="130"/>
      <c r="G64" s="177">
        <f>'Proposed Rates'!$I64</f>
        <v>2.6</v>
      </c>
      <c r="H64" s="173">
        <f>SUM(H59:H63)</f>
        <v>5344229</v>
      </c>
      <c r="I64" s="130"/>
      <c r="J64" s="177">
        <f>'Proposed Rates'!$V64</f>
        <v>2.9</v>
      </c>
      <c r="K64" s="173">
        <f>SUM(K59:K63)</f>
        <v>6139850</v>
      </c>
      <c r="L64" s="173">
        <f>SUM(L59:L63)</f>
        <v>795621</v>
      </c>
      <c r="M64" s="852"/>
      <c r="N64" s="853">
        <f>L64-'Proposed Accrual 2019'!L64</f>
        <v>22923</v>
      </c>
    </row>
    <row r="65" spans="1:14" x14ac:dyDescent="0.2">
      <c r="A65" s="140"/>
      <c r="B65" s="130"/>
      <c r="C65" s="130"/>
      <c r="D65" s="145"/>
      <c r="E65" s="145"/>
      <c r="F65" s="130"/>
      <c r="G65" s="138"/>
      <c r="H65" s="145"/>
      <c r="I65" s="130"/>
      <c r="J65" s="138"/>
      <c r="K65" s="145"/>
      <c r="L65" s="145"/>
      <c r="M65" s="130"/>
      <c r="N65" s="853">
        <f>L65-'Proposed Accrual 2019'!L65</f>
        <v>0</v>
      </c>
    </row>
    <row r="66" spans="1:14" x14ac:dyDescent="0.2">
      <c r="A66" s="140">
        <f>'Plant &amp; Reserve'!$A66</f>
        <v>31151</v>
      </c>
      <c r="B66" s="130" t="str">
        <f>'Plant &amp; Reserve'!$B66</f>
        <v>No. 1 SCR System</v>
      </c>
      <c r="C66" s="130"/>
      <c r="D66" s="145">
        <f>IFERROR(VLOOKUP($A66,'2020 B-7'!C:R,14,FALSE),0)</f>
        <v>23136622.989999998</v>
      </c>
      <c r="E66" s="145">
        <f>IFERROR(VLOOKUP($A66,'2020 B-9'!C:T,16,FALSE),0)</f>
        <v>9959553.5199999977</v>
      </c>
      <c r="F66" s="130"/>
      <c r="G66" s="138">
        <f>'Proposed Rates'!$I66</f>
        <v>4.0999999999999996</v>
      </c>
      <c r="H66" s="145">
        <f t="shared" ref="H66:H69" si="13">ROUND(($D66*G66)/100,0)</f>
        <v>948602</v>
      </c>
      <c r="I66" s="130"/>
      <c r="J66" s="138">
        <f>'Proposed Rates'!$V66</f>
        <v>4</v>
      </c>
      <c r="K66" s="145">
        <f t="shared" ref="K66:K69" si="14">ROUND(($D66*J66)/100,0)</f>
        <v>925465</v>
      </c>
      <c r="L66" s="145">
        <f>K66-H66</f>
        <v>-23137</v>
      </c>
      <c r="M66" s="852"/>
      <c r="N66" s="853">
        <f>L66-'Proposed Accrual 2019'!L66</f>
        <v>0</v>
      </c>
    </row>
    <row r="67" spans="1:14" x14ac:dyDescent="0.2">
      <c r="A67" s="140">
        <f>'Plant &amp; Reserve'!$A67</f>
        <v>31251</v>
      </c>
      <c r="B67" s="130" t="str">
        <f>'Plant &amp; Reserve'!$B67</f>
        <v>No. 1 SCR System</v>
      </c>
      <c r="C67" s="130"/>
      <c r="D67" s="145">
        <f>IFERROR(VLOOKUP($A67,'2020 B-7'!C:R,14,FALSE),0)</f>
        <v>46985092.910000004</v>
      </c>
      <c r="E67" s="145">
        <f>IFERROR(VLOOKUP($A67,'2020 B-9'!C:T,16,FALSE),0)</f>
        <v>22212988.330000002</v>
      </c>
      <c r="F67" s="130"/>
      <c r="G67" s="138">
        <f>'Proposed Rates'!$I67</f>
        <v>4.3</v>
      </c>
      <c r="H67" s="145">
        <f t="shared" si="13"/>
        <v>2020359</v>
      </c>
      <c r="I67" s="130"/>
      <c r="J67" s="138">
        <f>'Proposed Rates'!$V67</f>
        <v>4.3</v>
      </c>
      <c r="K67" s="145">
        <f t="shared" si="14"/>
        <v>2020359</v>
      </c>
      <c r="L67" s="145">
        <f>K67-H67</f>
        <v>0</v>
      </c>
      <c r="M67" s="852"/>
      <c r="N67" s="853">
        <f>L67-'Proposed Accrual 2019'!L67</f>
        <v>0</v>
      </c>
    </row>
    <row r="68" spans="1:14" x14ac:dyDescent="0.2">
      <c r="A68" s="140">
        <f>'Plant &amp; Reserve'!$A68</f>
        <v>31551</v>
      </c>
      <c r="B68" s="130" t="str">
        <f>'Plant &amp; Reserve'!$B68</f>
        <v>No. 1 SCR System</v>
      </c>
      <c r="C68" s="130"/>
      <c r="D68" s="145">
        <f>IFERROR(VLOOKUP($A68,'2020 B-7'!C:R,14,FALSE),0)</f>
        <v>14576030.57</v>
      </c>
      <c r="E68" s="145">
        <f>IFERROR(VLOOKUP($A68,'2020 B-9'!C:T,16,FALSE),0)</f>
        <v>7325704.8700000104</v>
      </c>
      <c r="F68" s="130"/>
      <c r="G68" s="138">
        <f>'Proposed Rates'!$I68</f>
        <v>4.8</v>
      </c>
      <c r="H68" s="145">
        <f t="shared" si="13"/>
        <v>699649</v>
      </c>
      <c r="I68" s="130"/>
      <c r="J68" s="138">
        <f>'Proposed Rates'!$V68</f>
        <v>4</v>
      </c>
      <c r="K68" s="145">
        <f t="shared" si="14"/>
        <v>583041</v>
      </c>
      <c r="L68" s="145">
        <f>K68-H68</f>
        <v>-116608</v>
      </c>
      <c r="M68" s="852"/>
      <c r="N68" s="853">
        <f>L68-'Proposed Accrual 2019'!L68</f>
        <v>0</v>
      </c>
    </row>
    <row r="69" spans="1:14" ht="15" x14ac:dyDescent="0.2">
      <c r="A69" s="140">
        <f>'Plant &amp; Reserve'!$A69</f>
        <v>31651</v>
      </c>
      <c r="B69" s="168" t="str">
        <f>'Plant &amp; Reserve'!$B69</f>
        <v>No. 1 SCR System</v>
      </c>
      <c r="C69" s="130"/>
      <c r="D69" s="172">
        <f>IFERROR(VLOOKUP($A69,'2020 B-7'!C:R,14,FALSE),0)</f>
        <v>879814.74</v>
      </c>
      <c r="E69" s="172">
        <f>IFERROR(VLOOKUP($A69,'2020 B-9'!C:T,16,FALSE),0)</f>
        <v>383964.12000000069</v>
      </c>
      <c r="F69" s="130"/>
      <c r="G69" s="170">
        <f>'Proposed Rates'!$I69</f>
        <v>4.0999999999999996</v>
      </c>
      <c r="H69" s="172">
        <f t="shared" si="13"/>
        <v>36072</v>
      </c>
      <c r="I69" s="130"/>
      <c r="J69" s="170">
        <f>'Proposed Rates'!$V69</f>
        <v>4</v>
      </c>
      <c r="K69" s="171">
        <f t="shared" si="14"/>
        <v>35193</v>
      </c>
      <c r="L69" s="171">
        <f>K69-H69</f>
        <v>-879</v>
      </c>
      <c r="M69" s="852"/>
      <c r="N69" s="853">
        <f>L69-'Proposed Accrual 2019'!L69</f>
        <v>0</v>
      </c>
    </row>
    <row r="70" spans="1:14" x14ac:dyDescent="0.2">
      <c r="A70" s="140"/>
      <c r="B70" s="128" t="s">
        <v>75</v>
      </c>
      <c r="C70" s="130"/>
      <c r="D70" s="173">
        <f>SUM(D65:D69)</f>
        <v>85577561.209999993</v>
      </c>
      <c r="E70" s="173">
        <f>SUM(E65:E69)</f>
        <v>39882210.840000011</v>
      </c>
      <c r="F70" s="130"/>
      <c r="G70" s="177">
        <f>'Proposed Rates'!$I70</f>
        <v>4.3</v>
      </c>
      <c r="H70" s="173">
        <f>SUM(H65:H69)</f>
        <v>3704682</v>
      </c>
      <c r="I70" s="130"/>
      <c r="J70" s="177">
        <f>'Proposed Rates'!$V70</f>
        <v>4.0999999999999996</v>
      </c>
      <c r="K70" s="173">
        <f>SUM(K65:K69)</f>
        <v>3564058</v>
      </c>
      <c r="L70" s="173">
        <f>SUM(L65:L69)</f>
        <v>-140624</v>
      </c>
      <c r="M70" s="852"/>
      <c r="N70" s="853">
        <f>L70-'Proposed Accrual 2019'!L70</f>
        <v>0</v>
      </c>
    </row>
    <row r="71" spans="1:14" x14ac:dyDescent="0.2">
      <c r="A71" s="140"/>
      <c r="B71" s="130"/>
      <c r="C71" s="130"/>
      <c r="D71" s="145"/>
      <c r="E71" s="145"/>
      <c r="F71" s="130"/>
      <c r="G71" s="138"/>
      <c r="H71" s="145"/>
      <c r="I71" s="130"/>
      <c r="J71" s="138"/>
      <c r="K71" s="145"/>
      <c r="L71" s="145"/>
      <c r="M71" s="130"/>
      <c r="N71" s="853">
        <f>L71-'Proposed Accrual 2019'!L71</f>
        <v>0</v>
      </c>
    </row>
    <row r="72" spans="1:14" x14ac:dyDescent="0.2">
      <c r="A72" s="140">
        <f>'Plant &amp; Reserve'!$A72</f>
        <v>31152</v>
      </c>
      <c r="B72" s="130" t="str">
        <f>'Plant &amp; Reserve'!$B72</f>
        <v>No. 2 SCR System</v>
      </c>
      <c r="C72" s="130"/>
      <c r="D72" s="145">
        <f>IFERROR(VLOOKUP($A72,'2020 B-7'!C:R,14,FALSE),0)</f>
        <v>25208869.300000001</v>
      </c>
      <c r="E72" s="145">
        <f>IFERROR(VLOOKUP($A72,'2020 B-9'!C:T,16,FALSE),0)</f>
        <v>10145926.440000009</v>
      </c>
      <c r="F72" s="130"/>
      <c r="G72" s="138">
        <f>'Proposed Rates'!$I72</f>
        <v>3.5</v>
      </c>
      <c r="H72" s="145">
        <f t="shared" ref="H72:H75" si="15">ROUND(($D72*G72)/100,0)</f>
        <v>882310</v>
      </c>
      <c r="I72" s="130"/>
      <c r="J72" s="138">
        <f>'Proposed Rates'!$V72</f>
        <v>3.5</v>
      </c>
      <c r="K72" s="145">
        <f t="shared" ref="K72:K75" si="16">ROUND(($D72*J72)/100,0)</f>
        <v>882310</v>
      </c>
      <c r="L72" s="145">
        <f>K72-H72</f>
        <v>0</v>
      </c>
      <c r="M72" s="852"/>
      <c r="N72" s="853">
        <f>L72-'Proposed Accrual 2019'!L72</f>
        <v>0</v>
      </c>
    </row>
    <row r="73" spans="1:14" x14ac:dyDescent="0.2">
      <c r="A73" s="140">
        <f>'Plant &amp; Reserve'!$A73</f>
        <v>31252</v>
      </c>
      <c r="B73" s="130" t="str">
        <f>'Plant &amp; Reserve'!$B73</f>
        <v>No. 2 SCR System</v>
      </c>
      <c r="C73" s="130"/>
      <c r="D73" s="145">
        <f>IFERROR(VLOOKUP($A73,'2020 B-7'!C:R,14,FALSE),0)</f>
        <v>51260286.850000009</v>
      </c>
      <c r="E73" s="145">
        <f>IFERROR(VLOOKUP($A73,'2020 B-9'!C:T,16,FALSE),0)</f>
        <v>20381382.729999986</v>
      </c>
      <c r="F73" s="130"/>
      <c r="G73" s="138">
        <f>'Proposed Rates'!$I73</f>
        <v>4</v>
      </c>
      <c r="H73" s="145">
        <f t="shared" si="15"/>
        <v>2050411</v>
      </c>
      <c r="I73" s="130"/>
      <c r="J73" s="138">
        <f>'Proposed Rates'!$V73</f>
        <v>4.2</v>
      </c>
      <c r="K73" s="145">
        <f t="shared" si="16"/>
        <v>2152932</v>
      </c>
      <c r="L73" s="145">
        <f>K73-H73</f>
        <v>102521</v>
      </c>
      <c r="M73" s="852"/>
      <c r="N73" s="853">
        <f>L73-'Proposed Accrual 2019'!L73</f>
        <v>0</v>
      </c>
    </row>
    <row r="74" spans="1:14" x14ac:dyDescent="0.2">
      <c r="A74" s="140">
        <f>'Plant &amp; Reserve'!$A74</f>
        <v>31552</v>
      </c>
      <c r="B74" s="130" t="str">
        <f>'Plant &amp; Reserve'!$B74</f>
        <v>No. 2 SCR System</v>
      </c>
      <c r="C74" s="130"/>
      <c r="D74" s="145">
        <f>IFERROR(VLOOKUP($A74,'2020 B-7'!C:R,14,FALSE),0)</f>
        <v>15951072.529999997</v>
      </c>
      <c r="E74" s="145">
        <f>IFERROR(VLOOKUP($A74,'2020 B-9'!C:T,16,FALSE),0)</f>
        <v>7430727.629999998</v>
      </c>
      <c r="F74" s="130"/>
      <c r="G74" s="138">
        <f>'Proposed Rates'!$I74</f>
        <v>4.0999999999999996</v>
      </c>
      <c r="H74" s="145">
        <f t="shared" si="15"/>
        <v>653994</v>
      </c>
      <c r="I74" s="130"/>
      <c r="J74" s="138">
        <f>'Proposed Rates'!$V74</f>
        <v>3.7</v>
      </c>
      <c r="K74" s="145">
        <f t="shared" si="16"/>
        <v>590190</v>
      </c>
      <c r="L74" s="145">
        <f>K74-H74</f>
        <v>-63804</v>
      </c>
      <c r="M74" s="852"/>
      <c r="N74" s="853">
        <f>L74-'Proposed Accrual 2019'!L74</f>
        <v>0</v>
      </c>
    </row>
    <row r="75" spans="1:14" ht="15" x14ac:dyDescent="0.2">
      <c r="A75" s="140">
        <f>'Plant &amp; Reserve'!$A75</f>
        <v>31652</v>
      </c>
      <c r="B75" s="168" t="str">
        <f>'Plant &amp; Reserve'!$B75</f>
        <v>No. 2 SCR System</v>
      </c>
      <c r="C75" s="130"/>
      <c r="D75" s="172">
        <f>IFERROR(VLOOKUP($A75,'2020 B-7'!C:R,14,FALSE),0)</f>
        <v>958615.89</v>
      </c>
      <c r="E75" s="172">
        <f>IFERROR(VLOOKUP($A75,'2020 B-9'!C:T,16,FALSE),0)</f>
        <v>406931.91999999975</v>
      </c>
      <c r="F75" s="130"/>
      <c r="G75" s="170">
        <f>'Proposed Rates'!$I75</f>
        <v>3.7</v>
      </c>
      <c r="H75" s="172">
        <f t="shared" si="15"/>
        <v>35469</v>
      </c>
      <c r="I75" s="130"/>
      <c r="J75" s="170">
        <f>'Proposed Rates'!$V75</f>
        <v>3.4</v>
      </c>
      <c r="K75" s="171">
        <f t="shared" si="16"/>
        <v>32593</v>
      </c>
      <c r="L75" s="171">
        <f>K75-H75</f>
        <v>-2876</v>
      </c>
      <c r="M75" s="852"/>
      <c r="N75" s="853">
        <f>L75-'Proposed Accrual 2019'!L75</f>
        <v>0</v>
      </c>
    </row>
    <row r="76" spans="1:14" x14ac:dyDescent="0.2">
      <c r="A76" s="140"/>
      <c r="B76" s="128" t="s">
        <v>75</v>
      </c>
      <c r="C76" s="130"/>
      <c r="D76" s="173">
        <f>SUM(D71:D75)</f>
        <v>93378844.570000008</v>
      </c>
      <c r="E76" s="173">
        <f>SUM(E71:E75)</f>
        <v>38364968.719999991</v>
      </c>
      <c r="F76" s="130"/>
      <c r="G76" s="177">
        <f>'Proposed Rates'!$I76</f>
        <v>3.9</v>
      </c>
      <c r="H76" s="173">
        <f>SUM(H71:H75)</f>
        <v>3622184</v>
      </c>
      <c r="I76" s="130"/>
      <c r="J76" s="177">
        <f>'Proposed Rates'!$V76</f>
        <v>3.8</v>
      </c>
      <c r="K76" s="173">
        <f>SUM(K71:K75)</f>
        <v>3658025</v>
      </c>
      <c r="L76" s="173">
        <f>SUM(L71:L75)</f>
        <v>35841</v>
      </c>
      <c r="M76" s="852"/>
      <c r="N76" s="853">
        <f>L76-'Proposed Accrual 2019'!L76</f>
        <v>0</v>
      </c>
    </row>
    <row r="77" spans="1:14" x14ac:dyDescent="0.2">
      <c r="A77" s="140"/>
      <c r="B77" s="130"/>
      <c r="C77" s="130"/>
      <c r="D77" s="145"/>
      <c r="E77" s="145"/>
      <c r="F77" s="130"/>
      <c r="G77" s="138"/>
      <c r="H77" s="145"/>
      <c r="I77" s="130"/>
      <c r="J77" s="138"/>
      <c r="K77" s="145"/>
      <c r="L77" s="145"/>
      <c r="M77" s="130"/>
      <c r="N77" s="853">
        <f>L77-'Proposed Accrual 2019'!L77</f>
        <v>0</v>
      </c>
    </row>
    <row r="78" spans="1:14" x14ac:dyDescent="0.2">
      <c r="A78" s="140">
        <f>'Plant &amp; Reserve'!$A78</f>
        <v>31153</v>
      </c>
      <c r="B78" s="130" t="str">
        <f>'Plant &amp; Reserve'!$B78</f>
        <v>No. 3 SCR System</v>
      </c>
      <c r="C78" s="130"/>
      <c r="D78" s="145">
        <f>IFERROR(VLOOKUP($A78,'2020 B-7'!C:R,14,FALSE),0)</f>
        <v>21689421.57</v>
      </c>
      <c r="E78" s="145">
        <f>IFERROR(VLOOKUP($A78,'2020 B-9'!C:T,16,FALSE),0)</f>
        <v>8400197.0399999786</v>
      </c>
      <c r="F78" s="130"/>
      <c r="G78" s="138">
        <f>'Proposed Rates'!$I78</f>
        <v>3.1</v>
      </c>
      <c r="H78" s="145">
        <f t="shared" ref="H78:H81" si="17">ROUND(($D78*G78)/100,0)</f>
        <v>672372</v>
      </c>
      <c r="I78" s="130"/>
      <c r="J78" s="138">
        <f>'Proposed Rates'!$V78</f>
        <v>3.1</v>
      </c>
      <c r="K78" s="145">
        <f t="shared" ref="K78:K81" si="18">ROUND(($D78*J78)/100,0)</f>
        <v>672372</v>
      </c>
      <c r="L78" s="145">
        <f>K78-H78</f>
        <v>0</v>
      </c>
      <c r="M78" s="852"/>
      <c r="N78" s="853">
        <f>L78-'Proposed Accrual 2019'!L78</f>
        <v>0</v>
      </c>
    </row>
    <row r="79" spans="1:14" x14ac:dyDescent="0.2">
      <c r="A79" s="140">
        <f>'Plant &amp; Reserve'!$A79</f>
        <v>31253</v>
      </c>
      <c r="B79" s="130" t="str">
        <f>'Plant &amp; Reserve'!$B79</f>
        <v>No. 3 SCR System</v>
      </c>
      <c r="C79" s="130"/>
      <c r="D79" s="145">
        <f>IFERROR(VLOOKUP($A79,'2020 B-7'!C:R,14,FALSE),0)</f>
        <v>44040159.469999999</v>
      </c>
      <c r="E79" s="145">
        <f>IFERROR(VLOOKUP($A79,'2020 B-9'!C:T,16,FALSE),0)</f>
        <v>19640474.069999978</v>
      </c>
      <c r="F79" s="130"/>
      <c r="G79" s="138">
        <f>'Proposed Rates'!$I79</f>
        <v>3.9</v>
      </c>
      <c r="H79" s="145">
        <f t="shared" si="17"/>
        <v>1717566</v>
      </c>
      <c r="I79" s="130"/>
      <c r="J79" s="138">
        <f>'Proposed Rates'!$V79</f>
        <v>3.5</v>
      </c>
      <c r="K79" s="145">
        <f t="shared" si="18"/>
        <v>1541406</v>
      </c>
      <c r="L79" s="145">
        <f>K79-H79</f>
        <v>-176160</v>
      </c>
      <c r="M79" s="852"/>
      <c r="N79" s="853">
        <f>L79-'Proposed Accrual 2019'!L79</f>
        <v>0</v>
      </c>
    </row>
    <row r="80" spans="1:14" x14ac:dyDescent="0.2">
      <c r="A80" s="140">
        <f>'Plant &amp; Reserve'!$A80</f>
        <v>31553</v>
      </c>
      <c r="B80" s="130" t="str">
        <f>'Plant &amp; Reserve'!$B80</f>
        <v>No. 3 SCR System</v>
      </c>
      <c r="C80" s="130"/>
      <c r="D80" s="145">
        <f>IFERROR(VLOOKUP($A80,'2020 B-7'!C:R,14,FALSE),0)</f>
        <v>13761422.039999999</v>
      </c>
      <c r="E80" s="145">
        <f>IFERROR(VLOOKUP($A80,'2020 B-9'!C:T,16,FALSE),0)</f>
        <v>6796061.2100000037</v>
      </c>
      <c r="F80" s="130"/>
      <c r="G80" s="138">
        <f>'Proposed Rates'!$I80</f>
        <v>4</v>
      </c>
      <c r="H80" s="145">
        <f t="shared" si="17"/>
        <v>550457</v>
      </c>
      <c r="I80" s="130"/>
      <c r="J80" s="138">
        <f>'Proposed Rates'!$V80</f>
        <v>3.2</v>
      </c>
      <c r="K80" s="145">
        <f t="shared" si="18"/>
        <v>440366</v>
      </c>
      <c r="L80" s="145">
        <f>K80-H80</f>
        <v>-110091</v>
      </c>
      <c r="M80" s="852"/>
      <c r="N80" s="853">
        <f>L80-'Proposed Accrual 2019'!L80</f>
        <v>0</v>
      </c>
    </row>
    <row r="81" spans="1:14" ht="15" x14ac:dyDescent="0.2">
      <c r="A81" s="140">
        <f>'Plant &amp; Reserve'!$A81</f>
        <v>31653</v>
      </c>
      <c r="B81" s="168" t="str">
        <f>'Plant &amp; Reserve'!$B81</f>
        <v>No. 3 SCR System</v>
      </c>
      <c r="C81" s="130"/>
      <c r="D81" s="172">
        <f>IFERROR(VLOOKUP($A81,'2020 B-7'!C:R,14,FALSE),0)</f>
        <v>824683.51</v>
      </c>
      <c r="E81" s="172">
        <f>IFERROR(VLOOKUP($A81,'2020 B-9'!C:T,16,FALSE),0)</f>
        <v>351384.4399999989</v>
      </c>
      <c r="F81" s="130"/>
      <c r="G81" s="170">
        <f>'Proposed Rates'!$I81</f>
        <v>3.4</v>
      </c>
      <c r="H81" s="172">
        <f t="shared" si="17"/>
        <v>28039</v>
      </c>
      <c r="I81" s="130"/>
      <c r="J81" s="170">
        <f>'Proposed Rates'!$V81</f>
        <v>2.9</v>
      </c>
      <c r="K81" s="171">
        <f t="shared" si="18"/>
        <v>23916</v>
      </c>
      <c r="L81" s="171">
        <f>K81-H81</f>
        <v>-4123</v>
      </c>
      <c r="M81" s="852"/>
      <c r="N81" s="853">
        <f>L81-'Proposed Accrual 2019'!L81</f>
        <v>0</v>
      </c>
    </row>
    <row r="82" spans="1:14" x14ac:dyDescent="0.2">
      <c r="A82" s="140"/>
      <c r="B82" s="128" t="s">
        <v>75</v>
      </c>
      <c r="C82" s="130"/>
      <c r="D82" s="173">
        <f>SUM(D77:D81)</f>
        <v>80315686.590000004</v>
      </c>
      <c r="E82" s="173">
        <f>SUM(E77:E81)</f>
        <v>35188116.759999953</v>
      </c>
      <c r="F82" s="130"/>
      <c r="G82" s="177">
        <f>'Proposed Rates'!$I82</f>
        <v>3.6</v>
      </c>
      <c r="H82" s="173">
        <f>SUM(H77:H81)</f>
        <v>2968434</v>
      </c>
      <c r="I82" s="130"/>
      <c r="J82" s="177">
        <f>'Proposed Rates'!$V82</f>
        <v>3.3</v>
      </c>
      <c r="K82" s="173">
        <f>SUM(K77:K81)</f>
        <v>2678060</v>
      </c>
      <c r="L82" s="173">
        <f>SUM(L77:L81)</f>
        <v>-290374</v>
      </c>
      <c r="M82" s="852"/>
      <c r="N82" s="853">
        <f>L82-'Proposed Accrual 2019'!L82</f>
        <v>0</v>
      </c>
    </row>
    <row r="83" spans="1:14" x14ac:dyDescent="0.2">
      <c r="A83" s="140"/>
      <c r="B83" s="130"/>
      <c r="C83" s="130"/>
      <c r="D83" s="145"/>
      <c r="E83" s="145"/>
      <c r="F83" s="130"/>
      <c r="G83" s="138"/>
      <c r="H83" s="145"/>
      <c r="I83" s="130"/>
      <c r="J83" s="138"/>
      <c r="K83" s="145"/>
      <c r="L83" s="145"/>
      <c r="M83" s="130"/>
      <c r="N83" s="853">
        <f>L83-'Proposed Accrual 2019'!L83</f>
        <v>0</v>
      </c>
    </row>
    <row r="84" spans="1:14" x14ac:dyDescent="0.2">
      <c r="A84" s="140">
        <f>'Plant &amp; Reserve'!$A84</f>
        <v>31154</v>
      </c>
      <c r="B84" s="130" t="str">
        <f>'Plant &amp; Reserve'!$B84</f>
        <v>No. 4 SCR System</v>
      </c>
      <c r="C84" s="130"/>
      <c r="D84" s="145">
        <f>IFERROR(VLOOKUP($A84,'2020 B-7'!C:R,14,FALSE),0)</f>
        <v>16857249.890000001</v>
      </c>
      <c r="E84" s="145">
        <f>IFERROR(VLOOKUP($A84,'2020 B-9'!C:T,16,FALSE),0)</f>
        <v>5469603</v>
      </c>
      <c r="F84" s="130"/>
      <c r="G84" s="138">
        <f>'Proposed Rates'!$I84</f>
        <v>2.4</v>
      </c>
      <c r="H84" s="145">
        <f t="shared" ref="H84:H87" si="19">ROUND(($D84*G84)/100,0)</f>
        <v>404574</v>
      </c>
      <c r="I84" s="130"/>
      <c r="J84" s="138">
        <f>'Proposed Rates'!$V84</f>
        <v>2.8</v>
      </c>
      <c r="K84" s="145">
        <f t="shared" ref="K84:K87" si="20">ROUND(($D84*J84)/100,0)</f>
        <v>472003</v>
      </c>
      <c r="L84" s="145">
        <f>K84-H84</f>
        <v>67429</v>
      </c>
      <c r="M84" s="852"/>
      <c r="N84" s="853">
        <f>L84-'Proposed Accrual 2019'!L84</f>
        <v>0</v>
      </c>
    </row>
    <row r="85" spans="1:14" x14ac:dyDescent="0.2">
      <c r="A85" s="140">
        <f>'Plant &amp; Reserve'!$A85</f>
        <v>31254</v>
      </c>
      <c r="B85" s="130" t="str">
        <f>'Plant &amp; Reserve'!$B85</f>
        <v>No. 4 SCR System</v>
      </c>
      <c r="C85" s="130"/>
      <c r="D85" s="145">
        <f>IFERROR(VLOOKUP($A85,'2020 B-7'!C:R,14,FALSE),0)</f>
        <v>30373191.169999998</v>
      </c>
      <c r="E85" s="145">
        <f>IFERROR(VLOOKUP($A85,'2020 B-9'!C:T,16,FALSE),0)</f>
        <v>9243991.6199999917</v>
      </c>
      <c r="F85" s="130"/>
      <c r="G85" s="138">
        <f>'Proposed Rates'!$I85</f>
        <v>3.8</v>
      </c>
      <c r="H85" s="145">
        <f t="shared" si="19"/>
        <v>1154181</v>
      </c>
      <c r="I85" s="130"/>
      <c r="J85" s="138">
        <f>'Proposed Rates'!$V85</f>
        <v>3.6</v>
      </c>
      <c r="K85" s="145">
        <f t="shared" si="20"/>
        <v>1093435</v>
      </c>
      <c r="L85" s="145">
        <f>K85-H85</f>
        <v>-60746</v>
      </c>
      <c r="M85" s="852"/>
      <c r="N85" s="853">
        <f>L85-'Proposed Accrual 2019'!L85</f>
        <v>0</v>
      </c>
    </row>
    <row r="86" spans="1:14" x14ac:dyDescent="0.2">
      <c r="A86" s="140">
        <f>'Plant &amp; Reserve'!$A86</f>
        <v>31554</v>
      </c>
      <c r="B86" s="130" t="str">
        <f>'Plant &amp; Reserve'!$B86</f>
        <v>No. 4 SCR System</v>
      </c>
      <c r="C86" s="130"/>
      <c r="D86" s="145">
        <f>IFERROR(VLOOKUP($A86,'2020 B-7'!C:R,14,FALSE),0)</f>
        <v>10642026.83</v>
      </c>
      <c r="E86" s="145">
        <f>IFERROR(VLOOKUP($A86,'2020 B-9'!C:T,16,FALSE),0)</f>
        <v>5611316.3599999873</v>
      </c>
      <c r="F86" s="130"/>
      <c r="G86" s="138">
        <f>'Proposed Rates'!$I86</f>
        <v>3.9</v>
      </c>
      <c r="H86" s="145">
        <f t="shared" si="19"/>
        <v>415039</v>
      </c>
      <c r="I86" s="130"/>
      <c r="J86" s="138">
        <f>'Proposed Rates'!$V86</f>
        <v>2.8</v>
      </c>
      <c r="K86" s="145">
        <f t="shared" si="20"/>
        <v>297977</v>
      </c>
      <c r="L86" s="145">
        <f>K86-H86</f>
        <v>-117062</v>
      </c>
      <c r="M86" s="852"/>
      <c r="N86" s="853">
        <f>L86-'Proposed Accrual 2019'!L86</f>
        <v>0</v>
      </c>
    </row>
    <row r="87" spans="1:14" ht="15" x14ac:dyDescent="0.2">
      <c r="A87" s="140">
        <f>'Plant &amp; Reserve'!$A87</f>
        <v>31654</v>
      </c>
      <c r="B87" s="168" t="str">
        <f>'Plant &amp; Reserve'!$B87</f>
        <v>No. 4 SCR System</v>
      </c>
      <c r="C87" s="130"/>
      <c r="D87" s="172">
        <f>IFERROR(VLOOKUP($A87,'2020 B-7'!C:R,14,FALSE),0)</f>
        <v>687934.36</v>
      </c>
      <c r="E87" s="172">
        <f>IFERROR(VLOOKUP($A87,'2020 B-9'!C:T,16,FALSE),0)</f>
        <v>305295.28000000067</v>
      </c>
      <c r="F87" s="130"/>
      <c r="G87" s="170">
        <f>'Proposed Rates'!$I87</f>
        <v>3.3</v>
      </c>
      <c r="H87" s="172">
        <f t="shared" si="19"/>
        <v>22702</v>
      </c>
      <c r="I87" s="130"/>
      <c r="J87" s="170">
        <f>'Proposed Rates'!$V87</f>
        <v>2.4</v>
      </c>
      <c r="K87" s="171">
        <f t="shared" si="20"/>
        <v>16510</v>
      </c>
      <c r="L87" s="171">
        <f>K87-H87</f>
        <v>-6192</v>
      </c>
      <c r="M87" s="852"/>
      <c r="N87" s="853">
        <f>L87-'Proposed Accrual 2019'!L87</f>
        <v>0</v>
      </c>
    </row>
    <row r="88" spans="1:14" x14ac:dyDescent="0.2">
      <c r="A88" s="140"/>
      <c r="B88" s="128" t="s">
        <v>75</v>
      </c>
      <c r="C88" s="130"/>
      <c r="D88" s="173">
        <f>SUM(D83:D87)</f>
        <v>58560402.25</v>
      </c>
      <c r="E88" s="173">
        <f>SUM(E83:E87)</f>
        <v>20630206.259999979</v>
      </c>
      <c r="F88" s="130"/>
      <c r="G88" s="177">
        <f>'Proposed Rates'!$I88</f>
        <v>3.3</v>
      </c>
      <c r="H88" s="173">
        <f>SUM(H83:H87)</f>
        <v>1996496</v>
      </c>
      <c r="I88" s="130"/>
      <c r="J88" s="177">
        <f>'Proposed Rates'!$V88</f>
        <v>3.2</v>
      </c>
      <c r="K88" s="173">
        <f>SUM(K83:K87)</f>
        <v>1879925</v>
      </c>
      <c r="L88" s="173">
        <f>SUM(L83:L87)</f>
        <v>-116571</v>
      </c>
      <c r="M88" s="852"/>
      <c r="N88" s="853">
        <f>L88-'Proposed Accrual 2019'!L88</f>
        <v>0</v>
      </c>
    </row>
    <row r="89" spans="1:14" x14ac:dyDescent="0.2">
      <c r="A89" s="140"/>
      <c r="B89" s="130"/>
      <c r="C89" s="130"/>
      <c r="D89" s="145"/>
      <c r="E89" s="145"/>
      <c r="F89" s="130"/>
      <c r="G89" s="138"/>
      <c r="H89" s="145"/>
      <c r="I89" s="130"/>
      <c r="J89" s="138"/>
      <c r="K89" s="145"/>
      <c r="L89" s="145"/>
      <c r="M89" s="130"/>
      <c r="N89" s="853">
        <f>L89-'Proposed Accrual 2019'!L89</f>
        <v>0</v>
      </c>
    </row>
    <row r="90" spans="1:14" x14ac:dyDescent="0.2">
      <c r="A90" s="140">
        <f>'Plant &amp; Reserve'!$A90</f>
        <v>31647</v>
      </c>
      <c r="B90" s="130" t="str">
        <f>'Plant &amp; Reserve'!$B90</f>
        <v>Big Bend Amortizable Tools</v>
      </c>
      <c r="C90" s="130"/>
      <c r="D90" s="145">
        <f>IFERROR(VLOOKUP($A90,'2020 B-7'!C:R,14,FALSE),0)</f>
        <v>1106727.7</v>
      </c>
      <c r="E90" s="145">
        <f>IFERROR(VLOOKUP($A90,'2020 B-9'!C:T,16,FALSE),0)</f>
        <v>689077.07000000181</v>
      </c>
      <c r="F90" s="130"/>
      <c r="G90" s="138">
        <f>'Proposed Rates'!$I90</f>
        <v>14.3</v>
      </c>
      <c r="H90" s="145">
        <f t="shared" ref="H90" si="21">ROUND(($D90*G90)/100,0)</f>
        <v>158262</v>
      </c>
      <c r="I90" s="130"/>
      <c r="J90" s="138">
        <f>'Proposed Rates'!$V90</f>
        <v>14.3</v>
      </c>
      <c r="K90" s="145">
        <f t="shared" ref="K90" si="22">ROUND(($D90*J90)/100,0)</f>
        <v>158262</v>
      </c>
      <c r="L90" s="145">
        <f>K90-H90</f>
        <v>0</v>
      </c>
      <c r="M90" s="852"/>
      <c r="N90" s="853">
        <f>L90-'Proposed Accrual 2019'!L90</f>
        <v>0</v>
      </c>
    </row>
    <row r="91" spans="1:14" x14ac:dyDescent="0.2">
      <c r="A91" s="134"/>
      <c r="B91" s="130"/>
      <c r="C91" s="130"/>
      <c r="D91" s="145"/>
      <c r="E91" s="145"/>
      <c r="F91" s="130"/>
      <c r="G91" s="138"/>
      <c r="H91" s="145"/>
      <c r="I91" s="130"/>
      <c r="J91" s="130"/>
      <c r="K91" s="130"/>
      <c r="L91" s="130"/>
      <c r="M91" s="852"/>
      <c r="N91" s="853">
        <f>L91-'Proposed Accrual 2019'!L91</f>
        <v>0</v>
      </c>
    </row>
    <row r="92" spans="1:14" x14ac:dyDescent="0.2">
      <c r="A92" s="140">
        <f>'Plant &amp; Reserve'!$A92</f>
        <v>31247</v>
      </c>
      <c r="B92" s="130" t="str">
        <f>'Plant &amp; Reserve'!$B92</f>
        <v>Big Bend Fuel Clause</v>
      </c>
      <c r="C92" s="130"/>
      <c r="D92" s="145">
        <f>IFERROR(VLOOKUP($A92,'2020 B-7'!C:R,14,FALSE),0)</f>
        <v>21433231.899999999</v>
      </c>
      <c r="E92" s="145">
        <f>IFERROR(VLOOKUP($A92,'2020 B-9'!C:T,16,FALSE),0)</f>
        <v>21433231.899999995</v>
      </c>
      <c r="F92" s="130"/>
      <c r="G92" s="138">
        <f>'Proposed Rates'!$I92</f>
        <v>20</v>
      </c>
      <c r="H92" s="145">
        <f t="shared" ref="H92" si="23">ROUND(($D92*G92)/100,0)</f>
        <v>4286646</v>
      </c>
      <c r="I92" s="130"/>
      <c r="J92" s="138">
        <f>'Proposed Rates'!$V92</f>
        <v>20</v>
      </c>
      <c r="K92" s="145">
        <f t="shared" ref="K92" si="24">ROUND(($D92*J92)/100,0)</f>
        <v>4286646</v>
      </c>
      <c r="L92" s="145">
        <f>K92-H92</f>
        <v>0</v>
      </c>
      <c r="M92" s="852"/>
      <c r="N92" s="853">
        <f>L92-'Proposed Accrual 2019'!L92</f>
        <v>0</v>
      </c>
    </row>
    <row r="93" spans="1:14" ht="13.5" thickBot="1" x14ac:dyDescent="0.25">
      <c r="A93" s="493"/>
      <c r="B93" s="493"/>
      <c r="C93" s="130"/>
      <c r="D93" s="182"/>
      <c r="E93" s="182"/>
      <c r="F93" s="130"/>
      <c r="G93" s="493"/>
      <c r="H93" s="493"/>
      <c r="I93" s="130"/>
      <c r="J93" s="493"/>
      <c r="K93" s="493"/>
      <c r="L93" s="493"/>
      <c r="M93" s="130"/>
      <c r="N93" s="853">
        <f>L93-'Proposed Accrual 2019'!L93</f>
        <v>0</v>
      </c>
    </row>
    <row r="94" spans="1:14" ht="19.5" customHeight="1" thickTop="1" thickBot="1" x14ac:dyDescent="0.25">
      <c r="A94" s="494"/>
      <c r="B94" s="384"/>
      <c r="C94" s="130"/>
      <c r="D94" s="186">
        <f>SUM(D24,D31,D38,D45,D52,D64,D58,D70,D76,D82,D88,D90,D92)</f>
        <v>2254668250.7899995</v>
      </c>
      <c r="E94" s="186">
        <f>SUM(E24,E31,E38,E45,E52,E64,E58,E70,E76,E82,E88,E90,E92)</f>
        <v>823067032.5400002</v>
      </c>
      <c r="F94" s="130"/>
      <c r="G94" s="826">
        <f>IF($D94=0,0,H94/$D94*100)</f>
        <v>3.4004374245806033</v>
      </c>
      <c r="H94" s="186">
        <f>SUM(H24,H31,H38,H45,H52,H64,H58,H70,H76,H82,H88,H90,H92)</f>
        <v>76668583</v>
      </c>
      <c r="I94" s="130"/>
      <c r="J94" s="826">
        <f>IF($D94=0,0,K94/$D94*100)</f>
        <v>3.7873498671070545</v>
      </c>
      <c r="K94" s="186">
        <f>SUM(K24,K31,K38,K45,K52,K64,K58,K70,K76,K82,K88,K90,K92)</f>
        <v>85392175</v>
      </c>
      <c r="L94" s="186">
        <f>SUM(L24,L31,L38,L45,L52,L64,L58,L70,L76,L82,L88,L90,L92)</f>
        <v>8723592</v>
      </c>
      <c r="M94" s="130"/>
      <c r="N94" s="853">
        <f>L94-'Proposed Accrual 2019'!L94</f>
        <v>212921</v>
      </c>
    </row>
    <row r="95" spans="1:14" ht="13.5" thickTop="1" x14ac:dyDescent="0.2">
      <c r="A95" s="140"/>
      <c r="B95" s="800"/>
      <c r="C95" s="130"/>
      <c r="D95" s="145"/>
      <c r="E95" s="145"/>
      <c r="F95" s="130"/>
      <c r="G95" s="138"/>
      <c r="H95" s="145"/>
      <c r="I95" s="130"/>
      <c r="J95" s="138"/>
      <c r="K95" s="145"/>
      <c r="L95" s="145"/>
      <c r="M95" s="130"/>
      <c r="N95" s="853">
        <f>L95-'Proposed Accrual 2019'!L95</f>
        <v>0</v>
      </c>
    </row>
    <row r="96" spans="1:14" ht="13.5" thickBot="1" x14ac:dyDescent="0.25">
      <c r="A96" s="187"/>
      <c r="B96" s="801"/>
      <c r="C96" s="130"/>
      <c r="D96" s="188"/>
      <c r="E96" s="188"/>
      <c r="F96" s="130"/>
      <c r="G96" s="188"/>
      <c r="H96" s="188"/>
      <c r="I96" s="130"/>
      <c r="J96" s="188"/>
      <c r="K96" s="188"/>
      <c r="L96" s="188"/>
      <c r="M96" s="130"/>
      <c r="N96" s="853">
        <f>L96-'Proposed Accrual 2019'!L96</f>
        <v>0</v>
      </c>
    </row>
    <row r="97" spans="1:14" ht="19.5" customHeight="1" thickTop="1" thickBot="1" x14ac:dyDescent="0.25">
      <c r="A97" s="802"/>
      <c r="B97" s="802"/>
      <c r="C97" s="130"/>
      <c r="D97" s="192">
        <f>D94</f>
        <v>2254668250.7899995</v>
      </c>
      <c r="E97" s="192">
        <f>E94</f>
        <v>823067032.5400002</v>
      </c>
      <c r="F97" s="130"/>
      <c r="G97" s="827">
        <f>IF($D97=0,0,H97/$D97*100)</f>
        <v>3.4004374245806033</v>
      </c>
      <c r="H97" s="192">
        <f>H94</f>
        <v>76668583</v>
      </c>
      <c r="I97" s="130"/>
      <c r="J97" s="827">
        <f>IF($D97=0,0,K97/$D97*100)</f>
        <v>3.7873498671070545</v>
      </c>
      <c r="K97" s="192">
        <f>K94</f>
        <v>85392175</v>
      </c>
      <c r="L97" s="192">
        <f>L94</f>
        <v>8723592</v>
      </c>
      <c r="M97" s="130"/>
      <c r="N97" s="853">
        <f>L97-'Proposed Accrual 2019'!L97</f>
        <v>212921</v>
      </c>
    </row>
    <row r="98" spans="1:14" ht="13.5" thickTop="1" x14ac:dyDescent="0.2">
      <c r="A98" s="140"/>
      <c r="B98" s="130"/>
      <c r="C98" s="130"/>
      <c r="D98" s="145"/>
      <c r="E98" s="145"/>
      <c r="F98" s="130"/>
      <c r="G98" s="138"/>
      <c r="H98" s="145"/>
      <c r="I98" s="130"/>
      <c r="J98" s="138"/>
      <c r="K98" s="145"/>
      <c r="L98" s="145"/>
      <c r="M98" s="130"/>
      <c r="N98" s="853">
        <f>L98-'Proposed Accrual 2019'!L98</f>
        <v>0</v>
      </c>
    </row>
    <row r="99" spans="1:14" x14ac:dyDescent="0.2">
      <c r="A99" s="140"/>
      <c r="B99" s="144" t="s">
        <v>63</v>
      </c>
      <c r="C99" s="130"/>
      <c r="D99" s="145"/>
      <c r="E99" s="145"/>
      <c r="F99" s="130"/>
      <c r="G99" s="138" t="s">
        <v>60</v>
      </c>
      <c r="H99" s="145"/>
      <c r="I99" s="130"/>
      <c r="J99" s="138"/>
      <c r="K99" s="145"/>
      <c r="L99" s="145"/>
      <c r="M99" s="130"/>
      <c r="N99" s="853">
        <f>L99-'Proposed Accrual 2019'!L99</f>
        <v>0</v>
      </c>
    </row>
    <row r="100" spans="1:14" x14ac:dyDescent="0.2">
      <c r="A100" s="140"/>
      <c r="B100" s="130"/>
      <c r="C100" s="130"/>
      <c r="D100" s="145"/>
      <c r="E100" s="145"/>
      <c r="F100" s="130"/>
      <c r="G100" s="138" t="s">
        <v>60</v>
      </c>
      <c r="H100" s="145"/>
      <c r="I100" s="130"/>
      <c r="J100" s="138"/>
      <c r="K100" s="145"/>
      <c r="L100" s="145"/>
      <c r="M100" s="130"/>
      <c r="N100" s="853">
        <f>L100-'Proposed Accrual 2019'!L100</f>
        <v>0</v>
      </c>
    </row>
    <row r="101" spans="1:14" x14ac:dyDescent="0.2">
      <c r="A101" s="140"/>
      <c r="B101" s="144" t="s">
        <v>59</v>
      </c>
      <c r="C101" s="130"/>
      <c r="D101" s="145"/>
      <c r="E101" s="145"/>
      <c r="F101" s="130"/>
      <c r="G101" s="138"/>
      <c r="H101" s="145"/>
      <c r="I101" s="130"/>
      <c r="J101" s="138"/>
      <c r="K101" s="145"/>
      <c r="L101" s="145"/>
      <c r="M101" s="130"/>
      <c r="N101" s="853">
        <f>L101-'Proposed Accrual 2019'!L101</f>
        <v>0</v>
      </c>
    </row>
    <row r="102" spans="1:14" x14ac:dyDescent="0.2">
      <c r="A102" s="140"/>
      <c r="B102" s="130"/>
      <c r="C102" s="130"/>
      <c r="D102" s="145"/>
      <c r="E102" s="145"/>
      <c r="F102" s="130"/>
      <c r="G102" s="138"/>
      <c r="H102" s="145"/>
      <c r="I102" s="130"/>
      <c r="J102" s="138"/>
      <c r="K102" s="145"/>
      <c r="L102" s="145"/>
      <c r="M102" s="130"/>
      <c r="N102" s="853">
        <f>L102-'Proposed Accrual 2019'!L102</f>
        <v>0</v>
      </c>
    </row>
    <row r="103" spans="1:14" x14ac:dyDescent="0.2">
      <c r="A103" s="140">
        <f>'Plant &amp; Reserve'!$A103</f>
        <v>34144</v>
      </c>
      <c r="B103" s="130" t="str">
        <f>'Plant &amp; Reserve'!$B103</f>
        <v>BB CT No. 4</v>
      </c>
      <c r="C103" s="130"/>
      <c r="D103" s="145">
        <f>IFERROR(VLOOKUP($A103,'2020 B-7'!C:R,14,FALSE),0)</f>
        <v>3311083.09</v>
      </c>
      <c r="E103" s="145">
        <f>IFERROR(VLOOKUP($A103,'2020 B-9'!C:T,16,FALSE),0)</f>
        <v>605119.22000000044</v>
      </c>
      <c r="F103" s="130"/>
      <c r="G103" s="138">
        <f>'Proposed Rates'!$I103</f>
        <v>2.6</v>
      </c>
      <c r="H103" s="145">
        <f t="shared" ref="H103:H107" si="25">ROUND(($D103*G103)/100,0)</f>
        <v>86088</v>
      </c>
      <c r="I103" s="130"/>
      <c r="J103" s="138">
        <f>'Proposed Rates'!$V103</f>
        <v>3.6</v>
      </c>
      <c r="K103" s="145">
        <f t="shared" ref="K103:K107" si="26">ROUND(($D103*J103)/100,0)</f>
        <v>119199</v>
      </c>
      <c r="L103" s="145">
        <f>K103-H103</f>
        <v>33111</v>
      </c>
      <c r="M103" s="852"/>
      <c r="N103" s="853">
        <f>L103-'Proposed Accrual 2019'!L103</f>
        <v>0</v>
      </c>
    </row>
    <row r="104" spans="1:14" x14ac:dyDescent="0.2">
      <c r="A104" s="140">
        <f>'Plant &amp; Reserve'!$A104</f>
        <v>34244</v>
      </c>
      <c r="B104" s="130" t="str">
        <f>'Plant &amp; Reserve'!$B104</f>
        <v>BB CT No. 4</v>
      </c>
      <c r="C104" s="130"/>
      <c r="D104" s="145">
        <f>IFERROR(VLOOKUP($A104,'2020 B-7'!C:R,14,FALSE),0)</f>
        <v>2353181.4699999997</v>
      </c>
      <c r="E104" s="145">
        <f>IFERROR(VLOOKUP($A104,'2020 B-9'!C:T,16,FALSE),0)</f>
        <v>748754.47000000125</v>
      </c>
      <c r="F104" s="130"/>
      <c r="G104" s="138">
        <f>'Proposed Rates'!$I104</f>
        <v>3.6</v>
      </c>
      <c r="H104" s="145">
        <f t="shared" si="25"/>
        <v>84715</v>
      </c>
      <c r="I104" s="130"/>
      <c r="J104" s="138">
        <f>'Proposed Rates'!$V104</f>
        <v>2.6</v>
      </c>
      <c r="K104" s="145">
        <f t="shared" si="26"/>
        <v>61183</v>
      </c>
      <c r="L104" s="145">
        <f>K104-H104</f>
        <v>-23532</v>
      </c>
      <c r="M104" s="852"/>
      <c r="N104" s="853">
        <f>L104-'Proposed Accrual 2019'!L104</f>
        <v>0</v>
      </c>
    </row>
    <row r="105" spans="1:14" x14ac:dyDescent="0.2">
      <c r="A105" s="140">
        <f>'Plant &amp; Reserve'!$A105</f>
        <v>34344</v>
      </c>
      <c r="B105" s="130" t="str">
        <f>'Plant &amp; Reserve'!$B105</f>
        <v>BB CT No. 4</v>
      </c>
      <c r="C105" s="130"/>
      <c r="D105" s="145">
        <f>IFERROR(VLOOKUP($A105,'2020 B-7'!C:R,14,FALSE),0)</f>
        <v>19816850.59</v>
      </c>
      <c r="E105" s="145">
        <f>IFERROR(VLOOKUP($A105,'2020 B-9'!C:T,16,FALSE),0)</f>
        <v>8901059.0200000089</v>
      </c>
      <c r="F105" s="130"/>
      <c r="G105" s="138">
        <f>'Proposed Rates'!$I105</f>
        <v>4</v>
      </c>
      <c r="H105" s="145">
        <f t="shared" si="25"/>
        <v>792674</v>
      </c>
      <c r="I105" s="130"/>
      <c r="J105" s="138">
        <f>'Proposed Rates'!$V105</f>
        <v>3.1</v>
      </c>
      <c r="K105" s="145">
        <f t="shared" si="26"/>
        <v>614322</v>
      </c>
      <c r="L105" s="145">
        <f>K105-H105</f>
        <v>-178352</v>
      </c>
      <c r="M105" s="852"/>
      <c r="N105" s="853">
        <f>L105-'Proposed Accrual 2019'!L105</f>
        <v>-613</v>
      </c>
    </row>
    <row r="106" spans="1:14" x14ac:dyDescent="0.2">
      <c r="A106" s="140">
        <f>'Plant &amp; Reserve'!$A106</f>
        <v>34544</v>
      </c>
      <c r="B106" s="130" t="str">
        <f>'Plant &amp; Reserve'!$B106</f>
        <v>BB CT No. 4</v>
      </c>
      <c r="C106" s="130"/>
      <c r="D106" s="145">
        <f>IFERROR(VLOOKUP($A106,'2020 B-7'!C:R,14,FALSE),0)</f>
        <v>15324704.390000001</v>
      </c>
      <c r="E106" s="145">
        <f>IFERROR(VLOOKUP($A106,'2020 B-9'!C:T,16,FALSE),0)</f>
        <v>5824534.9499999955</v>
      </c>
      <c r="F106" s="130"/>
      <c r="G106" s="138">
        <f>'Proposed Rates'!$I106</f>
        <v>4</v>
      </c>
      <c r="H106" s="145">
        <f t="shared" si="25"/>
        <v>612988</v>
      </c>
      <c r="I106" s="130"/>
      <c r="J106" s="138">
        <f>'Proposed Rates'!$V106</f>
        <v>2.8</v>
      </c>
      <c r="K106" s="145">
        <f t="shared" si="26"/>
        <v>429092</v>
      </c>
      <c r="L106" s="145">
        <f>K106-H106</f>
        <v>-183896</v>
      </c>
      <c r="M106" s="852"/>
      <c r="N106" s="853">
        <f>L106-'Proposed Accrual 2019'!L106</f>
        <v>-4875</v>
      </c>
    </row>
    <row r="107" spans="1:14" ht="15" x14ac:dyDescent="0.2">
      <c r="A107" s="140">
        <f>'Plant &amp; Reserve'!$A107</f>
        <v>34644</v>
      </c>
      <c r="B107" s="168" t="str">
        <f>'Plant &amp; Reserve'!$B107</f>
        <v>BB CT No. 4</v>
      </c>
      <c r="C107" s="130"/>
      <c r="D107" s="172">
        <f>IFERROR(VLOOKUP($A107,'2020 B-7'!C:R,14,FALSE),0)</f>
        <v>510664.71</v>
      </c>
      <c r="E107" s="172">
        <f>IFERROR(VLOOKUP($A107,'2020 B-9'!C:T,16,FALSE),0)</f>
        <v>188132.30000000008</v>
      </c>
      <c r="F107" s="130"/>
      <c r="G107" s="170">
        <f>'Proposed Rates'!$I107</f>
        <v>4</v>
      </c>
      <c r="H107" s="172">
        <f t="shared" si="25"/>
        <v>20427</v>
      </c>
      <c r="I107" s="130"/>
      <c r="J107" s="170">
        <f>'Proposed Rates'!$V107</f>
        <v>2.9</v>
      </c>
      <c r="K107" s="171">
        <f t="shared" si="26"/>
        <v>14809</v>
      </c>
      <c r="L107" s="171">
        <f>K107-H107</f>
        <v>-5618</v>
      </c>
      <c r="M107" s="852"/>
      <c r="N107" s="853">
        <f>L107-'Proposed Accrual 2019'!L107</f>
        <v>0</v>
      </c>
    </row>
    <row r="108" spans="1:14" x14ac:dyDescent="0.2">
      <c r="A108" s="134"/>
      <c r="B108" s="128" t="s">
        <v>75</v>
      </c>
      <c r="C108" s="130"/>
      <c r="D108" s="173">
        <f>SUM(D103:D107)</f>
        <v>41316484.25</v>
      </c>
      <c r="E108" s="173">
        <f>SUM(E103:E107)</f>
        <v>16267599.960000006</v>
      </c>
      <c r="F108" s="130"/>
      <c r="G108" s="177">
        <f>'Proposed Rates'!$I108</f>
        <v>3</v>
      </c>
      <c r="H108" s="173">
        <f>SUM(H103:H107)</f>
        <v>1596892</v>
      </c>
      <c r="I108" s="130"/>
      <c r="J108" s="177">
        <f>'Proposed Rates'!$V108</f>
        <v>3</v>
      </c>
      <c r="K108" s="173">
        <f>SUM(K103:K107)</f>
        <v>1238605</v>
      </c>
      <c r="L108" s="173">
        <f>SUM(L103:L107)</f>
        <v>-358287</v>
      </c>
      <c r="M108" s="852"/>
      <c r="N108" s="853">
        <f>L108-'Proposed Accrual 2019'!L108</f>
        <v>-5488</v>
      </c>
    </row>
    <row r="109" spans="1:14" x14ac:dyDescent="0.2">
      <c r="A109" s="140"/>
      <c r="B109" s="130"/>
      <c r="C109" s="130"/>
      <c r="D109" s="145"/>
      <c r="E109" s="145"/>
      <c r="F109" s="130"/>
      <c r="G109" s="138"/>
      <c r="H109" s="145"/>
      <c r="I109" s="130"/>
      <c r="J109" s="138"/>
      <c r="K109" s="145"/>
      <c r="L109" s="145"/>
      <c r="M109" s="130"/>
      <c r="N109" s="853">
        <f>L109-'Proposed Accrual 2019'!L109</f>
        <v>0</v>
      </c>
    </row>
    <row r="110" spans="1:14" x14ac:dyDescent="0.2">
      <c r="A110" s="140">
        <f>'Plant &amp; Reserve'!$A110</f>
        <v>34145</v>
      </c>
      <c r="B110" s="130" t="str">
        <f>'Plant &amp; Reserve'!$B110</f>
        <v>BB CT No. 5</v>
      </c>
      <c r="C110" s="130"/>
      <c r="D110" s="145">
        <f>IFERROR(VLOOKUP($A110,'2020 B-7'!C:R,14,FALSE),0)</f>
        <v>0</v>
      </c>
      <c r="E110" s="145">
        <f>IFERROR(VLOOKUP($A110,'2020 B-9'!C:T,16,FALSE),0)</f>
        <v>0</v>
      </c>
      <c r="F110" s="130"/>
      <c r="G110" s="138">
        <f>'Proposed Rates'!$I110</f>
        <v>0</v>
      </c>
      <c r="H110" s="145">
        <f t="shared" ref="H110:H114" si="27">ROUND(($D110*G110)/100,0)</f>
        <v>0</v>
      </c>
      <c r="I110" s="130"/>
      <c r="J110" s="138">
        <f>'Proposed Rates'!$V110</f>
        <v>2.9</v>
      </c>
      <c r="K110" s="145">
        <f t="shared" ref="K110:K114" si="28">ROUND(($D110*J110)/100,0)</f>
        <v>0</v>
      </c>
      <c r="L110" s="145">
        <f>K110-H110</f>
        <v>0</v>
      </c>
      <c r="M110" s="852"/>
      <c r="N110" s="853">
        <f>L110-'Proposed Accrual 2019'!L110</f>
        <v>0</v>
      </c>
    </row>
    <row r="111" spans="1:14" x14ac:dyDescent="0.2">
      <c r="A111" s="140">
        <f>'Plant &amp; Reserve'!$A111</f>
        <v>34245</v>
      </c>
      <c r="B111" s="130" t="str">
        <f>'Plant &amp; Reserve'!$B111</f>
        <v>BB CT No. 5</v>
      </c>
      <c r="C111" s="130"/>
      <c r="D111" s="145">
        <f>IFERROR(VLOOKUP($A111,'2020 B-7'!C:R,14,FALSE),0)</f>
        <v>0</v>
      </c>
      <c r="E111" s="145">
        <f>IFERROR(VLOOKUP($A111,'2020 B-9'!C:T,16,FALSE),0)</f>
        <v>0</v>
      </c>
      <c r="F111" s="130"/>
      <c r="G111" s="138">
        <f>'Proposed Rates'!$I111</f>
        <v>0</v>
      </c>
      <c r="H111" s="145">
        <f t="shared" si="27"/>
        <v>0</v>
      </c>
      <c r="I111" s="130"/>
      <c r="J111" s="138">
        <f>'Proposed Rates'!$V111</f>
        <v>2.9</v>
      </c>
      <c r="K111" s="145">
        <f t="shared" si="28"/>
        <v>0</v>
      </c>
      <c r="L111" s="145">
        <f>K111-H111</f>
        <v>0</v>
      </c>
      <c r="M111" s="852"/>
      <c r="N111" s="853">
        <f>L111-'Proposed Accrual 2019'!L111</f>
        <v>0</v>
      </c>
    </row>
    <row r="112" spans="1:14" x14ac:dyDescent="0.2">
      <c r="A112" s="140">
        <f>'Plant &amp; Reserve'!$A112</f>
        <v>34345</v>
      </c>
      <c r="B112" s="130" t="str">
        <f>'Plant &amp; Reserve'!$B112</f>
        <v>BB CT No. 5</v>
      </c>
      <c r="C112" s="130"/>
      <c r="D112" s="145">
        <f>IFERROR(VLOOKUP($A112,'2020 B-7'!C:R,14,FALSE),0)</f>
        <v>0</v>
      </c>
      <c r="E112" s="145">
        <f>IFERROR(VLOOKUP($A112,'2020 B-9'!C:T,16,FALSE),0)</f>
        <v>0</v>
      </c>
      <c r="F112" s="130"/>
      <c r="G112" s="138">
        <f>'Proposed Rates'!$I112</f>
        <v>0</v>
      </c>
      <c r="H112" s="145">
        <f t="shared" si="27"/>
        <v>0</v>
      </c>
      <c r="I112" s="130"/>
      <c r="J112" s="138">
        <f>'Proposed Rates'!$V112</f>
        <v>2.9</v>
      </c>
      <c r="K112" s="145">
        <f t="shared" si="28"/>
        <v>0</v>
      </c>
      <c r="L112" s="145">
        <f>K112-H112</f>
        <v>0</v>
      </c>
      <c r="M112" s="852"/>
      <c r="N112" s="853">
        <f>L112-'Proposed Accrual 2019'!L112</f>
        <v>0</v>
      </c>
    </row>
    <row r="113" spans="1:14" x14ac:dyDescent="0.2">
      <c r="A113" s="140">
        <f>'Plant &amp; Reserve'!$A113</f>
        <v>34545</v>
      </c>
      <c r="B113" s="130" t="str">
        <f>'Plant &amp; Reserve'!$B113</f>
        <v>BB CT No. 5</v>
      </c>
      <c r="C113" s="130"/>
      <c r="D113" s="145">
        <f>IFERROR(VLOOKUP($A113,'2020 B-7'!C:R,14,FALSE),0)</f>
        <v>0</v>
      </c>
      <c r="E113" s="145">
        <f>IFERROR(VLOOKUP($A113,'2020 B-9'!C:T,16,FALSE),0)</f>
        <v>0</v>
      </c>
      <c r="F113" s="130"/>
      <c r="G113" s="138">
        <f>'Proposed Rates'!$I113</f>
        <v>0</v>
      </c>
      <c r="H113" s="145">
        <f t="shared" si="27"/>
        <v>0</v>
      </c>
      <c r="I113" s="130"/>
      <c r="J113" s="138">
        <f>'Proposed Rates'!$V113</f>
        <v>2.9</v>
      </c>
      <c r="K113" s="145">
        <f t="shared" si="28"/>
        <v>0</v>
      </c>
      <c r="L113" s="145">
        <f>K113-H113</f>
        <v>0</v>
      </c>
      <c r="M113" s="852"/>
      <c r="N113" s="853">
        <f>L113-'Proposed Accrual 2019'!L113</f>
        <v>0</v>
      </c>
    </row>
    <row r="114" spans="1:14" ht="15" x14ac:dyDescent="0.2">
      <c r="A114" s="140">
        <f>'Plant &amp; Reserve'!$A114</f>
        <v>34645</v>
      </c>
      <c r="B114" s="168" t="str">
        <f>'Plant &amp; Reserve'!$B114</f>
        <v>BB CT No. 5</v>
      </c>
      <c r="C114" s="130"/>
      <c r="D114" s="172">
        <f>IFERROR(VLOOKUP($A114,'2020 B-7'!C:R,14,FALSE),0)</f>
        <v>0</v>
      </c>
      <c r="E114" s="172">
        <f>IFERROR(VLOOKUP($A114,'2020 B-9'!C:T,16,FALSE),0)</f>
        <v>0</v>
      </c>
      <c r="F114" s="130"/>
      <c r="G114" s="170">
        <f>'Proposed Rates'!$I114</f>
        <v>0</v>
      </c>
      <c r="H114" s="172">
        <f t="shared" si="27"/>
        <v>0</v>
      </c>
      <c r="I114" s="130"/>
      <c r="J114" s="170">
        <f>'Proposed Rates'!$V114</f>
        <v>2.9</v>
      </c>
      <c r="K114" s="171">
        <f t="shared" si="28"/>
        <v>0</v>
      </c>
      <c r="L114" s="171">
        <f>K114-H114</f>
        <v>0</v>
      </c>
      <c r="M114" s="852"/>
      <c r="N114" s="853">
        <f>L114-'Proposed Accrual 2019'!L114</f>
        <v>0</v>
      </c>
    </row>
    <row r="115" spans="1:14" x14ac:dyDescent="0.2">
      <c r="A115" s="134"/>
      <c r="B115" s="128" t="s">
        <v>75</v>
      </c>
      <c r="C115" s="130"/>
      <c r="D115" s="173">
        <f>SUM(D110:D114)</f>
        <v>0</v>
      </c>
      <c r="E115" s="173">
        <f>SUM(E110:E114)</f>
        <v>0</v>
      </c>
      <c r="F115" s="130"/>
      <c r="G115" s="177">
        <f>'Proposed Rates'!$I115</f>
        <v>0</v>
      </c>
      <c r="H115" s="173">
        <f>SUM(H110:H114)</f>
        <v>0</v>
      </c>
      <c r="I115" s="130"/>
      <c r="J115" s="177">
        <f>'Proposed Rates'!$V115</f>
        <v>2.9</v>
      </c>
      <c r="K115" s="173">
        <f>SUM(K110:K114)</f>
        <v>0</v>
      </c>
      <c r="L115" s="173">
        <f>SUM(L110:L114)</f>
        <v>0</v>
      </c>
      <c r="M115" s="852"/>
      <c r="N115" s="853">
        <f>L115-'Proposed Accrual 2019'!L115</f>
        <v>0</v>
      </c>
    </row>
    <row r="116" spans="1:14" x14ac:dyDescent="0.2">
      <c r="A116" s="140"/>
      <c r="B116" s="130"/>
      <c r="C116" s="130"/>
      <c r="D116" s="145"/>
      <c r="E116" s="145"/>
      <c r="F116" s="130"/>
      <c r="G116" s="138"/>
      <c r="H116" s="145"/>
      <c r="I116" s="130"/>
      <c r="J116" s="138"/>
      <c r="K116" s="145"/>
      <c r="L116" s="145"/>
      <c r="M116" s="130"/>
      <c r="N116" s="853">
        <f>L116-'Proposed Accrual 2019'!L116</f>
        <v>0</v>
      </c>
    </row>
    <row r="117" spans="1:14" x14ac:dyDescent="0.2">
      <c r="A117" s="140">
        <f>'Plant &amp; Reserve'!$A117</f>
        <v>34146</v>
      </c>
      <c r="B117" s="130" t="str">
        <f>'Plant &amp; Reserve'!$B117</f>
        <v>BB CT No. 6</v>
      </c>
      <c r="C117" s="130"/>
      <c r="D117" s="145">
        <f>IFERROR(VLOOKUP($A117,'2020 B-7'!C:R,14,FALSE),0)</f>
        <v>0</v>
      </c>
      <c r="E117" s="145">
        <f>IFERROR(VLOOKUP($A117,'2020 B-9'!C:T,16,FALSE),0)</f>
        <v>0</v>
      </c>
      <c r="F117" s="130"/>
      <c r="G117" s="138">
        <f>'Proposed Rates'!$I117</f>
        <v>0</v>
      </c>
      <c r="H117" s="145">
        <f t="shared" ref="H117:H121" si="29">ROUND(($D117*G117)/100,0)</f>
        <v>0</v>
      </c>
      <c r="I117" s="130"/>
      <c r="J117" s="138">
        <f>'Proposed Rates'!$V117</f>
        <v>2.9</v>
      </c>
      <c r="K117" s="145">
        <f t="shared" ref="K117:K121" si="30">ROUND(($D117*J117)/100,0)</f>
        <v>0</v>
      </c>
      <c r="L117" s="145">
        <f>K117-H117</f>
        <v>0</v>
      </c>
      <c r="M117" s="852"/>
      <c r="N117" s="853">
        <f>L117-'Proposed Accrual 2019'!L117</f>
        <v>0</v>
      </c>
    </row>
    <row r="118" spans="1:14" x14ac:dyDescent="0.2">
      <c r="A118" s="140">
        <f>'Plant &amp; Reserve'!$A118</f>
        <v>34246</v>
      </c>
      <c r="B118" s="130" t="str">
        <f>'Plant &amp; Reserve'!$B118</f>
        <v>BB CT No. 6</v>
      </c>
      <c r="C118" s="130"/>
      <c r="D118" s="145">
        <f>IFERROR(VLOOKUP($A118,'2020 B-7'!C:R,14,FALSE),0)</f>
        <v>0</v>
      </c>
      <c r="E118" s="145">
        <f>IFERROR(VLOOKUP($A118,'2020 B-9'!C:T,16,FALSE),0)</f>
        <v>0</v>
      </c>
      <c r="F118" s="130"/>
      <c r="G118" s="138">
        <f>'Proposed Rates'!$I118</f>
        <v>0</v>
      </c>
      <c r="H118" s="145">
        <f t="shared" si="29"/>
        <v>0</v>
      </c>
      <c r="I118" s="130"/>
      <c r="J118" s="138">
        <f>'Proposed Rates'!$V118</f>
        <v>2.9</v>
      </c>
      <c r="K118" s="145">
        <f t="shared" si="30"/>
        <v>0</v>
      </c>
      <c r="L118" s="145">
        <f>K118-H118</f>
        <v>0</v>
      </c>
      <c r="M118" s="852"/>
      <c r="N118" s="853">
        <f>L118-'Proposed Accrual 2019'!L118</f>
        <v>0</v>
      </c>
    </row>
    <row r="119" spans="1:14" x14ac:dyDescent="0.2">
      <c r="A119" s="140">
        <f>'Plant &amp; Reserve'!$A119</f>
        <v>34346</v>
      </c>
      <c r="B119" s="130" t="str">
        <f>'Plant &amp; Reserve'!$B119</f>
        <v>BB CT No. 6</v>
      </c>
      <c r="C119" s="130"/>
      <c r="D119" s="145">
        <f>IFERROR(VLOOKUP($A119,'2020 B-7'!C:R,14,FALSE),0)</f>
        <v>0</v>
      </c>
      <c r="E119" s="145">
        <f>IFERROR(VLOOKUP($A119,'2020 B-9'!C:T,16,FALSE),0)</f>
        <v>0</v>
      </c>
      <c r="F119" s="130"/>
      <c r="G119" s="138">
        <f>'Proposed Rates'!$I119</f>
        <v>0</v>
      </c>
      <c r="H119" s="145">
        <f t="shared" si="29"/>
        <v>0</v>
      </c>
      <c r="I119" s="130"/>
      <c r="J119" s="138">
        <f>'Proposed Rates'!$V119</f>
        <v>2.9</v>
      </c>
      <c r="K119" s="145">
        <f t="shared" si="30"/>
        <v>0</v>
      </c>
      <c r="L119" s="145">
        <f>K119-H119</f>
        <v>0</v>
      </c>
      <c r="M119" s="852"/>
      <c r="N119" s="853">
        <f>L119-'Proposed Accrual 2019'!L119</f>
        <v>0</v>
      </c>
    </row>
    <row r="120" spans="1:14" x14ac:dyDescent="0.2">
      <c r="A120" s="140">
        <f>'Plant &amp; Reserve'!$A120</f>
        <v>34546</v>
      </c>
      <c r="B120" s="130" t="str">
        <f>'Plant &amp; Reserve'!$B120</f>
        <v>BB CT No. 6</v>
      </c>
      <c r="C120" s="130"/>
      <c r="D120" s="145">
        <f>IFERROR(VLOOKUP($A120,'2020 B-7'!C:R,14,FALSE),0)</f>
        <v>0</v>
      </c>
      <c r="E120" s="145">
        <f>IFERROR(VLOOKUP($A120,'2020 B-9'!C:T,16,FALSE),0)</f>
        <v>0</v>
      </c>
      <c r="F120" s="130"/>
      <c r="G120" s="138">
        <f>'Proposed Rates'!$I120</f>
        <v>0</v>
      </c>
      <c r="H120" s="145">
        <f t="shared" si="29"/>
        <v>0</v>
      </c>
      <c r="I120" s="130"/>
      <c r="J120" s="138">
        <f>'Proposed Rates'!$V120</f>
        <v>2.9</v>
      </c>
      <c r="K120" s="145">
        <f t="shared" si="30"/>
        <v>0</v>
      </c>
      <c r="L120" s="145">
        <f>K120-H120</f>
        <v>0</v>
      </c>
      <c r="M120" s="852"/>
      <c r="N120" s="853">
        <f>L120-'Proposed Accrual 2019'!L120</f>
        <v>0</v>
      </c>
    </row>
    <row r="121" spans="1:14" ht="15" x14ac:dyDescent="0.2">
      <c r="A121" s="140">
        <f>'Plant &amp; Reserve'!$A121</f>
        <v>34646</v>
      </c>
      <c r="B121" s="168" t="str">
        <f>'Plant &amp; Reserve'!$B121</f>
        <v>BB CT No. 6</v>
      </c>
      <c r="C121" s="130"/>
      <c r="D121" s="172">
        <f>IFERROR(VLOOKUP($A121,'2020 B-7'!C:R,14,FALSE),0)</f>
        <v>0</v>
      </c>
      <c r="E121" s="172">
        <f>IFERROR(VLOOKUP($A121,'2020 B-9'!C:T,16,FALSE),0)</f>
        <v>0</v>
      </c>
      <c r="F121" s="130"/>
      <c r="G121" s="170">
        <f>'Proposed Rates'!$I121</f>
        <v>0</v>
      </c>
      <c r="H121" s="172">
        <f t="shared" si="29"/>
        <v>0</v>
      </c>
      <c r="I121" s="130"/>
      <c r="J121" s="170">
        <f>'Proposed Rates'!$V121</f>
        <v>2.9</v>
      </c>
      <c r="K121" s="171">
        <f t="shared" si="30"/>
        <v>0</v>
      </c>
      <c r="L121" s="171">
        <f>K121-H121</f>
        <v>0</v>
      </c>
      <c r="M121" s="852"/>
      <c r="N121" s="853">
        <f>L121-'Proposed Accrual 2019'!L121</f>
        <v>0</v>
      </c>
    </row>
    <row r="122" spans="1:14" x14ac:dyDescent="0.2">
      <c r="A122" s="134"/>
      <c r="B122" s="128" t="s">
        <v>75</v>
      </c>
      <c r="C122" s="130"/>
      <c r="D122" s="173">
        <f>SUM(D117:D121)</f>
        <v>0</v>
      </c>
      <c r="E122" s="173">
        <f>SUM(E117:E121)</f>
        <v>0</v>
      </c>
      <c r="F122" s="130"/>
      <c r="G122" s="177">
        <f>'Proposed Rates'!$I122</f>
        <v>0</v>
      </c>
      <c r="H122" s="173">
        <f>SUM(H117:H121)</f>
        <v>0</v>
      </c>
      <c r="I122" s="130"/>
      <c r="J122" s="177">
        <f>'Proposed Rates'!$V122</f>
        <v>2.9</v>
      </c>
      <c r="K122" s="173">
        <f>SUM(K117:K121)</f>
        <v>0</v>
      </c>
      <c r="L122" s="173">
        <f>SUM(L117:L121)</f>
        <v>0</v>
      </c>
      <c r="M122" s="852"/>
      <c r="N122" s="853">
        <f>L122-'Proposed Accrual 2019'!L122</f>
        <v>0</v>
      </c>
    </row>
    <row r="123" spans="1:14" x14ac:dyDescent="0.2">
      <c r="A123" s="140"/>
      <c r="B123" s="130"/>
      <c r="C123" s="130"/>
      <c r="D123" s="145"/>
      <c r="E123" s="145"/>
      <c r="F123" s="130"/>
      <c r="G123" s="138"/>
      <c r="H123" s="145"/>
      <c r="I123" s="130"/>
      <c r="J123" s="138"/>
      <c r="K123" s="145"/>
      <c r="L123" s="145"/>
      <c r="M123" s="130"/>
      <c r="N123" s="853">
        <f>L123-'Proposed Accrual 2019'!L123</f>
        <v>0</v>
      </c>
    </row>
    <row r="124" spans="1:14" x14ac:dyDescent="0.2">
      <c r="A124" s="140">
        <f>'Plant &amp; Reserve'!$A124</f>
        <v>34143</v>
      </c>
      <c r="B124" s="130" t="str">
        <f>'Plant &amp; Reserve'!$B124</f>
        <v>BB CCST for CT 5-6</v>
      </c>
      <c r="C124" s="130"/>
      <c r="D124" s="145">
        <f>IFERROR(VLOOKUP($A124,'2020 B-7'!C:R,14,FALSE),0)</f>
        <v>0</v>
      </c>
      <c r="E124" s="145">
        <f>IFERROR(VLOOKUP($A124,'2020 B-9'!C:T,16,FALSE),0)</f>
        <v>0</v>
      </c>
      <c r="F124" s="130"/>
      <c r="G124" s="138">
        <f>'Proposed Rates'!$I124</f>
        <v>0</v>
      </c>
      <c r="H124" s="145">
        <f t="shared" ref="H124:H128" si="31">ROUND(($D124*G124)/100,0)</f>
        <v>0</v>
      </c>
      <c r="I124" s="130"/>
      <c r="J124" s="138">
        <f>'Proposed Rates'!$V124</f>
        <v>2.9</v>
      </c>
      <c r="K124" s="145">
        <f t="shared" ref="K124:K128" si="32">ROUND(($D124*J124)/100,0)</f>
        <v>0</v>
      </c>
      <c r="L124" s="145">
        <f>K124-H124</f>
        <v>0</v>
      </c>
      <c r="M124" s="852"/>
      <c r="N124" s="853">
        <f>L124-'Proposed Accrual 2019'!L124</f>
        <v>0</v>
      </c>
    </row>
    <row r="125" spans="1:14" x14ac:dyDescent="0.2">
      <c r="A125" s="140">
        <f>'Plant &amp; Reserve'!$A125</f>
        <v>34243</v>
      </c>
      <c r="B125" s="130" t="str">
        <f>'Plant &amp; Reserve'!$B125</f>
        <v>BB CCST for CT 5-6</v>
      </c>
      <c r="C125" s="130"/>
      <c r="D125" s="145">
        <f>IFERROR(VLOOKUP($A125,'2020 B-7'!C:R,14,FALSE),0)</f>
        <v>0</v>
      </c>
      <c r="E125" s="145">
        <f>IFERROR(VLOOKUP($A125,'2020 B-9'!C:T,16,FALSE),0)</f>
        <v>0</v>
      </c>
      <c r="F125" s="130"/>
      <c r="G125" s="138">
        <f>'Proposed Rates'!$I125</f>
        <v>0</v>
      </c>
      <c r="H125" s="145">
        <f t="shared" si="31"/>
        <v>0</v>
      </c>
      <c r="I125" s="130"/>
      <c r="J125" s="138">
        <f>'Proposed Rates'!$V125</f>
        <v>2.9</v>
      </c>
      <c r="K125" s="145">
        <f t="shared" si="32"/>
        <v>0</v>
      </c>
      <c r="L125" s="145">
        <f>K125-H125</f>
        <v>0</v>
      </c>
      <c r="M125" s="852"/>
      <c r="N125" s="853">
        <f>L125-'Proposed Accrual 2019'!L125</f>
        <v>0</v>
      </c>
    </row>
    <row r="126" spans="1:14" x14ac:dyDescent="0.2">
      <c r="A126" s="140">
        <f>'Plant &amp; Reserve'!$A126</f>
        <v>34343</v>
      </c>
      <c r="B126" s="130" t="str">
        <f>'Plant &amp; Reserve'!$B126</f>
        <v>BB CCST for CT 5-6</v>
      </c>
      <c r="C126" s="130"/>
      <c r="D126" s="145">
        <f>IFERROR(VLOOKUP($A126,'2020 B-7'!C:R,14,FALSE),0)</f>
        <v>0</v>
      </c>
      <c r="E126" s="145">
        <f>IFERROR(VLOOKUP($A126,'2020 B-9'!C:T,16,FALSE),0)</f>
        <v>0</v>
      </c>
      <c r="F126" s="130"/>
      <c r="G126" s="138">
        <f>'Proposed Rates'!$I126</f>
        <v>0</v>
      </c>
      <c r="H126" s="145">
        <f t="shared" si="31"/>
        <v>0</v>
      </c>
      <c r="I126" s="130"/>
      <c r="J126" s="138">
        <f>'Proposed Rates'!$V126</f>
        <v>2.9</v>
      </c>
      <c r="K126" s="145">
        <f t="shared" si="32"/>
        <v>0</v>
      </c>
      <c r="L126" s="145">
        <f>K126-H126</f>
        <v>0</v>
      </c>
      <c r="M126" s="852"/>
      <c r="N126" s="853">
        <f>L126-'Proposed Accrual 2019'!L126</f>
        <v>0</v>
      </c>
    </row>
    <row r="127" spans="1:14" x14ac:dyDescent="0.2">
      <c r="A127" s="140">
        <f>'Plant &amp; Reserve'!$A127</f>
        <v>34543</v>
      </c>
      <c r="B127" s="130" t="str">
        <f>'Plant &amp; Reserve'!$B127</f>
        <v>BB CCST for CT 5-6</v>
      </c>
      <c r="C127" s="130"/>
      <c r="D127" s="145">
        <f>IFERROR(VLOOKUP($A127,'2020 B-7'!C:R,14,FALSE),0)</f>
        <v>0</v>
      </c>
      <c r="E127" s="145">
        <f>IFERROR(VLOOKUP($A127,'2020 B-9'!C:T,16,FALSE),0)</f>
        <v>0</v>
      </c>
      <c r="F127" s="130"/>
      <c r="G127" s="138">
        <f>'Proposed Rates'!$I127</f>
        <v>0</v>
      </c>
      <c r="H127" s="145">
        <f t="shared" si="31"/>
        <v>0</v>
      </c>
      <c r="I127" s="130"/>
      <c r="J127" s="138">
        <f>'Proposed Rates'!$V127</f>
        <v>2.9</v>
      </c>
      <c r="K127" s="145">
        <f t="shared" si="32"/>
        <v>0</v>
      </c>
      <c r="L127" s="145">
        <f>K127-H127</f>
        <v>0</v>
      </c>
      <c r="M127" s="852"/>
      <c r="N127" s="853">
        <f>L127-'Proposed Accrual 2019'!L127</f>
        <v>0</v>
      </c>
    </row>
    <row r="128" spans="1:14" ht="15" x14ac:dyDescent="0.2">
      <c r="A128" s="140">
        <f>'Plant &amp; Reserve'!$A128</f>
        <v>34643</v>
      </c>
      <c r="B128" s="168" t="str">
        <f>'Plant &amp; Reserve'!$B128</f>
        <v>BB CCST for CT 5-6</v>
      </c>
      <c r="C128" s="130"/>
      <c r="D128" s="172">
        <f>IFERROR(VLOOKUP($A128,'2020 B-7'!C:R,14,FALSE),0)</f>
        <v>0</v>
      </c>
      <c r="E128" s="172">
        <f>IFERROR(VLOOKUP($A128,'2020 B-9'!C:T,16,FALSE),0)</f>
        <v>0</v>
      </c>
      <c r="F128" s="130"/>
      <c r="G128" s="170">
        <f>'Proposed Rates'!$I128</f>
        <v>0</v>
      </c>
      <c r="H128" s="172">
        <f t="shared" si="31"/>
        <v>0</v>
      </c>
      <c r="I128" s="130"/>
      <c r="J128" s="170">
        <f>'Proposed Rates'!$V128</f>
        <v>2.9</v>
      </c>
      <c r="K128" s="171">
        <f t="shared" si="32"/>
        <v>0</v>
      </c>
      <c r="L128" s="171">
        <f>K128-H128</f>
        <v>0</v>
      </c>
      <c r="M128" s="852"/>
      <c r="N128" s="853">
        <f>L128-'Proposed Accrual 2019'!L128</f>
        <v>0</v>
      </c>
    </row>
    <row r="129" spans="1:14" x14ac:dyDescent="0.2">
      <c r="A129" s="134"/>
      <c r="B129" s="128" t="s">
        <v>75</v>
      </c>
      <c r="C129" s="130"/>
      <c r="D129" s="173">
        <f>SUM(D124:D128)</f>
        <v>0</v>
      </c>
      <c r="E129" s="173">
        <f>SUM(E124:E128)</f>
        <v>0</v>
      </c>
      <c r="F129" s="130"/>
      <c r="G129" s="177">
        <f>'Proposed Rates'!$I129</f>
        <v>0</v>
      </c>
      <c r="H129" s="173">
        <f>SUM(H124:H128)</f>
        <v>0</v>
      </c>
      <c r="I129" s="130"/>
      <c r="J129" s="177">
        <f>'Proposed Rates'!$V129</f>
        <v>2.9</v>
      </c>
      <c r="K129" s="173">
        <f>SUM(K124:K128)</f>
        <v>0</v>
      </c>
      <c r="L129" s="173">
        <f>SUM(L124:L128)</f>
        <v>0</v>
      </c>
      <c r="M129" s="852"/>
      <c r="N129" s="853">
        <f>L129-'Proposed Accrual 2019'!L129</f>
        <v>0</v>
      </c>
    </row>
    <row r="130" spans="1:14" ht="13.5" thickBot="1" x14ac:dyDescent="0.25">
      <c r="A130" s="493"/>
      <c r="B130" s="493"/>
      <c r="C130" s="130"/>
      <c r="D130" s="182"/>
      <c r="E130" s="182"/>
      <c r="F130" s="130"/>
      <c r="G130" s="493"/>
      <c r="H130" s="493"/>
      <c r="I130" s="130"/>
      <c r="J130" s="493"/>
      <c r="K130" s="493"/>
      <c r="L130" s="493"/>
      <c r="M130" s="130"/>
      <c r="N130" s="853">
        <f>L130-'Proposed Accrual 2019'!L130</f>
        <v>0</v>
      </c>
    </row>
    <row r="131" spans="1:14" ht="19.5" customHeight="1" thickTop="1" thickBot="1" x14ac:dyDescent="0.25">
      <c r="A131" s="494"/>
      <c r="B131" s="384"/>
      <c r="C131" s="130"/>
      <c r="D131" s="196">
        <f>SUM(D108,D115,D122,D129)</f>
        <v>41316484.25</v>
      </c>
      <c r="E131" s="196">
        <f>SUM(E108,E115,E122,E129)</f>
        <v>16267599.960000006</v>
      </c>
      <c r="F131" s="130"/>
      <c r="G131" s="826">
        <f>IF($D131=0,0,H131/$D131*100)</f>
        <v>3.865023922019696</v>
      </c>
      <c r="H131" s="196">
        <f>SUM(H108,H115,H122,H129)</f>
        <v>1596892</v>
      </c>
      <c r="I131" s="130"/>
      <c r="J131" s="826">
        <f>IF($D131=0,0,K131/$D131*100)</f>
        <v>2.997847039707886</v>
      </c>
      <c r="K131" s="196">
        <f>SUM(K108,K115,K122,K129)</f>
        <v>1238605</v>
      </c>
      <c r="L131" s="196">
        <f>SUM(L108,L115,L122,L129)</f>
        <v>-358287</v>
      </c>
      <c r="M131" s="130"/>
      <c r="N131" s="853">
        <f>L131-'Proposed Accrual 2019'!L131</f>
        <v>-5488</v>
      </c>
    </row>
    <row r="132" spans="1:14" ht="13.5" thickTop="1" x14ac:dyDescent="0.2">
      <c r="A132" s="134"/>
      <c r="B132" s="805"/>
      <c r="C132" s="130"/>
      <c r="D132" s="145"/>
      <c r="E132" s="145"/>
      <c r="F132" s="130"/>
      <c r="G132" s="138"/>
      <c r="H132" s="145"/>
      <c r="I132" s="130"/>
      <c r="J132" s="138"/>
      <c r="K132" s="145"/>
      <c r="L132" s="145"/>
      <c r="M132" s="130"/>
      <c r="N132" s="853">
        <f>L132-'Proposed Accrual 2019'!L132</f>
        <v>0</v>
      </c>
    </row>
    <row r="133" spans="1:14" x14ac:dyDescent="0.2">
      <c r="A133" s="134"/>
      <c r="B133" s="144" t="s">
        <v>62</v>
      </c>
      <c r="C133" s="130"/>
      <c r="D133" s="145"/>
      <c r="E133" s="145"/>
      <c r="F133" s="130"/>
      <c r="G133" s="138"/>
      <c r="H133" s="145"/>
      <c r="I133" s="130"/>
      <c r="J133" s="138"/>
      <c r="K133" s="145"/>
      <c r="L133" s="145"/>
      <c r="M133" s="130"/>
      <c r="N133" s="853">
        <f>L133-'Proposed Accrual 2019'!L133</f>
        <v>0</v>
      </c>
    </row>
    <row r="134" spans="1:14" x14ac:dyDescent="0.2">
      <c r="A134" s="134"/>
      <c r="B134" s="130"/>
      <c r="C134" s="130"/>
      <c r="D134" s="145"/>
      <c r="E134" s="145"/>
      <c r="F134" s="130"/>
      <c r="G134" s="138"/>
      <c r="H134" s="145"/>
      <c r="I134" s="130"/>
      <c r="J134" s="138"/>
      <c r="K134" s="145"/>
      <c r="L134" s="145"/>
      <c r="M134" s="130"/>
      <c r="N134" s="853">
        <f>L134-'Proposed Accrual 2019'!L134</f>
        <v>0</v>
      </c>
    </row>
    <row r="135" spans="1:14" x14ac:dyDescent="0.2">
      <c r="A135" s="140">
        <f>'Plant &amp; Reserve'!$A135</f>
        <v>34130</v>
      </c>
      <c r="B135" s="130" t="str">
        <f>'Plant &amp; Reserve'!$B135</f>
        <v>BP Common</v>
      </c>
      <c r="C135" s="130"/>
      <c r="D135" s="145">
        <f>IFERROR(VLOOKUP($A135,'2020 B-7'!C:R,14,FALSE),0)</f>
        <v>84179579.350000009</v>
      </c>
      <c r="E135" s="145">
        <f>IFERROR(VLOOKUP($A135,'2020 B-9'!C:T,16,FALSE),0)</f>
        <v>21271527.919999991</v>
      </c>
      <c r="F135" s="130"/>
      <c r="G135" s="138">
        <f>'Proposed Rates'!$I135</f>
        <v>2.2999999999999998</v>
      </c>
      <c r="H135" s="145">
        <f t="shared" ref="H135:H139" si="33">ROUND(($D135*G135)/100,0)</f>
        <v>1936130</v>
      </c>
      <c r="I135" s="130"/>
      <c r="J135" s="138">
        <f>'Proposed Rates'!$V135</f>
        <v>3.4</v>
      </c>
      <c r="K135" s="145">
        <f t="shared" ref="K135:K139" si="34">ROUND(($D135*J135)/100,0)</f>
        <v>2862106</v>
      </c>
      <c r="L135" s="145">
        <f>K135-H135</f>
        <v>925976</v>
      </c>
      <c r="M135" s="852"/>
      <c r="N135" s="853">
        <f>L135-'Proposed Accrual 2019'!L135</f>
        <v>28953</v>
      </c>
    </row>
    <row r="136" spans="1:14" x14ac:dyDescent="0.2">
      <c r="A136" s="140">
        <f>'Plant &amp; Reserve'!$A136</f>
        <v>34230</v>
      </c>
      <c r="B136" s="130" t="str">
        <f>'Plant &amp; Reserve'!$B136</f>
        <v>BP Common</v>
      </c>
      <c r="C136" s="130"/>
      <c r="D136" s="145">
        <f>IFERROR(VLOOKUP($A136,'2020 B-7'!C:R,14,FALSE),0)</f>
        <v>22664040.789999999</v>
      </c>
      <c r="E136" s="145">
        <f>IFERROR(VLOOKUP($A136,'2020 B-9'!C:T,16,FALSE),0)</f>
        <v>7508431.3899999978</v>
      </c>
      <c r="F136" s="130"/>
      <c r="G136" s="138">
        <f>'Proposed Rates'!$I136</f>
        <v>2.5</v>
      </c>
      <c r="H136" s="145">
        <f t="shared" si="33"/>
        <v>566601</v>
      </c>
      <c r="I136" s="130"/>
      <c r="J136" s="138">
        <f>'Proposed Rates'!$V136</f>
        <v>3</v>
      </c>
      <c r="K136" s="145">
        <f t="shared" si="34"/>
        <v>679921</v>
      </c>
      <c r="L136" s="145">
        <f>K136-H136</f>
        <v>113320</v>
      </c>
      <c r="M136" s="852"/>
      <c r="N136" s="853">
        <f>L136-'Proposed Accrual 2019'!L136</f>
        <v>988</v>
      </c>
    </row>
    <row r="137" spans="1:14" x14ac:dyDescent="0.2">
      <c r="A137" s="140">
        <f>'Plant &amp; Reserve'!$A137</f>
        <v>34330</v>
      </c>
      <c r="B137" s="130" t="str">
        <f>'Plant &amp; Reserve'!$B137</f>
        <v>BP Common</v>
      </c>
      <c r="C137" s="130"/>
      <c r="D137" s="145">
        <f>IFERROR(VLOOKUP($A137,'2020 B-7'!C:R,14,FALSE),0)</f>
        <v>38938954.289999992</v>
      </c>
      <c r="E137" s="145">
        <f>IFERROR(VLOOKUP($A137,'2020 B-9'!C:T,16,FALSE),0)</f>
        <v>13914848.340000013</v>
      </c>
      <c r="F137" s="130"/>
      <c r="G137" s="138">
        <f>'Proposed Rates'!$I137</f>
        <v>3.2</v>
      </c>
      <c r="H137" s="145">
        <f t="shared" si="33"/>
        <v>1246047</v>
      </c>
      <c r="I137" s="130"/>
      <c r="J137" s="138">
        <f>'Proposed Rates'!$V137</f>
        <v>5.5</v>
      </c>
      <c r="K137" s="145">
        <f t="shared" si="34"/>
        <v>2141642</v>
      </c>
      <c r="L137" s="145">
        <f>K137-H137</f>
        <v>895595</v>
      </c>
      <c r="M137" s="852"/>
      <c r="N137" s="853">
        <f>L137-'Proposed Accrual 2019'!L137</f>
        <v>83750</v>
      </c>
    </row>
    <row r="138" spans="1:14" x14ac:dyDescent="0.2">
      <c r="A138" s="140">
        <f>'Plant &amp; Reserve'!$A138</f>
        <v>34530</v>
      </c>
      <c r="B138" s="130" t="str">
        <f>'Plant &amp; Reserve'!$B138</f>
        <v>BP Common</v>
      </c>
      <c r="C138" s="130"/>
      <c r="D138" s="145">
        <f>IFERROR(VLOOKUP($A138,'2020 B-7'!C:R,14,FALSE),0)</f>
        <v>29294635.780000001</v>
      </c>
      <c r="E138" s="145">
        <f>IFERROR(VLOOKUP($A138,'2020 B-9'!C:T,16,FALSE),0)</f>
        <v>12491010.739999989</v>
      </c>
      <c r="F138" s="130"/>
      <c r="G138" s="138">
        <f>'Proposed Rates'!$I138</f>
        <v>4.2</v>
      </c>
      <c r="H138" s="145">
        <f t="shared" si="33"/>
        <v>1230375</v>
      </c>
      <c r="I138" s="130"/>
      <c r="J138" s="138">
        <f>'Proposed Rates'!$V138</f>
        <v>3.3</v>
      </c>
      <c r="K138" s="145">
        <f t="shared" si="34"/>
        <v>966723</v>
      </c>
      <c r="L138" s="145">
        <f>K138-H138</f>
        <v>-263652</v>
      </c>
      <c r="M138" s="852"/>
      <c r="N138" s="853">
        <f>L138-'Proposed Accrual 2019'!L138</f>
        <v>-3729</v>
      </c>
    </row>
    <row r="139" spans="1:14" ht="15" x14ac:dyDescent="0.2">
      <c r="A139" s="140">
        <f>'Plant &amp; Reserve'!$A139</f>
        <v>34630</v>
      </c>
      <c r="B139" s="168" t="str">
        <f>'Plant &amp; Reserve'!$B139</f>
        <v>BP Common</v>
      </c>
      <c r="C139" s="130"/>
      <c r="D139" s="172">
        <f>IFERROR(VLOOKUP($A139,'2020 B-7'!C:R,14,FALSE),0)</f>
        <v>11054023.24</v>
      </c>
      <c r="E139" s="172">
        <f>IFERROR(VLOOKUP($A139,'2020 B-9'!C:T,16,FALSE),0)</f>
        <v>3911389.1399999964</v>
      </c>
      <c r="F139" s="130"/>
      <c r="G139" s="170">
        <f>'Proposed Rates'!$I139</f>
        <v>3.2</v>
      </c>
      <c r="H139" s="172">
        <f t="shared" si="33"/>
        <v>353729</v>
      </c>
      <c r="I139" s="130"/>
      <c r="J139" s="170">
        <f>'Proposed Rates'!$V139</f>
        <v>4</v>
      </c>
      <c r="K139" s="171">
        <f t="shared" si="34"/>
        <v>442161</v>
      </c>
      <c r="L139" s="171">
        <f>K139-H139</f>
        <v>88432</v>
      </c>
      <c r="M139" s="852"/>
      <c r="N139" s="853">
        <f>L139-'Proposed Accrual 2019'!L139</f>
        <v>1403</v>
      </c>
    </row>
    <row r="140" spans="1:14" x14ac:dyDescent="0.2">
      <c r="A140" s="134"/>
      <c r="B140" s="128" t="s">
        <v>75</v>
      </c>
      <c r="C140" s="130"/>
      <c r="D140" s="173">
        <f>SUM(D135:D139)</f>
        <v>186131233.45000002</v>
      </c>
      <c r="E140" s="173">
        <f>SUM(E135:E139)</f>
        <v>59097207.529999979</v>
      </c>
      <c r="F140" s="130"/>
      <c r="G140" s="177">
        <f>'Proposed Rates'!$I140</f>
        <v>2.6</v>
      </c>
      <c r="H140" s="173">
        <f>SUM(H135:H139)</f>
        <v>5332882</v>
      </c>
      <c r="I140" s="130"/>
      <c r="J140" s="177">
        <f>'Proposed Rates'!$V140</f>
        <v>3.5</v>
      </c>
      <c r="K140" s="173">
        <f>SUM(K135:K139)</f>
        <v>7092553</v>
      </c>
      <c r="L140" s="173">
        <f>SUM(L135:L139)</f>
        <v>1759671</v>
      </c>
      <c r="M140" s="852"/>
      <c r="N140" s="853">
        <f>L140-'Proposed Accrual 2019'!L140</f>
        <v>111365</v>
      </c>
    </row>
    <row r="141" spans="1:14" x14ac:dyDescent="0.2">
      <c r="A141" s="134"/>
      <c r="B141" s="130"/>
      <c r="C141" s="130"/>
      <c r="D141" s="145"/>
      <c r="E141" s="145"/>
      <c r="F141" s="130"/>
      <c r="G141" s="138"/>
      <c r="H141" s="145"/>
      <c r="I141" s="130"/>
      <c r="J141" s="138"/>
      <c r="K141" s="145"/>
      <c r="L141" s="145"/>
      <c r="M141" s="130"/>
      <c r="N141" s="853">
        <f>L141-'Proposed Accrual 2019'!L141</f>
        <v>0</v>
      </c>
    </row>
    <row r="142" spans="1:14" x14ac:dyDescent="0.2">
      <c r="A142" s="140">
        <f>'Plant &amp; Reserve'!$A142</f>
        <v>34131</v>
      </c>
      <c r="B142" s="130" t="str">
        <f>'Plant &amp; Reserve'!$B142</f>
        <v>BP Unit No. 1</v>
      </c>
      <c r="C142" s="130"/>
      <c r="D142" s="145">
        <f>IFERROR(VLOOKUP($A142,'2020 B-7'!C:R,14,FALSE),0)</f>
        <v>21508359.090000004</v>
      </c>
      <c r="E142" s="145">
        <f>IFERROR(VLOOKUP($A142,'2020 B-9'!C:T,16,FALSE),0)</f>
        <v>7173149.7099999925</v>
      </c>
      <c r="F142" s="130"/>
      <c r="G142" s="138">
        <f>'Proposed Rates'!$I142</f>
        <v>2.5</v>
      </c>
      <c r="H142" s="145">
        <f t="shared" ref="H142:H146" si="35">ROUND(($D142*G142)/100,0)</f>
        <v>537709</v>
      </c>
      <c r="I142" s="130"/>
      <c r="J142" s="138">
        <f>'Proposed Rates'!$V142</f>
        <v>3.6</v>
      </c>
      <c r="K142" s="145">
        <f t="shared" ref="K142:K146" si="36">ROUND(($D142*J142)/100,0)</f>
        <v>774301</v>
      </c>
      <c r="L142" s="145">
        <f>K142-H142</f>
        <v>236592</v>
      </c>
      <c r="M142" s="852"/>
      <c r="N142" s="853">
        <f>L142-'Proposed Accrual 2019'!L142</f>
        <v>-1108</v>
      </c>
    </row>
    <row r="143" spans="1:14" x14ac:dyDescent="0.2">
      <c r="A143" s="140">
        <f>'Plant &amp; Reserve'!$A143</f>
        <v>34231</v>
      </c>
      <c r="B143" s="130" t="str">
        <f>'Plant &amp; Reserve'!$B143</f>
        <v>BP Unit No. 1</v>
      </c>
      <c r="C143" s="130"/>
      <c r="D143" s="145">
        <f>IFERROR(VLOOKUP($A143,'2020 B-7'!C:R,14,FALSE),0)</f>
        <v>78045137.230000034</v>
      </c>
      <c r="E143" s="145">
        <f>IFERROR(VLOOKUP($A143,'2020 B-9'!C:T,16,FALSE),0)</f>
        <v>32691965.73</v>
      </c>
      <c r="F143" s="130"/>
      <c r="G143" s="138">
        <f>'Proposed Rates'!$I143</f>
        <v>2.9</v>
      </c>
      <c r="H143" s="145">
        <f t="shared" si="35"/>
        <v>2263309</v>
      </c>
      <c r="I143" s="130"/>
      <c r="J143" s="138">
        <f>'Proposed Rates'!$V143</f>
        <v>4</v>
      </c>
      <c r="K143" s="145">
        <f t="shared" si="36"/>
        <v>3121805</v>
      </c>
      <c r="L143" s="145">
        <f>K143-H143</f>
        <v>858496</v>
      </c>
      <c r="M143" s="852"/>
      <c r="N143" s="853">
        <f>L143-'Proposed Accrual 2019'!L143</f>
        <v>2679</v>
      </c>
    </row>
    <row r="144" spans="1:14" x14ac:dyDescent="0.2">
      <c r="A144" s="140">
        <f>'Plant &amp; Reserve'!$A144</f>
        <v>34331</v>
      </c>
      <c r="B144" s="130" t="str">
        <f>'Plant &amp; Reserve'!$B144</f>
        <v>BP Unit No. 1</v>
      </c>
      <c r="C144" s="130"/>
      <c r="D144" s="145">
        <f>IFERROR(VLOOKUP($A144,'2020 B-7'!C:R,14,FALSE),0)</f>
        <v>210494016.60000011</v>
      </c>
      <c r="E144" s="145">
        <f>IFERROR(VLOOKUP($A144,'2020 B-9'!C:T,16,FALSE),0)</f>
        <v>64455027.809999965</v>
      </c>
      <c r="F144" s="130"/>
      <c r="G144" s="138">
        <f>'Proposed Rates'!$I144</f>
        <v>4.2</v>
      </c>
      <c r="H144" s="145">
        <f t="shared" si="35"/>
        <v>8840749</v>
      </c>
      <c r="I144" s="130"/>
      <c r="J144" s="138">
        <f>'Proposed Rates'!$V144</f>
        <v>6.1</v>
      </c>
      <c r="K144" s="145">
        <f t="shared" si="36"/>
        <v>12840135</v>
      </c>
      <c r="L144" s="145">
        <f>K144-H144</f>
        <v>3999386</v>
      </c>
      <c r="M144" s="852"/>
      <c r="N144" s="853">
        <f>L144-'Proposed Accrual 2019'!L144</f>
        <v>22625</v>
      </c>
    </row>
    <row r="145" spans="1:14" x14ac:dyDescent="0.2">
      <c r="A145" s="140">
        <f>'Plant &amp; Reserve'!$A145</f>
        <v>34531</v>
      </c>
      <c r="B145" s="130" t="str">
        <f>'Plant &amp; Reserve'!$B145</f>
        <v>BP Unit No. 1</v>
      </c>
      <c r="C145" s="130"/>
      <c r="D145" s="145">
        <f>IFERROR(VLOOKUP($A145,'2020 B-7'!C:R,14,FALSE),0)</f>
        <v>39338144.729999989</v>
      </c>
      <c r="E145" s="145">
        <f>IFERROR(VLOOKUP($A145,'2020 B-9'!C:T,16,FALSE),0)</f>
        <v>17801596.819999993</v>
      </c>
      <c r="F145" s="130"/>
      <c r="G145" s="138">
        <f>'Proposed Rates'!$I145</f>
        <v>3.2</v>
      </c>
      <c r="H145" s="145">
        <f t="shared" si="35"/>
        <v>1258821</v>
      </c>
      <c r="I145" s="130"/>
      <c r="J145" s="138">
        <f>'Proposed Rates'!$V145</f>
        <v>4.0999999999999996</v>
      </c>
      <c r="K145" s="145">
        <f t="shared" si="36"/>
        <v>1612864</v>
      </c>
      <c r="L145" s="145">
        <f>K145-H145</f>
        <v>354043</v>
      </c>
      <c r="M145" s="852"/>
      <c r="N145" s="853">
        <f>L145-'Proposed Accrual 2019'!L145</f>
        <v>3637</v>
      </c>
    </row>
    <row r="146" spans="1:14" ht="15" x14ac:dyDescent="0.2">
      <c r="A146" s="140">
        <f>'Plant &amp; Reserve'!$A146</f>
        <v>34631</v>
      </c>
      <c r="B146" s="168" t="str">
        <f>'Plant &amp; Reserve'!$B146</f>
        <v>BP Unit No. 1</v>
      </c>
      <c r="C146" s="130"/>
      <c r="D146" s="172">
        <f>IFERROR(VLOOKUP($A146,'2020 B-7'!C:R,14,FALSE),0)</f>
        <v>1152705.94</v>
      </c>
      <c r="E146" s="172">
        <f>IFERROR(VLOOKUP($A146,'2020 B-9'!C:T,16,FALSE),0)</f>
        <v>529440.28000000108</v>
      </c>
      <c r="F146" s="130"/>
      <c r="G146" s="170">
        <f>'Proposed Rates'!$I146</f>
        <v>2.7</v>
      </c>
      <c r="H146" s="172">
        <f t="shared" si="35"/>
        <v>31123</v>
      </c>
      <c r="I146" s="130"/>
      <c r="J146" s="170">
        <f>'Proposed Rates'!$V146</f>
        <v>3.2</v>
      </c>
      <c r="K146" s="171">
        <f t="shared" si="36"/>
        <v>36887</v>
      </c>
      <c r="L146" s="171">
        <f>K146-H146</f>
        <v>5764</v>
      </c>
      <c r="M146" s="852"/>
      <c r="N146" s="853">
        <f>L146-'Proposed Accrual 2019'!L146</f>
        <v>0</v>
      </c>
    </row>
    <row r="147" spans="1:14" x14ac:dyDescent="0.2">
      <c r="A147" s="134"/>
      <c r="B147" s="128" t="s">
        <v>75</v>
      </c>
      <c r="C147" s="130"/>
      <c r="D147" s="173">
        <f>SUM(D142:D146)</f>
        <v>350538363.59000009</v>
      </c>
      <c r="E147" s="173">
        <f>SUM(E142:E146)</f>
        <v>122651180.34999995</v>
      </c>
      <c r="F147" s="130"/>
      <c r="G147" s="177">
        <f>'Proposed Rates'!$I147</f>
        <v>3.3</v>
      </c>
      <c r="H147" s="173">
        <f>SUM(H142:H146)</f>
        <v>12931711</v>
      </c>
      <c r="I147" s="130"/>
      <c r="J147" s="177">
        <f>'Proposed Rates'!$V147</f>
        <v>5.0999999999999996</v>
      </c>
      <c r="K147" s="173">
        <f>SUM(K142:K146)</f>
        <v>18385992</v>
      </c>
      <c r="L147" s="173">
        <f>SUM(L142:L146)</f>
        <v>5454281</v>
      </c>
      <c r="M147" s="852"/>
      <c r="N147" s="853">
        <f>L147-'Proposed Accrual 2019'!L147</f>
        <v>27833</v>
      </c>
    </row>
    <row r="148" spans="1:14" x14ac:dyDescent="0.2">
      <c r="A148" s="134"/>
      <c r="B148" s="130"/>
      <c r="C148" s="130"/>
      <c r="D148" s="145"/>
      <c r="E148" s="145"/>
      <c r="F148" s="130"/>
      <c r="G148" s="138"/>
      <c r="H148" s="145"/>
      <c r="I148" s="130"/>
      <c r="J148" s="138"/>
      <c r="K148" s="145"/>
      <c r="L148" s="145"/>
      <c r="M148" s="130"/>
      <c r="N148" s="853">
        <f>L148-'Proposed Accrual 2019'!L148</f>
        <v>0</v>
      </c>
    </row>
    <row r="149" spans="1:14" x14ac:dyDescent="0.2">
      <c r="A149" s="140">
        <f>'Plant &amp; Reserve'!$A149</f>
        <v>34132</v>
      </c>
      <c r="B149" s="130" t="str">
        <f>'Plant &amp; Reserve'!$B149</f>
        <v>BP Unit No. 2</v>
      </c>
      <c r="C149" s="130"/>
      <c r="D149" s="145">
        <f>IFERROR(VLOOKUP($A149,'2020 B-7'!C:R,14,FALSE),0)</f>
        <v>26971966.289999995</v>
      </c>
      <c r="E149" s="145">
        <f>IFERROR(VLOOKUP($A149,'2020 B-9'!C:T,16,FALSE),0)</f>
        <v>11035631.849999998</v>
      </c>
      <c r="F149" s="130"/>
      <c r="G149" s="138">
        <f>'Proposed Rates'!$I149</f>
        <v>2.5</v>
      </c>
      <c r="H149" s="145">
        <f t="shared" ref="H149:H153" si="37">ROUND(($D149*G149)/100,0)</f>
        <v>674299</v>
      </c>
      <c r="I149" s="130"/>
      <c r="J149" s="138">
        <f>'Proposed Rates'!$V149</f>
        <v>3.5</v>
      </c>
      <c r="K149" s="145">
        <f t="shared" ref="K149:K153" si="38">ROUND(($D149*J149)/100,0)</f>
        <v>944019</v>
      </c>
      <c r="L149" s="145">
        <f>K149-H149</f>
        <v>269720</v>
      </c>
      <c r="M149" s="852"/>
      <c r="N149" s="853">
        <f>L149-'Proposed Accrual 2019'!L149</f>
        <v>0</v>
      </c>
    </row>
    <row r="150" spans="1:14" x14ac:dyDescent="0.2">
      <c r="A150" s="140">
        <f>'Plant &amp; Reserve'!$A150</f>
        <v>34232</v>
      </c>
      <c r="B150" s="130" t="str">
        <f>'Plant &amp; Reserve'!$B150</f>
        <v>BP Unit No. 2</v>
      </c>
      <c r="C150" s="130"/>
      <c r="D150" s="145">
        <f>IFERROR(VLOOKUP($A150,'2020 B-7'!C:R,14,FALSE),0)</f>
        <v>103676279.81</v>
      </c>
      <c r="E150" s="145">
        <f>IFERROR(VLOOKUP($A150,'2020 B-9'!C:T,16,FALSE),0)</f>
        <v>40161216.940000035</v>
      </c>
      <c r="F150" s="130"/>
      <c r="G150" s="138">
        <f>'Proposed Rates'!$I150</f>
        <v>2.9</v>
      </c>
      <c r="H150" s="145">
        <f t="shared" si="37"/>
        <v>3006612</v>
      </c>
      <c r="I150" s="130"/>
      <c r="J150" s="138">
        <f>'Proposed Rates'!$V150</f>
        <v>3.9</v>
      </c>
      <c r="K150" s="145">
        <f t="shared" si="38"/>
        <v>4043375</v>
      </c>
      <c r="L150" s="145">
        <f>K150-H150</f>
        <v>1036763</v>
      </c>
      <c r="M150" s="852"/>
      <c r="N150" s="853">
        <f>L150-'Proposed Accrual 2019'!L150</f>
        <v>49768</v>
      </c>
    </row>
    <row r="151" spans="1:14" x14ac:dyDescent="0.2">
      <c r="A151" s="140">
        <f>'Plant &amp; Reserve'!$A151</f>
        <v>34332</v>
      </c>
      <c r="B151" s="130" t="str">
        <f>'Plant &amp; Reserve'!$B151</f>
        <v>BP Unit No. 2</v>
      </c>
      <c r="C151" s="130"/>
      <c r="D151" s="145">
        <f>IFERROR(VLOOKUP($A151,'2020 B-7'!C:R,14,FALSE),0)</f>
        <v>288044264.47000003</v>
      </c>
      <c r="E151" s="145">
        <f>IFERROR(VLOOKUP($A151,'2020 B-9'!C:T,16,FALSE),0)</f>
        <v>76859428.499999985</v>
      </c>
      <c r="F151" s="130"/>
      <c r="G151" s="138">
        <f>'Proposed Rates'!$I151</f>
        <v>4.0999999999999996</v>
      </c>
      <c r="H151" s="145">
        <f t="shared" si="37"/>
        <v>11809815</v>
      </c>
      <c r="I151" s="130"/>
      <c r="J151" s="138">
        <f>'Proposed Rates'!$V151</f>
        <v>6.2</v>
      </c>
      <c r="K151" s="145">
        <f t="shared" si="38"/>
        <v>17858744</v>
      </c>
      <c r="L151" s="145">
        <f>K151-H151</f>
        <v>6048929</v>
      </c>
      <c r="M151" s="852"/>
      <c r="N151" s="853">
        <f>L151-'Proposed Accrual 2019'!L151</f>
        <v>30943</v>
      </c>
    </row>
    <row r="152" spans="1:14" x14ac:dyDescent="0.2">
      <c r="A152" s="140">
        <f>'Plant &amp; Reserve'!$A152</f>
        <v>34532</v>
      </c>
      <c r="B152" s="130" t="str">
        <f>'Plant &amp; Reserve'!$B152</f>
        <v>BP Unit No. 2</v>
      </c>
      <c r="C152" s="130"/>
      <c r="D152" s="145">
        <f>IFERROR(VLOOKUP($A152,'2020 B-7'!C:R,14,FALSE),0)</f>
        <v>44058767.359999999</v>
      </c>
      <c r="E152" s="145">
        <f>IFERROR(VLOOKUP($A152,'2020 B-9'!C:T,16,FALSE),0)</f>
        <v>19031385.949999999</v>
      </c>
      <c r="F152" s="130"/>
      <c r="G152" s="138">
        <f>'Proposed Rates'!$I152</f>
        <v>3.1</v>
      </c>
      <c r="H152" s="145">
        <f t="shared" si="37"/>
        <v>1365822</v>
      </c>
      <c r="I152" s="130"/>
      <c r="J152" s="138">
        <f>'Proposed Rates'!$V152</f>
        <v>4.0999999999999996</v>
      </c>
      <c r="K152" s="145">
        <f t="shared" si="38"/>
        <v>1806409</v>
      </c>
      <c r="L152" s="145">
        <f>K152-H152</f>
        <v>440587</v>
      </c>
      <c r="M152" s="852"/>
      <c r="N152" s="853">
        <f>L152-'Proposed Accrual 2019'!L152</f>
        <v>1056</v>
      </c>
    </row>
    <row r="153" spans="1:14" ht="15" x14ac:dyDescent="0.2">
      <c r="A153" s="140">
        <f>'Plant &amp; Reserve'!$A153</f>
        <v>34632</v>
      </c>
      <c r="B153" s="168" t="str">
        <f>'Plant &amp; Reserve'!$B153</f>
        <v>BP Unit No. 2</v>
      </c>
      <c r="C153" s="130"/>
      <c r="D153" s="172">
        <f>IFERROR(VLOOKUP($A153,'2020 B-7'!C:R,14,FALSE),0)</f>
        <v>1455592.35</v>
      </c>
      <c r="E153" s="172">
        <f>IFERROR(VLOOKUP($A153,'2020 B-9'!C:T,16,FALSE),0)</f>
        <v>668928.4999999993</v>
      </c>
      <c r="F153" s="130"/>
      <c r="G153" s="170">
        <f>'Proposed Rates'!$I153</f>
        <v>2.8</v>
      </c>
      <c r="H153" s="172">
        <f t="shared" si="37"/>
        <v>40757</v>
      </c>
      <c r="I153" s="130"/>
      <c r="J153" s="170">
        <f>'Proposed Rates'!$V153</f>
        <v>3.3</v>
      </c>
      <c r="K153" s="171">
        <f t="shared" si="38"/>
        <v>48035</v>
      </c>
      <c r="L153" s="171">
        <f>K153-H153</f>
        <v>7278</v>
      </c>
      <c r="M153" s="852"/>
      <c r="N153" s="853">
        <f>L153-'Proposed Accrual 2019'!L153</f>
        <v>0</v>
      </c>
    </row>
    <row r="154" spans="1:14" x14ac:dyDescent="0.2">
      <c r="A154" s="134"/>
      <c r="B154" s="128" t="s">
        <v>75</v>
      </c>
      <c r="C154" s="130"/>
      <c r="D154" s="173">
        <f>SUM(D149:D153)</f>
        <v>464206870.28000009</v>
      </c>
      <c r="E154" s="173">
        <f>SUM(E149:E153)</f>
        <v>147756591.74000001</v>
      </c>
      <c r="F154" s="130"/>
      <c r="G154" s="177">
        <f>'Proposed Rates'!$I154</f>
        <v>3.3</v>
      </c>
      <c r="H154" s="173">
        <f>SUM(H149:H153)</f>
        <v>16897305</v>
      </c>
      <c r="I154" s="130"/>
      <c r="J154" s="177">
        <f>'Proposed Rates'!$V154</f>
        <v>5.2</v>
      </c>
      <c r="K154" s="173">
        <f>SUM(K149:K153)</f>
        <v>24700582</v>
      </c>
      <c r="L154" s="173">
        <f>SUM(L149:L153)</f>
        <v>7803277</v>
      </c>
      <c r="M154" s="852"/>
      <c r="N154" s="853">
        <f>L154-'Proposed Accrual 2019'!L154</f>
        <v>81767</v>
      </c>
    </row>
    <row r="155" spans="1:14" x14ac:dyDescent="0.2">
      <c r="A155" s="134"/>
      <c r="B155" s="128"/>
      <c r="C155" s="130"/>
      <c r="D155" s="145"/>
      <c r="E155" s="145"/>
      <c r="F155" s="130"/>
      <c r="G155" s="138"/>
      <c r="H155" s="145"/>
      <c r="I155" s="130"/>
      <c r="J155" s="138"/>
      <c r="K155" s="145"/>
      <c r="L155" s="145"/>
      <c r="M155" s="130"/>
      <c r="N155" s="853">
        <f>L155-'Proposed Accrual 2019'!L155</f>
        <v>0</v>
      </c>
    </row>
    <row r="156" spans="1:14" x14ac:dyDescent="0.2">
      <c r="A156" s="140">
        <f>'Plant &amp; Reserve'!$A156</f>
        <v>34133</v>
      </c>
      <c r="B156" s="130" t="str">
        <f>'Plant &amp; Reserve'!$B156</f>
        <v>BP CT No. 3</v>
      </c>
      <c r="C156" s="130"/>
      <c r="D156" s="145">
        <f>IFERROR(VLOOKUP($A156,'2020 B-7'!C:R,14,FALSE),0)</f>
        <v>656349.29</v>
      </c>
      <c r="E156" s="145">
        <f>IFERROR(VLOOKUP($A156,'2020 B-9'!C:T,16,FALSE),0)</f>
        <v>-10810.730000000272</v>
      </c>
      <c r="F156" s="130"/>
      <c r="G156" s="138">
        <f>'Proposed Rates'!$I156</f>
        <v>2.6</v>
      </c>
      <c r="H156" s="145">
        <f t="shared" ref="H156:H160" si="39">ROUND(($D156*G156)/100,0)</f>
        <v>17065</v>
      </c>
      <c r="I156" s="130"/>
      <c r="J156" s="138">
        <f>'Proposed Rates'!$V156</f>
        <v>3.5</v>
      </c>
      <c r="K156" s="145">
        <f t="shared" ref="K156:K160" si="40">ROUND(($D156*J156)/100,0)</f>
        <v>22972</v>
      </c>
      <c r="L156" s="145">
        <f>K156-H156</f>
        <v>5907</v>
      </c>
      <c r="M156" s="852"/>
      <c r="N156" s="853">
        <f>L156-'Proposed Accrual 2019'!L156</f>
        <v>0</v>
      </c>
    </row>
    <row r="157" spans="1:14" x14ac:dyDescent="0.2">
      <c r="A157" s="140">
        <f>'Plant &amp; Reserve'!$A157</f>
        <v>34233</v>
      </c>
      <c r="B157" s="130" t="str">
        <f>'Plant &amp; Reserve'!$B157</f>
        <v>BP CT No. 3</v>
      </c>
      <c r="C157" s="130"/>
      <c r="D157" s="145">
        <f>IFERROR(VLOOKUP($A157,'2020 B-7'!C:R,14,FALSE),0)</f>
        <v>3389689.5699999994</v>
      </c>
      <c r="E157" s="145">
        <f>IFERROR(VLOOKUP($A157,'2020 B-9'!C:T,16,FALSE),0)</f>
        <v>992387.28000000038</v>
      </c>
      <c r="F157" s="130"/>
      <c r="G157" s="138">
        <f>'Proposed Rates'!$I157</f>
        <v>3.6</v>
      </c>
      <c r="H157" s="145">
        <f t="shared" si="39"/>
        <v>122029</v>
      </c>
      <c r="I157" s="130"/>
      <c r="J157" s="138">
        <f>'Proposed Rates'!$V157</f>
        <v>3.2</v>
      </c>
      <c r="K157" s="145">
        <f t="shared" si="40"/>
        <v>108470</v>
      </c>
      <c r="L157" s="145">
        <f>K157-H157</f>
        <v>-13559</v>
      </c>
      <c r="M157" s="852"/>
      <c r="N157" s="853">
        <f>L157-'Proposed Accrual 2019'!L157</f>
        <v>0</v>
      </c>
    </row>
    <row r="158" spans="1:14" x14ac:dyDescent="0.2">
      <c r="A158" s="140">
        <f>'Plant &amp; Reserve'!$A158</f>
        <v>34333</v>
      </c>
      <c r="B158" s="130" t="str">
        <f>'Plant &amp; Reserve'!$B158</f>
        <v>BP CT No. 3</v>
      </c>
      <c r="C158" s="130"/>
      <c r="D158" s="145">
        <f>IFERROR(VLOOKUP($A158,'2020 B-7'!C:R,14,FALSE),0)</f>
        <v>15458703.200000003</v>
      </c>
      <c r="E158" s="145">
        <f>IFERROR(VLOOKUP($A158,'2020 B-9'!C:T,16,FALSE),0)</f>
        <v>7476100.3500000061</v>
      </c>
      <c r="F158" s="130"/>
      <c r="G158" s="138">
        <f>'Proposed Rates'!$I158</f>
        <v>4</v>
      </c>
      <c r="H158" s="145">
        <f t="shared" si="39"/>
        <v>618348</v>
      </c>
      <c r="I158" s="130"/>
      <c r="J158" s="138">
        <f>'Proposed Rates'!$V158</f>
        <v>3.1</v>
      </c>
      <c r="K158" s="145">
        <f t="shared" si="40"/>
        <v>479220</v>
      </c>
      <c r="L158" s="145">
        <f>K158-H158</f>
        <v>-139128</v>
      </c>
      <c r="M158" s="852"/>
      <c r="N158" s="853">
        <f>L158-'Proposed Accrual 2019'!L158</f>
        <v>-328</v>
      </c>
    </row>
    <row r="159" spans="1:14" x14ac:dyDescent="0.2">
      <c r="A159" s="140">
        <f>'Plant &amp; Reserve'!$A159</f>
        <v>34533</v>
      </c>
      <c r="B159" s="130" t="str">
        <f>'Plant &amp; Reserve'!$B159</f>
        <v>BP CT No. 3</v>
      </c>
      <c r="C159" s="130"/>
      <c r="D159" s="145">
        <f>IFERROR(VLOOKUP($A159,'2020 B-7'!C:R,14,FALSE),0)</f>
        <v>14155293.100000001</v>
      </c>
      <c r="E159" s="145">
        <f>IFERROR(VLOOKUP($A159,'2020 B-9'!C:T,16,FALSE),0)</f>
        <v>4797883.6300000036</v>
      </c>
      <c r="F159" s="130"/>
      <c r="G159" s="138">
        <f>'Proposed Rates'!$I159</f>
        <v>4</v>
      </c>
      <c r="H159" s="145">
        <f t="shared" si="39"/>
        <v>566212</v>
      </c>
      <c r="I159" s="130"/>
      <c r="J159" s="138">
        <f>'Proposed Rates'!$V159</f>
        <v>2.7</v>
      </c>
      <c r="K159" s="145">
        <f t="shared" si="40"/>
        <v>382193</v>
      </c>
      <c r="L159" s="145">
        <f>K159-H159</f>
        <v>-184019</v>
      </c>
      <c r="M159" s="852"/>
      <c r="N159" s="853">
        <f>L159-'Proposed Accrual 2019'!L159</f>
        <v>-2457</v>
      </c>
    </row>
    <row r="160" spans="1:14" ht="15" x14ac:dyDescent="0.2">
      <c r="A160" s="140">
        <f>'Plant &amp; Reserve'!$A160</f>
        <v>34633</v>
      </c>
      <c r="B160" s="168" t="str">
        <f>'Plant &amp; Reserve'!$B160</f>
        <v>BP CT No. 3</v>
      </c>
      <c r="C160" s="130"/>
      <c r="D160" s="172">
        <f>IFERROR(VLOOKUP($A160,'2020 B-7'!C:R,14,FALSE),0)</f>
        <v>904.61</v>
      </c>
      <c r="E160" s="172">
        <f>IFERROR(VLOOKUP($A160,'2020 B-9'!C:T,16,FALSE),0)</f>
        <v>358.56</v>
      </c>
      <c r="F160" s="130"/>
      <c r="G160" s="170">
        <f>'Proposed Rates'!$I160</f>
        <v>4</v>
      </c>
      <c r="H160" s="172">
        <f t="shared" si="39"/>
        <v>36</v>
      </c>
      <c r="I160" s="130"/>
      <c r="J160" s="170">
        <f>'Proposed Rates'!$V160</f>
        <v>3.4</v>
      </c>
      <c r="K160" s="171">
        <f t="shared" si="40"/>
        <v>31</v>
      </c>
      <c r="L160" s="171">
        <f>K160-H160</f>
        <v>-5</v>
      </c>
      <c r="M160" s="852"/>
      <c r="N160" s="853">
        <f>L160-'Proposed Accrual 2019'!L160</f>
        <v>0</v>
      </c>
    </row>
    <row r="161" spans="1:14" x14ac:dyDescent="0.2">
      <c r="A161" s="134"/>
      <c r="B161" s="128" t="s">
        <v>75</v>
      </c>
      <c r="C161" s="130"/>
      <c r="D161" s="173">
        <f>SUM(D156:D160)</f>
        <v>33660939.770000003</v>
      </c>
      <c r="E161" s="173">
        <f>SUM(E156:E160)</f>
        <v>13255919.090000009</v>
      </c>
      <c r="F161" s="130"/>
      <c r="G161" s="177">
        <f>'Proposed Rates'!$I161</f>
        <v>2.9</v>
      </c>
      <c r="H161" s="173">
        <f>SUM(H156:H160)</f>
        <v>1323690</v>
      </c>
      <c r="I161" s="130"/>
      <c r="J161" s="177">
        <f>'Proposed Rates'!$V161</f>
        <v>2.9</v>
      </c>
      <c r="K161" s="173">
        <f>SUM(K156:K160)</f>
        <v>992886</v>
      </c>
      <c r="L161" s="173">
        <f>SUM(L156:L160)</f>
        <v>-330804</v>
      </c>
      <c r="M161" s="852"/>
      <c r="N161" s="853">
        <f>L161-'Proposed Accrual 2019'!L161</f>
        <v>-2785</v>
      </c>
    </row>
    <row r="162" spans="1:14" x14ac:dyDescent="0.2">
      <c r="A162" s="134"/>
      <c r="B162" s="128"/>
      <c r="C162" s="130"/>
      <c r="D162" s="145"/>
      <c r="E162" s="145"/>
      <c r="F162" s="130"/>
      <c r="G162" s="138"/>
      <c r="H162" s="145"/>
      <c r="I162" s="130"/>
      <c r="J162" s="138"/>
      <c r="K162" s="145"/>
      <c r="L162" s="145"/>
      <c r="M162" s="130"/>
      <c r="N162" s="853">
        <f>L162-'Proposed Accrual 2019'!L162</f>
        <v>0</v>
      </c>
    </row>
    <row r="163" spans="1:14" x14ac:dyDescent="0.2">
      <c r="A163" s="140">
        <f>'Plant &amp; Reserve'!$A163</f>
        <v>34134</v>
      </c>
      <c r="B163" s="130" t="str">
        <f>'Plant &amp; Reserve'!$B163</f>
        <v>BP CT No. 4</v>
      </c>
      <c r="C163" s="130"/>
      <c r="D163" s="145">
        <f>IFERROR(VLOOKUP($A163,'2020 B-7'!C:R,14,FALSE),0)</f>
        <v>242333.96</v>
      </c>
      <c r="E163" s="145">
        <f>IFERROR(VLOOKUP($A163,'2020 B-9'!C:T,16,FALSE),0)</f>
        <v>-116516.63000000006</v>
      </c>
      <c r="F163" s="130"/>
      <c r="G163" s="138">
        <f>'Proposed Rates'!$I163</f>
        <v>2.6</v>
      </c>
      <c r="H163" s="145">
        <f t="shared" ref="H163:H167" si="41">ROUND(($D163*G163)/100,0)</f>
        <v>6301</v>
      </c>
      <c r="I163" s="130"/>
      <c r="J163" s="138">
        <f>'Proposed Rates'!$V163</f>
        <v>5.0999999999999996</v>
      </c>
      <c r="K163" s="145">
        <f t="shared" ref="K163:K167" si="42">ROUND(($D163*J163)/100,0)</f>
        <v>12359</v>
      </c>
      <c r="L163" s="145">
        <f>K163-H163</f>
        <v>6058</v>
      </c>
      <c r="M163" s="852"/>
      <c r="N163" s="853">
        <f>L163-'Proposed Accrual 2019'!L163</f>
        <v>0</v>
      </c>
    </row>
    <row r="164" spans="1:14" x14ac:dyDescent="0.2">
      <c r="A164" s="140">
        <f>'Plant &amp; Reserve'!$A164</f>
        <v>34234</v>
      </c>
      <c r="B164" s="130" t="str">
        <f>'Plant &amp; Reserve'!$B164</f>
        <v>BP CT No. 4</v>
      </c>
      <c r="C164" s="130"/>
      <c r="D164" s="145">
        <f>IFERROR(VLOOKUP($A164,'2020 B-7'!C:R,14,FALSE),0)</f>
        <v>3362086.7600000002</v>
      </c>
      <c r="E164" s="145">
        <f>IFERROR(VLOOKUP($A164,'2020 B-9'!C:T,16,FALSE),0)</f>
        <v>984259.87999999931</v>
      </c>
      <c r="F164" s="130"/>
      <c r="G164" s="138">
        <f>'Proposed Rates'!$I164</f>
        <v>3.6</v>
      </c>
      <c r="H164" s="145">
        <f t="shared" si="41"/>
        <v>121035</v>
      </c>
      <c r="I164" s="130"/>
      <c r="J164" s="138">
        <f>'Proposed Rates'!$V164</f>
        <v>3.2</v>
      </c>
      <c r="K164" s="145">
        <f t="shared" si="42"/>
        <v>107587</v>
      </c>
      <c r="L164" s="145">
        <f>K164-H164</f>
        <v>-13448</v>
      </c>
      <c r="M164" s="852"/>
      <c r="N164" s="853">
        <f>L164-'Proposed Accrual 2019'!L164</f>
        <v>0</v>
      </c>
    </row>
    <row r="165" spans="1:14" x14ac:dyDescent="0.2">
      <c r="A165" s="140">
        <f>'Plant &amp; Reserve'!$A165</f>
        <v>34334</v>
      </c>
      <c r="B165" s="130" t="str">
        <f>'Plant &amp; Reserve'!$B165</f>
        <v>BP CT No. 4</v>
      </c>
      <c r="C165" s="130"/>
      <c r="D165" s="145">
        <f>IFERROR(VLOOKUP($A165,'2020 B-7'!C:R,14,FALSE),0)</f>
        <v>15883016.889999999</v>
      </c>
      <c r="E165" s="145">
        <f>IFERROR(VLOOKUP($A165,'2020 B-9'!C:T,16,FALSE),0)</f>
        <v>7489130.9300000044</v>
      </c>
      <c r="F165" s="130"/>
      <c r="G165" s="138">
        <f>'Proposed Rates'!$I165</f>
        <v>4</v>
      </c>
      <c r="H165" s="145">
        <f t="shared" si="41"/>
        <v>635321</v>
      </c>
      <c r="I165" s="130"/>
      <c r="J165" s="138">
        <f>'Proposed Rates'!$V165</f>
        <v>3.2</v>
      </c>
      <c r="K165" s="145">
        <f t="shared" si="42"/>
        <v>508257</v>
      </c>
      <c r="L165" s="145">
        <f>K165-H165</f>
        <v>-127064</v>
      </c>
      <c r="M165" s="852"/>
      <c r="N165" s="853">
        <f>L165-'Proposed Accrual 2019'!L165</f>
        <v>-344</v>
      </c>
    </row>
    <row r="166" spans="1:14" x14ac:dyDescent="0.2">
      <c r="A166" s="140">
        <f>'Plant &amp; Reserve'!$A166</f>
        <v>34534</v>
      </c>
      <c r="B166" s="130" t="str">
        <f>'Plant &amp; Reserve'!$B166</f>
        <v>BP CT No. 4</v>
      </c>
      <c r="C166" s="130"/>
      <c r="D166" s="145">
        <f>IFERROR(VLOOKUP($A166,'2020 B-7'!C:R,14,FALSE),0)</f>
        <v>4168999</v>
      </c>
      <c r="E166" s="145">
        <f>IFERROR(VLOOKUP($A166,'2020 B-9'!C:T,16,FALSE),0)</f>
        <v>1542373.1299999987</v>
      </c>
      <c r="F166" s="130"/>
      <c r="G166" s="138">
        <f>'Proposed Rates'!$I166</f>
        <v>4</v>
      </c>
      <c r="H166" s="145">
        <f t="shared" si="41"/>
        <v>166760</v>
      </c>
      <c r="I166" s="130"/>
      <c r="J166" s="138">
        <f>'Proposed Rates'!$V166</f>
        <v>2.8</v>
      </c>
      <c r="K166" s="145">
        <f t="shared" si="42"/>
        <v>116732</v>
      </c>
      <c r="L166" s="145">
        <f>K166-H166</f>
        <v>-50028</v>
      </c>
      <c r="M166" s="852"/>
      <c r="N166" s="853">
        <f>L166-'Proposed Accrual 2019'!L166</f>
        <v>-1531</v>
      </c>
    </row>
    <row r="167" spans="1:14" ht="15" x14ac:dyDescent="0.2">
      <c r="A167" s="140">
        <f>'Plant &amp; Reserve'!$A167</f>
        <v>34634</v>
      </c>
      <c r="B167" s="168" t="str">
        <f>'Plant &amp; Reserve'!$B167</f>
        <v>BP CT No. 4</v>
      </c>
      <c r="C167" s="130"/>
      <c r="D167" s="172">
        <f>IFERROR(VLOOKUP($A167,'2020 B-7'!C:R,14,FALSE),0)</f>
        <v>904.61</v>
      </c>
      <c r="E167" s="172">
        <f>IFERROR(VLOOKUP($A167,'2020 B-9'!C:T,16,FALSE),0)</f>
        <v>358.56</v>
      </c>
      <c r="F167" s="130"/>
      <c r="G167" s="170">
        <f>'Proposed Rates'!$I167</f>
        <v>4</v>
      </c>
      <c r="H167" s="172">
        <f t="shared" si="41"/>
        <v>36</v>
      </c>
      <c r="I167" s="130"/>
      <c r="J167" s="170">
        <f>'Proposed Rates'!$V167</f>
        <v>3.4</v>
      </c>
      <c r="K167" s="171">
        <f t="shared" si="42"/>
        <v>31</v>
      </c>
      <c r="L167" s="171">
        <f>K167-H167</f>
        <v>-5</v>
      </c>
      <c r="M167" s="852"/>
      <c r="N167" s="853">
        <f>L167-'Proposed Accrual 2019'!L167</f>
        <v>0</v>
      </c>
    </row>
    <row r="168" spans="1:14" x14ac:dyDescent="0.2">
      <c r="A168" s="134"/>
      <c r="B168" s="128" t="s">
        <v>75</v>
      </c>
      <c r="C168" s="130"/>
      <c r="D168" s="173">
        <f>SUM(D163:D167)</f>
        <v>23657341.219999999</v>
      </c>
      <c r="E168" s="173">
        <f>SUM(E163:E167)</f>
        <v>9899605.8700000029</v>
      </c>
      <c r="F168" s="130"/>
      <c r="G168" s="177">
        <f>'Proposed Rates'!$I168</f>
        <v>3.1</v>
      </c>
      <c r="H168" s="173">
        <f>SUM(H163:H167)</f>
        <v>929453</v>
      </c>
      <c r="I168" s="130"/>
      <c r="J168" s="177">
        <f>'Proposed Rates'!$V168</f>
        <v>3.1</v>
      </c>
      <c r="K168" s="173">
        <f>SUM(K163:K167)</f>
        <v>744966</v>
      </c>
      <c r="L168" s="173">
        <f>SUM(L163:L167)</f>
        <v>-184487</v>
      </c>
      <c r="M168" s="852"/>
      <c r="N168" s="853">
        <f>L168-'Proposed Accrual 2019'!L168</f>
        <v>-1875</v>
      </c>
    </row>
    <row r="169" spans="1:14" x14ac:dyDescent="0.2">
      <c r="A169" s="134"/>
      <c r="B169" s="128"/>
      <c r="C169" s="130"/>
      <c r="D169" s="145"/>
      <c r="E169" s="145"/>
      <c r="F169" s="130"/>
      <c r="G169" s="138"/>
      <c r="H169" s="145"/>
      <c r="I169" s="130"/>
      <c r="J169" s="138"/>
      <c r="K169" s="145"/>
      <c r="L169" s="145"/>
      <c r="M169" s="130"/>
      <c r="N169" s="853">
        <f>L169-'Proposed Accrual 2019'!L169</f>
        <v>0</v>
      </c>
    </row>
    <row r="170" spans="1:14" x14ac:dyDescent="0.2">
      <c r="A170" s="140">
        <f>'Plant &amp; Reserve'!$A170</f>
        <v>34135</v>
      </c>
      <c r="B170" s="130" t="str">
        <f>'Plant &amp; Reserve'!$B170</f>
        <v>BP CT No. 5</v>
      </c>
      <c r="C170" s="130"/>
      <c r="D170" s="145">
        <f>IFERROR(VLOOKUP($A170,'2020 B-7'!C:R,14,FALSE),0)</f>
        <v>793114.26</v>
      </c>
      <c r="E170" s="145">
        <f>IFERROR(VLOOKUP($A170,'2020 B-9'!C:T,16,FALSE),0)</f>
        <v>-152988.41999999993</v>
      </c>
      <c r="F170" s="130"/>
      <c r="G170" s="138">
        <f>'Proposed Rates'!$I170</f>
        <v>2.6</v>
      </c>
      <c r="H170" s="145">
        <f t="shared" ref="H170:H174" si="43">ROUND(($D170*G170)/100,0)</f>
        <v>20621</v>
      </c>
      <c r="I170" s="130"/>
      <c r="J170" s="138">
        <f>'Proposed Rates'!$V170</f>
        <v>4.4000000000000004</v>
      </c>
      <c r="K170" s="145">
        <f t="shared" ref="K170:K174" si="44">ROUND(($D170*J170)/100,0)</f>
        <v>34897</v>
      </c>
      <c r="L170" s="145">
        <f>K170-H170</f>
        <v>14276</v>
      </c>
      <c r="M170" s="852"/>
      <c r="N170" s="853">
        <f>L170-'Proposed Accrual 2019'!L170</f>
        <v>0</v>
      </c>
    </row>
    <row r="171" spans="1:14" x14ac:dyDescent="0.2">
      <c r="A171" s="140">
        <f>'Plant &amp; Reserve'!$A171</f>
        <v>34235</v>
      </c>
      <c r="B171" s="130" t="str">
        <f>'Plant &amp; Reserve'!$B171</f>
        <v>BP CT No. 5</v>
      </c>
      <c r="C171" s="130"/>
      <c r="D171" s="145">
        <f>IFERROR(VLOOKUP($A171,'2020 B-7'!C:R,14,FALSE),0)</f>
        <v>2046084.66</v>
      </c>
      <c r="E171" s="145">
        <f>IFERROR(VLOOKUP($A171,'2020 B-9'!C:T,16,FALSE),0)</f>
        <v>613642.02000000118</v>
      </c>
      <c r="F171" s="130"/>
      <c r="G171" s="138">
        <f>'Proposed Rates'!$I171</f>
        <v>3.6</v>
      </c>
      <c r="H171" s="145">
        <f t="shared" si="43"/>
        <v>73659</v>
      </c>
      <c r="I171" s="130"/>
      <c r="J171" s="138">
        <f>'Proposed Rates'!$V171</f>
        <v>3.3</v>
      </c>
      <c r="K171" s="145">
        <f t="shared" si="44"/>
        <v>67521</v>
      </c>
      <c r="L171" s="145">
        <f>K171-H171</f>
        <v>-6138</v>
      </c>
      <c r="M171" s="852"/>
      <c r="N171" s="853">
        <f>L171-'Proposed Accrual 2019'!L171</f>
        <v>-112</v>
      </c>
    </row>
    <row r="172" spans="1:14" x14ac:dyDescent="0.2">
      <c r="A172" s="140">
        <f>'Plant &amp; Reserve'!$A172</f>
        <v>34335</v>
      </c>
      <c r="B172" s="130" t="str">
        <f>'Plant &amp; Reserve'!$B172</f>
        <v>BP CT No. 5</v>
      </c>
      <c r="C172" s="130"/>
      <c r="D172" s="145">
        <f>IFERROR(VLOOKUP($A172,'2020 B-7'!C:R,14,FALSE),0)</f>
        <v>18623181.409999996</v>
      </c>
      <c r="E172" s="145">
        <f>IFERROR(VLOOKUP($A172,'2020 B-9'!C:T,16,FALSE),0)</f>
        <v>9376121.1000000164</v>
      </c>
      <c r="F172" s="130"/>
      <c r="G172" s="138">
        <f>'Proposed Rates'!$I172</f>
        <v>4</v>
      </c>
      <c r="H172" s="145">
        <f t="shared" si="43"/>
        <v>744927</v>
      </c>
      <c r="I172" s="130"/>
      <c r="J172" s="138">
        <f>'Proposed Rates'!$V172</f>
        <v>3.4</v>
      </c>
      <c r="K172" s="145">
        <f t="shared" si="44"/>
        <v>633188</v>
      </c>
      <c r="L172" s="145">
        <f>K172-H172</f>
        <v>-111739</v>
      </c>
      <c r="M172" s="852"/>
      <c r="N172" s="853">
        <f>L172-'Proposed Accrual 2019'!L172</f>
        <v>-209</v>
      </c>
    </row>
    <row r="173" spans="1:14" x14ac:dyDescent="0.2">
      <c r="A173" s="140">
        <f>'Plant &amp; Reserve'!$A173</f>
        <v>34535</v>
      </c>
      <c r="B173" s="130" t="str">
        <f>'Plant &amp; Reserve'!$B173</f>
        <v>BP CT No. 5</v>
      </c>
      <c r="C173" s="130"/>
      <c r="D173" s="145">
        <f>IFERROR(VLOOKUP($A173,'2020 B-7'!C:R,14,FALSE),0)</f>
        <v>10351046.949999999</v>
      </c>
      <c r="E173" s="145">
        <f>IFERROR(VLOOKUP($A173,'2020 B-9'!C:T,16,FALSE),0)</f>
        <v>3945358.9700000025</v>
      </c>
      <c r="F173" s="130"/>
      <c r="G173" s="138">
        <f>'Proposed Rates'!$I173</f>
        <v>4</v>
      </c>
      <c r="H173" s="145">
        <f t="shared" si="43"/>
        <v>414042</v>
      </c>
      <c r="I173" s="130"/>
      <c r="J173" s="138">
        <f>'Proposed Rates'!$V173</f>
        <v>2.7</v>
      </c>
      <c r="K173" s="145">
        <f t="shared" si="44"/>
        <v>279478</v>
      </c>
      <c r="L173" s="145">
        <f>K173-H173</f>
        <v>-134564</v>
      </c>
      <c r="M173" s="852"/>
      <c r="N173" s="853">
        <f>L173-'Proposed Accrual 2019'!L173</f>
        <v>-2646</v>
      </c>
    </row>
    <row r="174" spans="1:14" ht="15" x14ac:dyDescent="0.2">
      <c r="A174" s="140">
        <f>'Plant &amp; Reserve'!$A174</f>
        <v>34635</v>
      </c>
      <c r="B174" s="168" t="str">
        <f>'Plant &amp; Reserve'!$B174</f>
        <v>BP CT No. 5</v>
      </c>
      <c r="C174" s="130"/>
      <c r="D174" s="172">
        <f>IFERROR(VLOOKUP($A174,'2020 B-7'!C:R,14,FALSE),0)</f>
        <v>0</v>
      </c>
      <c r="E174" s="172">
        <f>IFERROR(VLOOKUP($A174,'2020 B-9'!C:T,16,FALSE),0)</f>
        <v>0</v>
      </c>
      <c r="F174" s="130"/>
      <c r="G174" s="170">
        <f>'Proposed Rates'!$I174</f>
        <v>4</v>
      </c>
      <c r="H174" s="172">
        <f t="shared" si="43"/>
        <v>0</v>
      </c>
      <c r="I174" s="130"/>
      <c r="J174" s="170">
        <f>'Proposed Rates'!$V174</f>
        <v>3.9</v>
      </c>
      <c r="K174" s="171">
        <f t="shared" si="44"/>
        <v>0</v>
      </c>
      <c r="L174" s="171">
        <f>K174-H174</f>
        <v>0</v>
      </c>
      <c r="M174" s="852"/>
      <c r="N174" s="853">
        <f>L174-'Proposed Accrual 2019'!L174</f>
        <v>0</v>
      </c>
    </row>
    <row r="175" spans="1:14" x14ac:dyDescent="0.2">
      <c r="A175" s="134"/>
      <c r="B175" s="128" t="s">
        <v>75</v>
      </c>
      <c r="C175" s="130"/>
      <c r="D175" s="173">
        <f>SUM(D170:D174)</f>
        <v>31813427.279999997</v>
      </c>
      <c r="E175" s="173">
        <f>SUM(E170:E174)</f>
        <v>13782133.67000002</v>
      </c>
      <c r="F175" s="130"/>
      <c r="G175" s="177">
        <f>'Proposed Rates'!$I175</f>
        <v>3.2</v>
      </c>
      <c r="H175" s="173">
        <f>SUM(H170:H174)</f>
        <v>1253249</v>
      </c>
      <c r="I175" s="130"/>
      <c r="J175" s="177">
        <f>'Proposed Rates'!$V175</f>
        <v>3.1</v>
      </c>
      <c r="K175" s="173">
        <f>SUM(K170:K174)</f>
        <v>1015084</v>
      </c>
      <c r="L175" s="173">
        <f>SUM(L170:L174)</f>
        <v>-238165</v>
      </c>
      <c r="M175" s="852"/>
      <c r="N175" s="853">
        <f>L175-'Proposed Accrual 2019'!L175</f>
        <v>-2967</v>
      </c>
    </row>
    <row r="176" spans="1:14" x14ac:dyDescent="0.2">
      <c r="A176" s="134"/>
      <c r="B176" s="128"/>
      <c r="C176" s="130"/>
      <c r="D176" s="145"/>
      <c r="E176" s="145"/>
      <c r="F176" s="130"/>
      <c r="G176" s="138"/>
      <c r="H176" s="145"/>
      <c r="I176" s="130"/>
      <c r="J176" s="138"/>
      <c r="K176" s="145"/>
      <c r="L176" s="145"/>
      <c r="M176" s="130"/>
      <c r="N176" s="853">
        <f>L176-'Proposed Accrual 2019'!L176</f>
        <v>0</v>
      </c>
    </row>
    <row r="177" spans="1:14" x14ac:dyDescent="0.2">
      <c r="A177" s="140">
        <f>'Plant &amp; Reserve'!$A177</f>
        <v>34136</v>
      </c>
      <c r="B177" s="130" t="str">
        <f>'Plant &amp; Reserve'!$B177</f>
        <v>BP CT No. 6</v>
      </c>
      <c r="C177" s="130"/>
      <c r="D177" s="145">
        <f>IFERROR(VLOOKUP($A177,'2020 B-7'!C:R,14,FALSE),0)</f>
        <v>2656231.54</v>
      </c>
      <c r="E177" s="145">
        <f>IFERROR(VLOOKUP($A177,'2020 B-9'!C:T,16,FALSE),0)</f>
        <v>378996.20000000007</v>
      </c>
      <c r="F177" s="130"/>
      <c r="G177" s="138">
        <f>'Proposed Rates'!$I177</f>
        <v>2.6</v>
      </c>
      <c r="H177" s="145">
        <f t="shared" ref="H177:H181" si="45">ROUND(($D177*G177)/100,0)</f>
        <v>69062</v>
      </c>
      <c r="I177" s="130"/>
      <c r="J177" s="138">
        <f>'Proposed Rates'!$V177</f>
        <v>3.1</v>
      </c>
      <c r="K177" s="145">
        <f t="shared" ref="K177:K181" si="46">ROUND(($D177*J177)/100,0)</f>
        <v>82343</v>
      </c>
      <c r="L177" s="145">
        <f>K177-H177</f>
        <v>13281</v>
      </c>
      <c r="M177" s="852"/>
      <c r="N177" s="853">
        <f>L177-'Proposed Accrual 2019'!L177</f>
        <v>0</v>
      </c>
    </row>
    <row r="178" spans="1:14" x14ac:dyDescent="0.2">
      <c r="A178" s="140">
        <f>'Plant &amp; Reserve'!$A178</f>
        <v>34236</v>
      </c>
      <c r="B178" s="130" t="str">
        <f>'Plant &amp; Reserve'!$B178</f>
        <v>BP CT No. 6</v>
      </c>
      <c r="C178" s="130"/>
      <c r="D178" s="145">
        <f>IFERROR(VLOOKUP($A178,'2020 B-7'!C:R,14,FALSE),0)</f>
        <v>1537279.06</v>
      </c>
      <c r="E178" s="145">
        <f>IFERROR(VLOOKUP($A178,'2020 B-9'!C:T,16,FALSE),0)</f>
        <v>419404.93000000011</v>
      </c>
      <c r="F178" s="130"/>
      <c r="G178" s="138">
        <f>'Proposed Rates'!$I178</f>
        <v>3.6</v>
      </c>
      <c r="H178" s="145">
        <f t="shared" si="45"/>
        <v>55342</v>
      </c>
      <c r="I178" s="130"/>
      <c r="J178" s="138">
        <f>'Proposed Rates'!$V178</f>
        <v>3.7</v>
      </c>
      <c r="K178" s="145">
        <f t="shared" si="46"/>
        <v>56879</v>
      </c>
      <c r="L178" s="145">
        <f>K178-H178</f>
        <v>1537</v>
      </c>
      <c r="M178" s="852"/>
      <c r="N178" s="853">
        <f>L178-'Proposed Accrual 2019'!L178</f>
        <v>0</v>
      </c>
    </row>
    <row r="179" spans="1:14" x14ac:dyDescent="0.2">
      <c r="A179" s="140">
        <f>'Plant &amp; Reserve'!$A179</f>
        <v>34336</v>
      </c>
      <c r="B179" s="130" t="str">
        <f>'Plant &amp; Reserve'!$B179</f>
        <v>BP CT No. 6</v>
      </c>
      <c r="C179" s="130"/>
      <c r="D179" s="145">
        <f>IFERROR(VLOOKUP($A179,'2020 B-7'!C:R,14,FALSE),0)</f>
        <v>17517320.73</v>
      </c>
      <c r="E179" s="145">
        <f>IFERROR(VLOOKUP($A179,'2020 B-9'!C:T,16,FALSE),0)</f>
        <v>9429266.5299999975</v>
      </c>
      <c r="F179" s="130"/>
      <c r="G179" s="138">
        <f>'Proposed Rates'!$I179</f>
        <v>4</v>
      </c>
      <c r="H179" s="145">
        <f t="shared" si="45"/>
        <v>700693</v>
      </c>
      <c r="I179" s="130"/>
      <c r="J179" s="138">
        <f>'Proposed Rates'!$V179</f>
        <v>2.7</v>
      </c>
      <c r="K179" s="145">
        <f t="shared" si="46"/>
        <v>472968</v>
      </c>
      <c r="L179" s="145">
        <f>K179-H179</f>
        <v>-227725</v>
      </c>
      <c r="M179" s="852"/>
      <c r="N179" s="853">
        <f>L179-'Proposed Accrual 2019'!L179</f>
        <v>-499</v>
      </c>
    </row>
    <row r="180" spans="1:14" x14ac:dyDescent="0.2">
      <c r="A180" s="140">
        <f>'Plant &amp; Reserve'!$A180</f>
        <v>34536</v>
      </c>
      <c r="B180" s="130" t="str">
        <f>'Plant &amp; Reserve'!$B180</f>
        <v>BP CT No. 6</v>
      </c>
      <c r="C180" s="130"/>
      <c r="D180" s="145">
        <f>IFERROR(VLOOKUP($A180,'2020 B-7'!C:R,14,FALSE),0)</f>
        <v>14358606.639999999</v>
      </c>
      <c r="E180" s="145">
        <f>IFERROR(VLOOKUP($A180,'2020 B-9'!C:T,16,FALSE),0)</f>
        <v>5440628.7500000037</v>
      </c>
      <c r="F180" s="130"/>
      <c r="G180" s="138">
        <f>'Proposed Rates'!$I180</f>
        <v>4</v>
      </c>
      <c r="H180" s="145">
        <f t="shared" si="45"/>
        <v>574344</v>
      </c>
      <c r="I180" s="130"/>
      <c r="J180" s="138">
        <f>'Proposed Rates'!$V180</f>
        <v>2.8</v>
      </c>
      <c r="K180" s="145">
        <f t="shared" si="46"/>
        <v>402041</v>
      </c>
      <c r="L180" s="145">
        <f>K180-H180</f>
        <v>-172303</v>
      </c>
      <c r="M180" s="852"/>
      <c r="N180" s="853">
        <f>L180-'Proposed Accrual 2019'!L180</f>
        <v>-1792</v>
      </c>
    </row>
    <row r="181" spans="1:14" ht="15" x14ac:dyDescent="0.2">
      <c r="A181" s="140">
        <f>'Plant &amp; Reserve'!$A181</f>
        <v>34636</v>
      </c>
      <c r="B181" s="168" t="str">
        <f>'Plant &amp; Reserve'!$B181</f>
        <v>BP CT No. 6</v>
      </c>
      <c r="C181" s="130"/>
      <c r="D181" s="172">
        <f>IFERROR(VLOOKUP($A181,'2020 B-7'!C:R,14,FALSE),0)</f>
        <v>11736.48</v>
      </c>
      <c r="E181" s="172">
        <f>IFERROR(VLOOKUP($A181,'2020 B-9'!C:T,16,FALSE),0)</f>
        <v>4645.5599999999913</v>
      </c>
      <c r="F181" s="130"/>
      <c r="G181" s="170">
        <f>'Proposed Rates'!$I181</f>
        <v>4</v>
      </c>
      <c r="H181" s="172">
        <f t="shared" si="45"/>
        <v>469</v>
      </c>
      <c r="I181" s="130"/>
      <c r="J181" s="170">
        <f>'Proposed Rates'!$V181</f>
        <v>2.2000000000000002</v>
      </c>
      <c r="K181" s="171">
        <f t="shared" si="46"/>
        <v>258</v>
      </c>
      <c r="L181" s="171">
        <f>K181-H181</f>
        <v>-211</v>
      </c>
      <c r="M181" s="852"/>
      <c r="N181" s="853">
        <f>L181-'Proposed Accrual 2019'!L181</f>
        <v>0</v>
      </c>
    </row>
    <row r="182" spans="1:14" x14ac:dyDescent="0.2">
      <c r="A182" s="134"/>
      <c r="B182" s="128" t="s">
        <v>75</v>
      </c>
      <c r="C182" s="130"/>
      <c r="D182" s="173">
        <f>SUM(D177:D181)</f>
        <v>36081174.449999996</v>
      </c>
      <c r="E182" s="173">
        <f>SUM(E177:E181)</f>
        <v>15672941.970000003</v>
      </c>
      <c r="F182" s="130"/>
      <c r="G182" s="177">
        <f>'Proposed Rates'!$I182</f>
        <v>3.1</v>
      </c>
      <c r="H182" s="173">
        <f>SUM(H177:H181)</f>
        <v>1399910</v>
      </c>
      <c r="I182" s="130"/>
      <c r="J182" s="177">
        <f>'Proposed Rates'!$V182</f>
        <v>2.9</v>
      </c>
      <c r="K182" s="173">
        <f>SUM(K177:K181)</f>
        <v>1014489</v>
      </c>
      <c r="L182" s="173">
        <f>SUM(L177:L181)</f>
        <v>-385421</v>
      </c>
      <c r="M182" s="852"/>
      <c r="N182" s="853">
        <f>L182-'Proposed Accrual 2019'!L182</f>
        <v>-2291</v>
      </c>
    </row>
    <row r="183" spans="1:14" x14ac:dyDescent="0.2">
      <c r="A183" s="134"/>
      <c r="B183" s="828"/>
      <c r="C183" s="130"/>
      <c r="D183" s="145"/>
      <c r="E183" s="145"/>
      <c r="F183" s="130"/>
      <c r="G183" s="138"/>
      <c r="H183" s="145"/>
      <c r="I183" s="145"/>
      <c r="J183" s="145"/>
      <c r="K183" s="145"/>
      <c r="L183" s="145"/>
      <c r="M183" s="852"/>
      <c r="N183" s="853">
        <f>L183-'Proposed Accrual 2019'!L183</f>
        <v>0</v>
      </c>
    </row>
    <row r="184" spans="1:14" x14ac:dyDescent="0.2">
      <c r="A184" s="140">
        <f>'Plant &amp; Reserve'!$A184</f>
        <v>34637</v>
      </c>
      <c r="B184" s="130" t="str">
        <f>'Plant &amp; Reserve'!$B184</f>
        <v>Bayside Amortizable Tools</v>
      </c>
      <c r="C184" s="130"/>
      <c r="D184" s="145">
        <f>IFERROR(VLOOKUP($A184,'2020 B-7'!C:R,14,FALSE),0)</f>
        <v>549574.57999999984</v>
      </c>
      <c r="E184" s="145">
        <f>IFERROR(VLOOKUP($A184,'2020 B-9'!C:T,16,FALSE),0)</f>
        <v>313897.70000000007</v>
      </c>
      <c r="F184" s="130"/>
      <c r="G184" s="138">
        <f>'Proposed Rates'!$I184</f>
        <v>14.3</v>
      </c>
      <c r="H184" s="145">
        <f t="shared" ref="H184" si="47">ROUND(($D184*G184)/100,0)</f>
        <v>78589</v>
      </c>
      <c r="I184" s="130"/>
      <c r="J184" s="138">
        <f>'Proposed Rates'!$V184</f>
        <v>14.3</v>
      </c>
      <c r="K184" s="145">
        <f t="shared" ref="K184" si="48">ROUND(($D184*J184)/100,0)</f>
        <v>78589</v>
      </c>
      <c r="L184" s="145">
        <f>K184-H184</f>
        <v>0</v>
      </c>
      <c r="M184" s="852"/>
      <c r="N184" s="853">
        <f>L184-'Proposed Accrual 2019'!L184</f>
        <v>0</v>
      </c>
    </row>
    <row r="185" spans="1:14" ht="13.5" thickBot="1" x14ac:dyDescent="0.25">
      <c r="A185" s="493"/>
      <c r="B185" s="493"/>
      <c r="C185" s="130"/>
      <c r="D185" s="182"/>
      <c r="E185" s="182"/>
      <c r="F185" s="130"/>
      <c r="G185" s="138"/>
      <c r="H185" s="145"/>
      <c r="I185" s="130"/>
      <c r="J185" s="138"/>
      <c r="K185" s="145"/>
      <c r="L185" s="145"/>
      <c r="M185" s="130"/>
      <c r="N185" s="853">
        <f>L185-'Proposed Accrual 2019'!L185</f>
        <v>0</v>
      </c>
    </row>
    <row r="186" spans="1:14" ht="19.5" customHeight="1" thickTop="1" thickBot="1" x14ac:dyDescent="0.25">
      <c r="A186" s="494"/>
      <c r="B186" s="384"/>
      <c r="C186" s="130"/>
      <c r="D186" s="196">
        <f>SUM(D140,D147,D154,D161,D168,D175,D182,D184)</f>
        <v>1126638924.6200001</v>
      </c>
      <c r="E186" s="196">
        <f>SUM(E140,E147,E154,E161,E168,E175,E182,E184)</f>
        <v>382429477.92000002</v>
      </c>
      <c r="F186" s="130"/>
      <c r="G186" s="826">
        <f>IF($D186=0,0,H186/$D186*100)</f>
        <v>3.5634122097761676</v>
      </c>
      <c r="H186" s="196">
        <f>SUM(H140,H147,H154,H161,H168,H175,H182,H184)</f>
        <v>40146789</v>
      </c>
      <c r="I186" s="130"/>
      <c r="J186" s="826">
        <f>IF($D186=0,0,K186/$D186*100)</f>
        <v>4.7952489319701019</v>
      </c>
      <c r="K186" s="196">
        <f>SUM(K140,K147,K154,K161,K168,K175,K182,K184)</f>
        <v>54025141</v>
      </c>
      <c r="L186" s="196">
        <f>SUM(L140,L147,L154,L161,L168,L175,L182,L184)</f>
        <v>13878352</v>
      </c>
      <c r="M186" s="130"/>
      <c r="N186" s="853">
        <f>L186-'Proposed Accrual 2019'!L186</f>
        <v>211047</v>
      </c>
    </row>
    <row r="187" spans="1:14" ht="13.5" thickTop="1" x14ac:dyDescent="0.2">
      <c r="A187" s="140"/>
      <c r="B187" s="130"/>
      <c r="C187" s="130"/>
      <c r="D187" s="145"/>
      <c r="E187" s="145"/>
      <c r="F187" s="130"/>
      <c r="G187" s="138"/>
      <c r="H187" s="145"/>
      <c r="I187" s="130"/>
      <c r="J187" s="138"/>
      <c r="K187" s="145"/>
      <c r="L187" s="145"/>
      <c r="M187" s="130"/>
      <c r="N187" s="853">
        <f>L187-'Proposed Accrual 2019'!L187</f>
        <v>0</v>
      </c>
    </row>
    <row r="188" spans="1:14" x14ac:dyDescent="0.2">
      <c r="A188" s="140"/>
      <c r="B188" s="144" t="s">
        <v>64</v>
      </c>
      <c r="C188" s="130"/>
      <c r="D188" s="145"/>
      <c r="E188" s="145"/>
      <c r="F188" s="130"/>
      <c r="G188" s="138"/>
      <c r="H188" s="145"/>
      <c r="I188" s="130"/>
      <c r="J188" s="138"/>
      <c r="K188" s="145"/>
      <c r="L188" s="145"/>
      <c r="M188" s="130"/>
      <c r="N188" s="853">
        <f>L188-'Proposed Accrual 2019'!L188</f>
        <v>0</v>
      </c>
    </row>
    <row r="189" spans="1:14" x14ac:dyDescent="0.2">
      <c r="A189" s="140"/>
      <c r="B189" s="130"/>
      <c r="C189" s="130"/>
      <c r="D189" s="145"/>
      <c r="E189" s="145"/>
      <c r="F189" s="130"/>
      <c r="G189" s="138"/>
      <c r="H189" s="145"/>
      <c r="I189" s="130"/>
      <c r="J189" s="138"/>
      <c r="K189" s="145"/>
      <c r="L189" s="145"/>
      <c r="M189" s="130"/>
      <c r="N189" s="853">
        <f>L189-'Proposed Accrual 2019'!L189</f>
        <v>0</v>
      </c>
    </row>
    <row r="190" spans="1:14" x14ac:dyDescent="0.2">
      <c r="A190" s="140">
        <f>'Plant &amp; Reserve'!$A190</f>
        <v>34180</v>
      </c>
      <c r="B190" s="130" t="str">
        <f>'Plant &amp; Reserve'!$B190</f>
        <v>PK Common</v>
      </c>
      <c r="C190" s="130"/>
      <c r="D190" s="145">
        <f>IFERROR(VLOOKUP($A190,'2020 B-7'!C:R,14,FALSE),0)</f>
        <v>190276105.04000005</v>
      </c>
      <c r="E190" s="145">
        <f>IFERROR(VLOOKUP($A190,'2020 B-9'!C:T,16,FALSE),0)</f>
        <v>45625297.130000018</v>
      </c>
      <c r="F190" s="130"/>
      <c r="G190" s="138">
        <f>'Proposed Rates'!$I190</f>
        <v>2.2000000000000002</v>
      </c>
      <c r="H190" s="145">
        <f t="shared" ref="H190:H194" si="49">ROUND(($D190*G190)/100,0)</f>
        <v>4186074</v>
      </c>
      <c r="I190" s="130"/>
      <c r="J190" s="138">
        <f>'Proposed Rates'!$V190</f>
        <v>3.1</v>
      </c>
      <c r="K190" s="145">
        <f t="shared" ref="K190:K194" si="50">ROUND(($D190*J190)/100,0)</f>
        <v>5898559</v>
      </c>
      <c r="L190" s="145">
        <f>K190-H190</f>
        <v>1712485</v>
      </c>
      <c r="M190" s="852"/>
      <c r="N190" s="853">
        <f>L190-'Proposed Accrual 2019'!L190</f>
        <v>1570</v>
      </c>
    </row>
    <row r="191" spans="1:14" x14ac:dyDescent="0.2">
      <c r="A191" s="140">
        <f>'Plant &amp; Reserve'!$A191</f>
        <v>34280</v>
      </c>
      <c r="B191" s="130" t="str">
        <f>'Plant &amp; Reserve'!$B191</f>
        <v>PK Common</v>
      </c>
      <c r="C191" s="130"/>
      <c r="D191" s="145">
        <f>IFERROR(VLOOKUP($A191,'2020 B-7'!C:R,14,FALSE),0)</f>
        <v>9270687.0799999963</v>
      </c>
      <c r="E191" s="145">
        <f>IFERROR(VLOOKUP($A191,'2020 B-9'!C:T,16,FALSE),0)</f>
        <v>3352946.419999999</v>
      </c>
      <c r="F191" s="130"/>
      <c r="G191" s="138">
        <f>'Proposed Rates'!$I191</f>
        <v>3.7</v>
      </c>
      <c r="H191" s="145">
        <f t="shared" si="49"/>
        <v>343015</v>
      </c>
      <c r="I191" s="130"/>
      <c r="J191" s="138">
        <f>'Proposed Rates'!$V191</f>
        <v>3</v>
      </c>
      <c r="K191" s="145">
        <f t="shared" si="50"/>
        <v>278121</v>
      </c>
      <c r="L191" s="145">
        <f>K191-H191</f>
        <v>-64894</v>
      </c>
      <c r="M191" s="852"/>
      <c r="N191" s="853">
        <f>L191-'Proposed Accrual 2019'!L191</f>
        <v>3026</v>
      </c>
    </row>
    <row r="192" spans="1:14" x14ac:dyDescent="0.2">
      <c r="A192" s="140">
        <f>'Plant &amp; Reserve'!$A192</f>
        <v>34380</v>
      </c>
      <c r="B192" s="130" t="str">
        <f>'Plant &amp; Reserve'!$B192</f>
        <v>PK Common</v>
      </c>
      <c r="C192" s="130"/>
      <c r="D192" s="145">
        <f>IFERROR(VLOOKUP($A192,'2020 B-7'!C:R,14,FALSE),0)</f>
        <v>10370021.749999998</v>
      </c>
      <c r="E192" s="145">
        <f>IFERROR(VLOOKUP($A192,'2020 B-9'!C:T,16,FALSE),0)</f>
        <v>1808180.9399999997</v>
      </c>
      <c r="F192" s="130"/>
      <c r="G192" s="138">
        <f>'Proposed Rates'!$I192</f>
        <v>2.2000000000000002</v>
      </c>
      <c r="H192" s="145">
        <f t="shared" si="49"/>
        <v>228140</v>
      </c>
      <c r="I192" s="130"/>
      <c r="J192" s="138">
        <f>'Proposed Rates'!$V192</f>
        <v>3.6</v>
      </c>
      <c r="K192" s="145">
        <f t="shared" si="50"/>
        <v>373321</v>
      </c>
      <c r="L192" s="145">
        <f>K192-H192</f>
        <v>145181</v>
      </c>
      <c r="M192" s="852"/>
      <c r="N192" s="853">
        <f>L192-'Proposed Accrual 2019'!L192</f>
        <v>-759</v>
      </c>
    </row>
    <row r="193" spans="1:14" x14ac:dyDescent="0.2">
      <c r="A193" s="140">
        <f>'Plant &amp; Reserve'!$A193</f>
        <v>34580</v>
      </c>
      <c r="B193" s="130" t="str">
        <f>'Plant &amp; Reserve'!$B193</f>
        <v>PK Common</v>
      </c>
      <c r="C193" s="130"/>
      <c r="D193" s="145">
        <f>IFERROR(VLOOKUP($A193,'2020 B-7'!C:R,14,FALSE),0)</f>
        <v>13912445.110000003</v>
      </c>
      <c r="E193" s="145">
        <f>IFERROR(VLOOKUP($A193,'2020 B-9'!C:T,16,FALSE),0)</f>
        <v>2415508.1900000023</v>
      </c>
      <c r="F193" s="130"/>
      <c r="G193" s="138">
        <f>'Proposed Rates'!$I193</f>
        <v>2.9</v>
      </c>
      <c r="H193" s="145">
        <f t="shared" si="49"/>
        <v>403461</v>
      </c>
      <c r="I193" s="130"/>
      <c r="J193" s="138">
        <f>'Proposed Rates'!$V193</f>
        <v>3.6</v>
      </c>
      <c r="K193" s="145">
        <f t="shared" si="50"/>
        <v>500848</v>
      </c>
      <c r="L193" s="145">
        <f>K193-H193</f>
        <v>97387</v>
      </c>
      <c r="M193" s="852"/>
      <c r="N193" s="853">
        <f>L193-'Proposed Accrual 2019'!L193</f>
        <v>58</v>
      </c>
    </row>
    <row r="194" spans="1:14" ht="15" x14ac:dyDescent="0.2">
      <c r="A194" s="140">
        <f>'Plant &amp; Reserve'!$A194</f>
        <v>34680</v>
      </c>
      <c r="B194" s="168" t="str">
        <f>'Plant &amp; Reserve'!$B194</f>
        <v>PK Common</v>
      </c>
      <c r="C194" s="130"/>
      <c r="D194" s="172">
        <f>IFERROR(VLOOKUP($A194,'2020 B-7'!C:R,14,FALSE),0)</f>
        <v>850630.8600000001</v>
      </c>
      <c r="E194" s="172">
        <f>IFERROR(VLOOKUP($A194,'2020 B-9'!C:T,16,FALSE),0)</f>
        <v>-110962.33000000044</v>
      </c>
      <c r="F194" s="130"/>
      <c r="G194" s="170">
        <f>'Proposed Rates'!$I194</f>
        <v>2.4</v>
      </c>
      <c r="H194" s="172">
        <f t="shared" si="49"/>
        <v>20415</v>
      </c>
      <c r="I194" s="130"/>
      <c r="J194" s="170">
        <f>'Proposed Rates'!$V194</f>
        <v>5.6</v>
      </c>
      <c r="K194" s="171">
        <f t="shared" si="50"/>
        <v>47635</v>
      </c>
      <c r="L194" s="171">
        <f>K194-H194</f>
        <v>27220</v>
      </c>
      <c r="M194" s="852"/>
      <c r="N194" s="853">
        <f>L194-'Proposed Accrual 2019'!L194</f>
        <v>0</v>
      </c>
    </row>
    <row r="195" spans="1:14" x14ac:dyDescent="0.2">
      <c r="A195" s="134"/>
      <c r="B195" s="128" t="s">
        <v>75</v>
      </c>
      <c r="C195" s="130"/>
      <c r="D195" s="173">
        <f>SUM(D190:D194)</f>
        <v>224679889.84000006</v>
      </c>
      <c r="E195" s="173">
        <f>SUM(E190:E194)</f>
        <v>53090970.350000024</v>
      </c>
      <c r="F195" s="130"/>
      <c r="G195" s="177">
        <f>'Proposed Rates'!$I195</f>
        <v>1.8</v>
      </c>
      <c r="H195" s="173">
        <f>SUM(H190:H194)</f>
        <v>5181105</v>
      </c>
      <c r="I195" s="130"/>
      <c r="J195" s="177">
        <f>'Proposed Rates'!$V195</f>
        <v>3.1</v>
      </c>
      <c r="K195" s="173">
        <f>SUM(K190:K194)</f>
        <v>7098484</v>
      </c>
      <c r="L195" s="173">
        <f>SUM(L190:L194)</f>
        <v>1917379</v>
      </c>
      <c r="M195" s="852"/>
      <c r="N195" s="853">
        <f>L195-'Proposed Accrual 2019'!L195</f>
        <v>3895</v>
      </c>
    </row>
    <row r="196" spans="1:14" x14ac:dyDescent="0.2">
      <c r="A196" s="200"/>
      <c r="B196" s="130"/>
      <c r="C196" s="130"/>
      <c r="D196" s="145"/>
      <c r="E196" s="145"/>
      <c r="F196" s="130"/>
      <c r="G196" s="138"/>
      <c r="H196" s="145"/>
      <c r="I196" s="130"/>
      <c r="J196" s="138"/>
      <c r="K196" s="145"/>
      <c r="L196" s="145"/>
      <c r="M196" s="130"/>
      <c r="N196" s="853">
        <f>L196-'Proposed Accrual 2019'!L196</f>
        <v>0</v>
      </c>
    </row>
    <row r="197" spans="1:14" x14ac:dyDescent="0.2">
      <c r="A197" s="140">
        <f>'Plant &amp; Reserve'!$A197</f>
        <v>34181</v>
      </c>
      <c r="B197" s="130" t="str">
        <f>'Plant &amp; Reserve'!$B197</f>
        <v>PK Unit No. 1</v>
      </c>
      <c r="C197" s="130"/>
      <c r="D197" s="145">
        <f>IFERROR(VLOOKUP($A197,'2020 B-7'!C:R,14,FALSE),0)</f>
        <v>50518479.320000008</v>
      </c>
      <c r="E197" s="145">
        <f>IFERROR(VLOOKUP($A197,'2020 B-9'!C:T,16,FALSE),0)</f>
        <v>22810152.329999987</v>
      </c>
      <c r="F197" s="130"/>
      <c r="G197" s="138">
        <f>'Proposed Rates'!$I197</f>
        <v>2.5</v>
      </c>
      <c r="H197" s="145">
        <f t="shared" ref="H197:H201" si="51">ROUND(($D197*G197)/100,0)</f>
        <v>1262962</v>
      </c>
      <c r="I197" s="130"/>
      <c r="J197" s="138">
        <f>'Proposed Rates'!$V197</f>
        <v>3.7</v>
      </c>
      <c r="K197" s="145">
        <f t="shared" ref="K197:K201" si="52">ROUND(($D197*J197)/100,0)</f>
        <v>1869184</v>
      </c>
      <c r="L197" s="145">
        <f>K197-H197</f>
        <v>606222</v>
      </c>
      <c r="M197" s="852"/>
      <c r="N197" s="853">
        <f>L197-'Proposed Accrual 2019'!L197</f>
        <v>10783</v>
      </c>
    </row>
    <row r="198" spans="1:14" x14ac:dyDescent="0.2">
      <c r="A198" s="140">
        <f>'Plant &amp; Reserve'!$A198</f>
        <v>34281</v>
      </c>
      <c r="B198" s="130" t="str">
        <f>'Plant &amp; Reserve'!$B198</f>
        <v>PK Unit No. 1</v>
      </c>
      <c r="C198" s="130"/>
      <c r="D198" s="145">
        <f>IFERROR(VLOOKUP($A198,'2020 B-7'!C:R,14,FALSE),0)</f>
        <v>244641916.9600001</v>
      </c>
      <c r="E198" s="145">
        <f>IFERROR(VLOOKUP($A198,'2020 B-9'!C:T,16,FALSE),0)</f>
        <v>116824855.93999997</v>
      </c>
      <c r="F198" s="130"/>
      <c r="G198" s="138">
        <f>'Proposed Rates'!$I198</f>
        <v>3.4</v>
      </c>
      <c r="H198" s="145">
        <f t="shared" si="51"/>
        <v>8317825</v>
      </c>
      <c r="I198" s="130"/>
      <c r="J198" s="138">
        <f>'Proposed Rates'!$V198</f>
        <v>4.0999999999999996</v>
      </c>
      <c r="K198" s="145">
        <f t="shared" si="52"/>
        <v>10030319</v>
      </c>
      <c r="L198" s="145">
        <f>K198-H198</f>
        <v>1712494</v>
      </c>
      <c r="M198" s="852"/>
      <c r="N198" s="853">
        <f>L198-'Proposed Accrual 2019'!L198</f>
        <v>5629</v>
      </c>
    </row>
    <row r="199" spans="1:14" x14ac:dyDescent="0.2">
      <c r="A199" s="140">
        <f>'Plant &amp; Reserve'!$A199</f>
        <v>34381</v>
      </c>
      <c r="B199" s="130" t="str">
        <f>'Plant &amp; Reserve'!$B199</f>
        <v>PK Unit No. 1</v>
      </c>
      <c r="C199" s="130"/>
      <c r="D199" s="145">
        <f>IFERROR(VLOOKUP($A199,'2020 B-7'!C:R,14,FALSE),0)</f>
        <v>146727137.98000005</v>
      </c>
      <c r="E199" s="145">
        <f>IFERROR(VLOOKUP($A199,'2020 B-9'!C:T,16,FALSE),0)</f>
        <v>75099075.339999959</v>
      </c>
      <c r="F199" s="130"/>
      <c r="G199" s="138">
        <f>'Proposed Rates'!$I199</f>
        <v>4.5</v>
      </c>
      <c r="H199" s="145">
        <f t="shared" si="51"/>
        <v>6602721</v>
      </c>
      <c r="I199" s="130"/>
      <c r="J199" s="138">
        <f>'Proposed Rates'!$V199</f>
        <v>4.5999999999999996</v>
      </c>
      <c r="K199" s="145">
        <f t="shared" si="52"/>
        <v>6749448</v>
      </c>
      <c r="L199" s="145">
        <f>K199-H199</f>
        <v>146727</v>
      </c>
      <c r="M199" s="852"/>
      <c r="N199" s="853">
        <f>L199-'Proposed Accrual 2019'!L199</f>
        <v>585</v>
      </c>
    </row>
    <row r="200" spans="1:14" x14ac:dyDescent="0.2">
      <c r="A200" s="140">
        <f>'Plant &amp; Reserve'!$A200</f>
        <v>34581</v>
      </c>
      <c r="B200" s="130" t="str">
        <f>'Plant &amp; Reserve'!$B200</f>
        <v>PK Unit No. 1</v>
      </c>
      <c r="C200" s="130"/>
      <c r="D200" s="145">
        <f>IFERROR(VLOOKUP($A200,'2020 B-7'!C:R,14,FALSE),0)</f>
        <v>58038686.569999978</v>
      </c>
      <c r="E200" s="145">
        <f>IFERROR(VLOOKUP($A200,'2020 B-9'!C:T,16,FALSE),0)</f>
        <v>37866823.439999953</v>
      </c>
      <c r="F200" s="130"/>
      <c r="G200" s="138">
        <f>'Proposed Rates'!$I200</f>
        <v>3.3</v>
      </c>
      <c r="H200" s="145">
        <f t="shared" si="51"/>
        <v>1915277</v>
      </c>
      <c r="I200" s="130"/>
      <c r="J200" s="138">
        <f>'Proposed Rates'!$V200</f>
        <v>3.3</v>
      </c>
      <c r="K200" s="145">
        <f t="shared" si="52"/>
        <v>1915277</v>
      </c>
      <c r="L200" s="145">
        <f>K200-H200</f>
        <v>0</v>
      </c>
      <c r="M200" s="852"/>
      <c r="N200" s="853">
        <f>L200-'Proposed Accrual 2019'!L200</f>
        <v>0</v>
      </c>
    </row>
    <row r="201" spans="1:14" ht="15" x14ac:dyDescent="0.2">
      <c r="A201" s="140">
        <f>'Plant &amp; Reserve'!$A201</f>
        <v>34681</v>
      </c>
      <c r="B201" s="168" t="str">
        <f>'Plant &amp; Reserve'!$B201</f>
        <v>PK Unit No. 1</v>
      </c>
      <c r="C201" s="130"/>
      <c r="D201" s="172">
        <f>IFERROR(VLOOKUP($A201,'2020 B-7'!C:R,14,FALSE),0)</f>
        <v>6060776.8499999987</v>
      </c>
      <c r="E201" s="172">
        <f>IFERROR(VLOOKUP($A201,'2020 B-9'!C:T,16,FALSE),0)</f>
        <v>2380305.9099999992</v>
      </c>
      <c r="F201" s="130"/>
      <c r="G201" s="170">
        <f>'Proposed Rates'!$I201</f>
        <v>3.1</v>
      </c>
      <c r="H201" s="172">
        <f t="shared" si="51"/>
        <v>187884</v>
      </c>
      <c r="I201" s="130"/>
      <c r="J201" s="170">
        <f>'Proposed Rates'!$V201</f>
        <v>4.2</v>
      </c>
      <c r="K201" s="171">
        <f t="shared" si="52"/>
        <v>254553</v>
      </c>
      <c r="L201" s="171">
        <f>K201-H201</f>
        <v>66669</v>
      </c>
      <c r="M201" s="852"/>
      <c r="N201" s="853">
        <f>L201-'Proposed Accrual 2019'!L201</f>
        <v>0</v>
      </c>
    </row>
    <row r="202" spans="1:14" x14ac:dyDescent="0.2">
      <c r="A202" s="134"/>
      <c r="B202" s="128" t="s">
        <v>75</v>
      </c>
      <c r="C202" s="130"/>
      <c r="D202" s="173">
        <f>SUM(D197:D201)</f>
        <v>505986997.68000013</v>
      </c>
      <c r="E202" s="173">
        <f>SUM(E197:E201)</f>
        <v>254981212.95999983</v>
      </c>
      <c r="F202" s="130"/>
      <c r="G202" s="177">
        <f>'Proposed Rates'!$I202</f>
        <v>3.4</v>
      </c>
      <c r="H202" s="173">
        <f>SUM(H197:H201)</f>
        <v>18286669</v>
      </c>
      <c r="I202" s="130"/>
      <c r="J202" s="177">
        <f>'Proposed Rates'!$V202</f>
        <v>4.0999999999999996</v>
      </c>
      <c r="K202" s="173">
        <f>SUM(K197:K201)</f>
        <v>20818781</v>
      </c>
      <c r="L202" s="173">
        <f>SUM(L197:L201)</f>
        <v>2532112</v>
      </c>
      <c r="M202" s="852"/>
      <c r="N202" s="853">
        <f>L202-'Proposed Accrual 2019'!L202</f>
        <v>16997</v>
      </c>
    </row>
    <row r="203" spans="1:14" x14ac:dyDescent="0.2">
      <c r="A203" s="200"/>
      <c r="B203" s="130"/>
      <c r="C203" s="130"/>
      <c r="D203" s="145"/>
      <c r="E203" s="145"/>
      <c r="F203" s="130"/>
      <c r="G203" s="138"/>
      <c r="H203" s="145"/>
      <c r="I203" s="130"/>
      <c r="J203" s="138"/>
      <c r="K203" s="145"/>
      <c r="L203" s="145"/>
      <c r="M203" s="130"/>
      <c r="N203" s="853">
        <f>L203-'Proposed Accrual 2019'!L203</f>
        <v>0</v>
      </c>
    </row>
    <row r="204" spans="1:14" x14ac:dyDescent="0.2">
      <c r="A204" s="140">
        <f>'Plant &amp; Reserve'!$A204</f>
        <v>34182</v>
      </c>
      <c r="B204" s="130" t="str">
        <f>'Plant &amp; Reserve'!$B204</f>
        <v>PK CT No. 2</v>
      </c>
      <c r="C204" s="130"/>
      <c r="D204" s="145">
        <f>IFERROR(VLOOKUP($A204,'2020 B-7'!C:R,14,FALSE),0)</f>
        <v>2160338.06</v>
      </c>
      <c r="E204" s="145">
        <f>IFERROR(VLOOKUP($A204,'2020 B-9'!C:T,16,FALSE),0)</f>
        <v>1137819.4900000021</v>
      </c>
      <c r="F204" s="130"/>
      <c r="G204" s="138">
        <f>'Proposed Rates'!$I204</f>
        <v>2.7</v>
      </c>
      <c r="H204" s="145">
        <f t="shared" ref="H204:H208" si="53">ROUND(($D204*G204)/100,0)</f>
        <v>58329</v>
      </c>
      <c r="I204" s="130"/>
      <c r="J204" s="138">
        <f>'Proposed Rates'!$V204</f>
        <v>2.6</v>
      </c>
      <c r="K204" s="145">
        <f t="shared" ref="K204:K208" si="54">ROUND(($D204*J204)/100,0)</f>
        <v>56169</v>
      </c>
      <c r="L204" s="145">
        <f>K204-H204</f>
        <v>-2160</v>
      </c>
      <c r="M204" s="852"/>
      <c r="N204" s="853">
        <f>L204-'Proposed Accrual 2019'!L204</f>
        <v>-6</v>
      </c>
    </row>
    <row r="205" spans="1:14" x14ac:dyDescent="0.2">
      <c r="A205" s="140">
        <f>'Plant &amp; Reserve'!$A205</f>
        <v>34282</v>
      </c>
      <c r="B205" s="130" t="str">
        <f>'Plant &amp; Reserve'!$B205</f>
        <v>PK CT No. 2</v>
      </c>
      <c r="C205" s="130"/>
      <c r="D205" s="145">
        <f>IFERROR(VLOOKUP($A205,'2020 B-7'!C:R,14,FALSE),0)</f>
        <v>2059515.79</v>
      </c>
      <c r="E205" s="145">
        <f>IFERROR(VLOOKUP($A205,'2020 B-9'!C:T,16,FALSE),0)</f>
        <v>469836.79000000103</v>
      </c>
      <c r="F205" s="130"/>
      <c r="G205" s="138">
        <f>'Proposed Rates'!$I205</f>
        <v>3.3</v>
      </c>
      <c r="H205" s="145">
        <f t="shared" si="53"/>
        <v>67964</v>
      </c>
      <c r="I205" s="130"/>
      <c r="J205" s="138">
        <f>'Proposed Rates'!$V205</f>
        <v>4.3</v>
      </c>
      <c r="K205" s="145">
        <f t="shared" si="54"/>
        <v>88559</v>
      </c>
      <c r="L205" s="145">
        <f>K205-H205</f>
        <v>20595</v>
      </c>
      <c r="M205" s="852"/>
      <c r="N205" s="853">
        <f>L205-'Proposed Accrual 2019'!L205</f>
        <v>53</v>
      </c>
    </row>
    <row r="206" spans="1:14" x14ac:dyDescent="0.2">
      <c r="A206" s="140">
        <f>'Plant &amp; Reserve'!$A206</f>
        <v>34382</v>
      </c>
      <c r="B206" s="130" t="str">
        <f>'Plant &amp; Reserve'!$B206</f>
        <v>PK CT No. 2</v>
      </c>
      <c r="C206" s="130"/>
      <c r="D206" s="145">
        <f>IFERROR(VLOOKUP($A206,'2020 B-7'!C:R,14,FALSE),0)</f>
        <v>26116296.049999997</v>
      </c>
      <c r="E206" s="145">
        <f>IFERROR(VLOOKUP($A206,'2020 B-9'!C:T,16,FALSE),0)</f>
        <v>4276497.8800000362</v>
      </c>
      <c r="F206" s="130"/>
      <c r="G206" s="138">
        <f>'Proposed Rates'!$I206</f>
        <v>4.4000000000000004</v>
      </c>
      <c r="H206" s="145">
        <f t="shared" si="53"/>
        <v>1149117</v>
      </c>
      <c r="I206" s="130"/>
      <c r="J206" s="138">
        <f>'Proposed Rates'!$V206</f>
        <v>4.9000000000000004</v>
      </c>
      <c r="K206" s="145">
        <f t="shared" si="54"/>
        <v>1279699</v>
      </c>
      <c r="L206" s="145">
        <f>K206-H206</f>
        <v>130582</v>
      </c>
      <c r="M206" s="852"/>
      <c r="N206" s="853">
        <f>L206-'Proposed Accrual 2019'!L206</f>
        <v>5865</v>
      </c>
    </row>
    <row r="207" spans="1:14" x14ac:dyDescent="0.2">
      <c r="A207" s="140">
        <f>'Plant &amp; Reserve'!$A207</f>
        <v>34582</v>
      </c>
      <c r="B207" s="130" t="str">
        <f>'Plant &amp; Reserve'!$B207</f>
        <v>PK CT No. 2</v>
      </c>
      <c r="C207" s="130"/>
      <c r="D207" s="145">
        <f>IFERROR(VLOOKUP($A207,'2020 B-7'!C:R,14,FALSE),0)</f>
        <v>17658861.829999998</v>
      </c>
      <c r="E207" s="145">
        <f>IFERROR(VLOOKUP($A207,'2020 B-9'!C:T,16,FALSE),0)</f>
        <v>8774473.8300000057</v>
      </c>
      <c r="F207" s="130"/>
      <c r="G207" s="138">
        <f>'Proposed Rates'!$I207</f>
        <v>2.8</v>
      </c>
      <c r="H207" s="145">
        <f t="shared" si="53"/>
        <v>494448</v>
      </c>
      <c r="I207" s="130"/>
      <c r="J207" s="138">
        <f>'Proposed Rates'!$V207</f>
        <v>3.4</v>
      </c>
      <c r="K207" s="145">
        <f t="shared" si="54"/>
        <v>600401</v>
      </c>
      <c r="L207" s="145">
        <f>K207-H207</f>
        <v>105953</v>
      </c>
      <c r="M207" s="852"/>
      <c r="N207" s="853">
        <f>L207-'Proposed Accrual 2019'!L207</f>
        <v>2395</v>
      </c>
    </row>
    <row r="208" spans="1:14" ht="15" x14ac:dyDescent="0.2">
      <c r="A208" s="140">
        <f>'Plant &amp; Reserve'!$A208</f>
        <v>34682</v>
      </c>
      <c r="B208" s="168" t="str">
        <f>'Plant &amp; Reserve'!$B208</f>
        <v>PK CT No. 2</v>
      </c>
      <c r="C208" s="130"/>
      <c r="D208" s="172">
        <f>IFERROR(VLOOKUP($A208,'2020 B-7'!C:R,14,FALSE),0)</f>
        <v>173209.91</v>
      </c>
      <c r="E208" s="172">
        <f>IFERROR(VLOOKUP($A208,'2020 B-9'!C:T,16,FALSE),0)</f>
        <v>123807.43000000025</v>
      </c>
      <c r="F208" s="130"/>
      <c r="G208" s="170">
        <f>'Proposed Rates'!$I208</f>
        <v>3.5</v>
      </c>
      <c r="H208" s="172">
        <f t="shared" si="53"/>
        <v>6062</v>
      </c>
      <c r="I208" s="130"/>
      <c r="J208" s="170">
        <f>'Proposed Rates'!$V208</f>
        <v>1.7</v>
      </c>
      <c r="K208" s="171">
        <f t="shared" si="54"/>
        <v>2945</v>
      </c>
      <c r="L208" s="171">
        <f>K208-H208</f>
        <v>-3117</v>
      </c>
      <c r="M208" s="852"/>
      <c r="N208" s="853">
        <f>L208-'Proposed Accrual 2019'!L208</f>
        <v>0</v>
      </c>
    </row>
    <row r="209" spans="1:14" x14ac:dyDescent="0.2">
      <c r="A209" s="134"/>
      <c r="B209" s="128" t="s">
        <v>75</v>
      </c>
      <c r="C209" s="130"/>
      <c r="D209" s="173">
        <f>SUM(D204:D208)</f>
        <v>48168221.639999993</v>
      </c>
      <c r="E209" s="173">
        <f>SUM(E204:E208)</f>
        <v>14782435.420000045</v>
      </c>
      <c r="F209" s="130"/>
      <c r="G209" s="177">
        <f>'Proposed Rates'!$I209</f>
        <v>4.2</v>
      </c>
      <c r="H209" s="173">
        <f>SUM(H204:H208)</f>
        <v>1775920</v>
      </c>
      <c r="I209" s="130"/>
      <c r="J209" s="177">
        <f>'Proposed Rates'!$V209</f>
        <v>4.0999999999999996</v>
      </c>
      <c r="K209" s="173">
        <f>SUM(K204:K208)</f>
        <v>2027773</v>
      </c>
      <c r="L209" s="173">
        <f>SUM(L204:L208)</f>
        <v>251853</v>
      </c>
      <c r="M209" s="852"/>
      <c r="N209" s="853">
        <f>L209-'Proposed Accrual 2019'!L209</f>
        <v>8307</v>
      </c>
    </row>
    <row r="210" spans="1:14" x14ac:dyDescent="0.2">
      <c r="A210" s="200"/>
      <c r="B210" s="130"/>
      <c r="C210" s="130"/>
      <c r="D210" s="154"/>
      <c r="E210" s="154"/>
      <c r="F210" s="130"/>
      <c r="G210" s="138"/>
      <c r="H210" s="145"/>
      <c r="I210" s="130"/>
      <c r="J210" s="138"/>
      <c r="K210" s="145"/>
      <c r="L210" s="145"/>
      <c r="M210" s="130"/>
      <c r="N210" s="853">
        <f>L210-'Proposed Accrual 2019'!L210</f>
        <v>0</v>
      </c>
    </row>
    <row r="211" spans="1:14" x14ac:dyDescent="0.2">
      <c r="A211" s="140">
        <f>'Plant &amp; Reserve'!$A211</f>
        <v>34183</v>
      </c>
      <c r="B211" s="130" t="str">
        <f>'Plant &amp; Reserve'!$B211</f>
        <v>PK CT No. 3</v>
      </c>
      <c r="C211" s="130"/>
      <c r="D211" s="145">
        <f>IFERROR(VLOOKUP($A211,'2020 B-7'!C:R,14,FALSE),0)</f>
        <v>10533315.640000001</v>
      </c>
      <c r="E211" s="145">
        <f>IFERROR(VLOOKUP($A211,'2020 B-9'!C:T,16,FALSE),0)</f>
        <v>4909035.629999999</v>
      </c>
      <c r="F211" s="130"/>
      <c r="G211" s="138">
        <f>'Proposed Rates'!$I211</f>
        <v>2.6</v>
      </c>
      <c r="H211" s="145">
        <f t="shared" ref="H211:H215" si="55">ROUND(($D211*G211)/100,0)</f>
        <v>273866</v>
      </c>
      <c r="I211" s="130"/>
      <c r="J211" s="138">
        <f>'Proposed Rates'!$V211</f>
        <v>2.6</v>
      </c>
      <c r="K211" s="145">
        <f t="shared" ref="K211:K215" si="56">ROUND(($D211*J211)/100,0)</f>
        <v>273866</v>
      </c>
      <c r="L211" s="145">
        <f>K211-H211</f>
        <v>0</v>
      </c>
      <c r="M211" s="852"/>
      <c r="N211" s="853">
        <f>L211-'Proposed Accrual 2019'!L211</f>
        <v>0</v>
      </c>
    </row>
    <row r="212" spans="1:14" x14ac:dyDescent="0.2">
      <c r="A212" s="140">
        <f>'Plant &amp; Reserve'!$A212</f>
        <v>34283</v>
      </c>
      <c r="B212" s="130" t="str">
        <f>'Plant &amp; Reserve'!$B212</f>
        <v>PK CT No. 3</v>
      </c>
      <c r="C212" s="130"/>
      <c r="D212" s="145">
        <f>IFERROR(VLOOKUP($A212,'2020 B-7'!C:R,14,FALSE),0)</f>
        <v>1304575.5999999999</v>
      </c>
      <c r="E212" s="145">
        <f>IFERROR(VLOOKUP($A212,'2020 B-9'!C:T,16,FALSE),0)</f>
        <v>506546.90999999776</v>
      </c>
      <c r="F212" s="130"/>
      <c r="G212" s="138">
        <f>'Proposed Rates'!$I212</f>
        <v>2.9</v>
      </c>
      <c r="H212" s="145">
        <f t="shared" si="55"/>
        <v>37833</v>
      </c>
      <c r="I212" s="130"/>
      <c r="J212" s="138">
        <f>'Proposed Rates'!$V212</f>
        <v>3.2</v>
      </c>
      <c r="K212" s="145">
        <f t="shared" si="56"/>
        <v>41746</v>
      </c>
      <c r="L212" s="145">
        <f>K212-H212</f>
        <v>3913</v>
      </c>
      <c r="M212" s="852"/>
      <c r="N212" s="853">
        <f>L212-'Proposed Accrual 2019'!L212</f>
        <v>-150</v>
      </c>
    </row>
    <row r="213" spans="1:14" x14ac:dyDescent="0.2">
      <c r="A213" s="140">
        <f>'Plant &amp; Reserve'!$A213</f>
        <v>34383</v>
      </c>
      <c r="B213" s="130" t="str">
        <f>'Plant &amp; Reserve'!$B213</f>
        <v>PK CT No. 3</v>
      </c>
      <c r="C213" s="130"/>
      <c r="D213" s="145">
        <f>IFERROR(VLOOKUP($A213,'2020 B-7'!C:R,14,FALSE),0)</f>
        <v>32633941.280000001</v>
      </c>
      <c r="E213" s="145">
        <f>IFERROR(VLOOKUP($A213,'2020 B-9'!C:T,16,FALSE),0)</f>
        <v>18107665.089999963</v>
      </c>
      <c r="F213" s="130"/>
      <c r="G213" s="138">
        <f>'Proposed Rates'!$I213</f>
        <v>4.5999999999999996</v>
      </c>
      <c r="H213" s="145">
        <f t="shared" si="55"/>
        <v>1501161</v>
      </c>
      <c r="I213" s="130"/>
      <c r="J213" s="138">
        <f>'Proposed Rates'!$V213</f>
        <v>3.6</v>
      </c>
      <c r="K213" s="145">
        <f t="shared" si="56"/>
        <v>1174822</v>
      </c>
      <c r="L213" s="145">
        <f>K213-H213</f>
        <v>-326339</v>
      </c>
      <c r="M213" s="852"/>
      <c r="N213" s="853">
        <f>L213-'Proposed Accrual 2019'!L213</f>
        <v>-498</v>
      </c>
    </row>
    <row r="214" spans="1:14" x14ac:dyDescent="0.2">
      <c r="A214" s="140">
        <f>'Plant &amp; Reserve'!$A214</f>
        <v>34583</v>
      </c>
      <c r="B214" s="130" t="str">
        <f>'Plant &amp; Reserve'!$B214</f>
        <v>PK CT No. 3</v>
      </c>
      <c r="C214" s="130"/>
      <c r="D214" s="145">
        <f>IFERROR(VLOOKUP($A214,'2020 B-7'!C:R,14,FALSE),0)</f>
        <v>9098307.0300000031</v>
      </c>
      <c r="E214" s="145">
        <f>IFERROR(VLOOKUP($A214,'2020 B-9'!C:T,16,FALSE),0)</f>
        <v>4734504.650000005</v>
      </c>
      <c r="F214" s="130"/>
      <c r="G214" s="138">
        <f>'Proposed Rates'!$I214</f>
        <v>3</v>
      </c>
      <c r="H214" s="145">
        <f t="shared" si="55"/>
        <v>272949</v>
      </c>
      <c r="I214" s="130"/>
      <c r="J214" s="138">
        <f>'Proposed Rates'!$V214</f>
        <v>3.8</v>
      </c>
      <c r="K214" s="145">
        <f t="shared" si="56"/>
        <v>345736</v>
      </c>
      <c r="L214" s="145">
        <f>K214-H214</f>
        <v>72787</v>
      </c>
      <c r="M214" s="852"/>
      <c r="N214" s="853">
        <f>L214-'Proposed Accrual 2019'!L214</f>
        <v>338</v>
      </c>
    </row>
    <row r="215" spans="1:14" ht="15" x14ac:dyDescent="0.2">
      <c r="A215" s="140">
        <f>'Plant &amp; Reserve'!$A215</f>
        <v>34683</v>
      </c>
      <c r="B215" s="168" t="str">
        <f>'Plant &amp; Reserve'!$B215</f>
        <v>PK CT No. 3</v>
      </c>
      <c r="C215" s="130"/>
      <c r="D215" s="172">
        <f>IFERROR(VLOOKUP($A215,'2020 B-7'!C:R,14,FALSE),0)</f>
        <v>432910.42</v>
      </c>
      <c r="E215" s="172">
        <f>IFERROR(VLOOKUP($A215,'2020 B-9'!C:T,16,FALSE),0)</f>
        <v>241704.32000000047</v>
      </c>
      <c r="F215" s="130"/>
      <c r="G215" s="170">
        <f>'Proposed Rates'!$I215</f>
        <v>3.1</v>
      </c>
      <c r="H215" s="172">
        <f t="shared" si="55"/>
        <v>13420</v>
      </c>
      <c r="I215" s="130"/>
      <c r="J215" s="170">
        <f>'Proposed Rates'!$V215</f>
        <v>2.2000000000000002</v>
      </c>
      <c r="K215" s="171">
        <f t="shared" si="56"/>
        <v>9524</v>
      </c>
      <c r="L215" s="171">
        <f>K215-H215</f>
        <v>-3896</v>
      </c>
      <c r="M215" s="852"/>
      <c r="N215" s="853">
        <f>L215-'Proposed Accrual 2019'!L215</f>
        <v>0</v>
      </c>
    </row>
    <row r="216" spans="1:14" x14ac:dyDescent="0.2">
      <c r="A216" s="134"/>
      <c r="B216" s="128" t="s">
        <v>75</v>
      </c>
      <c r="C216" s="130"/>
      <c r="D216" s="173">
        <f>SUM(D211:D215)</f>
        <v>54003049.970000006</v>
      </c>
      <c r="E216" s="173">
        <f>SUM(E211:E215)</f>
        <v>28499456.599999964</v>
      </c>
      <c r="F216" s="130"/>
      <c r="G216" s="177">
        <f>'Proposed Rates'!$I216</f>
        <v>3.7</v>
      </c>
      <c r="H216" s="173">
        <f>SUM(H211:H215)</f>
        <v>2099229</v>
      </c>
      <c r="I216" s="130"/>
      <c r="J216" s="177">
        <f>'Proposed Rates'!$V216</f>
        <v>3.4</v>
      </c>
      <c r="K216" s="173">
        <f>SUM(K211:K215)</f>
        <v>1845694</v>
      </c>
      <c r="L216" s="173">
        <f>SUM(L211:L215)</f>
        <v>-253535</v>
      </c>
      <c r="M216" s="852"/>
      <c r="N216" s="853">
        <f>L216-'Proposed Accrual 2019'!L216</f>
        <v>-310</v>
      </c>
    </row>
    <row r="217" spans="1:14" x14ac:dyDescent="0.2">
      <c r="A217" s="134"/>
      <c r="B217" s="128"/>
      <c r="C217" s="130"/>
      <c r="D217" s="173"/>
      <c r="E217" s="173"/>
      <c r="F217" s="130"/>
      <c r="G217" s="177"/>
      <c r="H217" s="173"/>
      <c r="I217" s="130"/>
      <c r="J217" s="173"/>
      <c r="K217" s="173"/>
      <c r="L217" s="173"/>
      <c r="M217" s="852"/>
      <c r="N217" s="853">
        <f>L217-'Proposed Accrual 2019'!L217</f>
        <v>0</v>
      </c>
    </row>
    <row r="218" spans="1:14" x14ac:dyDescent="0.2">
      <c r="A218" s="140">
        <f>'Plant &amp; Reserve'!$A218</f>
        <v>34184</v>
      </c>
      <c r="B218" s="130" t="str">
        <f>'Plant &amp; Reserve'!$B218</f>
        <v>PK CT No. 4</v>
      </c>
      <c r="C218" s="130"/>
      <c r="D218" s="145">
        <f>IFERROR(VLOOKUP($A218,'2020 B-7'!C:R,14,FALSE),0)</f>
        <v>5811519.6599999992</v>
      </c>
      <c r="E218" s="145">
        <f>IFERROR(VLOOKUP($A218,'2020 B-9'!C:T,16,FALSE),0)</f>
        <v>1819368.579999997</v>
      </c>
      <c r="F218" s="130"/>
      <c r="G218" s="138">
        <f>'Proposed Rates'!$I218</f>
        <v>2.4</v>
      </c>
      <c r="H218" s="145">
        <f t="shared" ref="H218:H222" si="57">ROUND(($D218*G218)/100,0)</f>
        <v>139476</v>
      </c>
      <c r="I218" s="130"/>
      <c r="J218" s="138">
        <f>'Proposed Rates'!$V218</f>
        <v>2.7</v>
      </c>
      <c r="K218" s="145">
        <f t="shared" ref="K218:K222" si="58">ROUND(($D218*J218)/100,0)</f>
        <v>156911</v>
      </c>
      <c r="L218" s="145">
        <f>K218-H218</f>
        <v>17435</v>
      </c>
      <c r="M218" s="852"/>
      <c r="N218" s="853">
        <f>L218-'Proposed Accrual 2019'!L218</f>
        <v>0</v>
      </c>
    </row>
    <row r="219" spans="1:14" x14ac:dyDescent="0.2">
      <c r="A219" s="140">
        <f>'Plant &amp; Reserve'!$A219</f>
        <v>34284</v>
      </c>
      <c r="B219" s="130" t="str">
        <f>'Plant &amp; Reserve'!$B219</f>
        <v>PK CT No. 4</v>
      </c>
      <c r="C219" s="130"/>
      <c r="D219" s="145">
        <f>IFERROR(VLOOKUP($A219,'2020 B-7'!C:R,14,FALSE),0)</f>
        <v>2167427.8200000003</v>
      </c>
      <c r="E219" s="145">
        <f>IFERROR(VLOOKUP($A219,'2020 B-9'!C:T,16,FALSE),0)</f>
        <v>373192.8699999993</v>
      </c>
      <c r="F219" s="130"/>
      <c r="G219" s="138">
        <f>'Proposed Rates'!$I219</f>
        <v>3.2</v>
      </c>
      <c r="H219" s="145">
        <f t="shared" si="57"/>
        <v>69358</v>
      </c>
      <c r="I219" s="130"/>
      <c r="J219" s="138">
        <f>'Proposed Rates'!$V219</f>
        <v>2.8</v>
      </c>
      <c r="K219" s="145">
        <f t="shared" si="58"/>
        <v>60688</v>
      </c>
      <c r="L219" s="145">
        <f>K219-H219</f>
        <v>-8670</v>
      </c>
      <c r="M219" s="852"/>
      <c r="N219" s="853">
        <f>L219-'Proposed Accrual 2019'!L219</f>
        <v>0</v>
      </c>
    </row>
    <row r="220" spans="1:14" x14ac:dyDescent="0.2">
      <c r="A220" s="140">
        <f>'Plant &amp; Reserve'!$A220</f>
        <v>34384</v>
      </c>
      <c r="B220" s="130" t="str">
        <f>'Plant &amp; Reserve'!$B220</f>
        <v>PK CT No. 4</v>
      </c>
      <c r="C220" s="130"/>
      <c r="D220" s="145">
        <f>IFERROR(VLOOKUP($A220,'2020 B-7'!C:R,14,FALSE),0)</f>
        <v>22207411.209999997</v>
      </c>
      <c r="E220" s="145">
        <f>IFERROR(VLOOKUP($A220,'2020 B-9'!C:T,16,FALSE),0)</f>
        <v>3758369.3799999994</v>
      </c>
      <c r="F220" s="130"/>
      <c r="G220" s="138">
        <f>'Proposed Rates'!$I220</f>
        <v>4.0999999999999996</v>
      </c>
      <c r="H220" s="145">
        <f t="shared" si="57"/>
        <v>910504</v>
      </c>
      <c r="I220" s="130"/>
      <c r="J220" s="138">
        <f>'Proposed Rates'!$V220</f>
        <v>4.7</v>
      </c>
      <c r="K220" s="145">
        <f t="shared" si="58"/>
        <v>1043748</v>
      </c>
      <c r="L220" s="145">
        <f>K220-H220</f>
        <v>133244</v>
      </c>
      <c r="M220" s="852"/>
      <c r="N220" s="853">
        <f>L220-'Proposed Accrual 2019'!L220</f>
        <v>1044</v>
      </c>
    </row>
    <row r="221" spans="1:14" x14ac:dyDescent="0.2">
      <c r="A221" s="140">
        <f>'Plant &amp; Reserve'!$A221</f>
        <v>34584</v>
      </c>
      <c r="B221" s="130" t="str">
        <f>'Plant &amp; Reserve'!$B221</f>
        <v>PK CT No. 4</v>
      </c>
      <c r="C221" s="130"/>
      <c r="D221" s="145">
        <f>IFERROR(VLOOKUP($A221,'2020 B-7'!C:R,14,FALSE),0)</f>
        <v>5573653.129999999</v>
      </c>
      <c r="E221" s="145">
        <f>IFERROR(VLOOKUP($A221,'2020 B-9'!C:T,16,FALSE),0)</f>
        <v>2801863.7299999986</v>
      </c>
      <c r="F221" s="130"/>
      <c r="G221" s="138">
        <f>'Proposed Rates'!$I221</f>
        <v>3.9</v>
      </c>
      <c r="H221" s="145">
        <f t="shared" si="57"/>
        <v>217372</v>
      </c>
      <c r="I221" s="130"/>
      <c r="J221" s="138">
        <f>'Proposed Rates'!$V221</f>
        <v>2.5</v>
      </c>
      <c r="K221" s="145">
        <f t="shared" si="58"/>
        <v>139341</v>
      </c>
      <c r="L221" s="145">
        <f>K221-H221</f>
        <v>-78031</v>
      </c>
      <c r="M221" s="852"/>
      <c r="N221" s="853">
        <f>L221-'Proposed Accrual 2019'!L221</f>
        <v>-149</v>
      </c>
    </row>
    <row r="222" spans="1:14" ht="15" x14ac:dyDescent="0.2">
      <c r="A222" s="140">
        <f>'Plant &amp; Reserve'!$A222</f>
        <v>34684</v>
      </c>
      <c r="B222" s="168" t="str">
        <f>'Plant &amp; Reserve'!$B222</f>
        <v>PK CT No. 4</v>
      </c>
      <c r="C222" s="130"/>
      <c r="D222" s="172">
        <f>IFERROR(VLOOKUP($A222,'2020 B-7'!C:R,14,FALSE),0)</f>
        <v>0</v>
      </c>
      <c r="E222" s="172">
        <f>IFERROR(VLOOKUP($A222,'2020 B-9'!C:T,16,FALSE),0)</f>
        <v>7.503331289626658E-12</v>
      </c>
      <c r="F222" s="130"/>
      <c r="G222" s="170">
        <f>'Proposed Rates'!$I222</f>
        <v>4.3</v>
      </c>
      <c r="H222" s="172">
        <f t="shared" si="57"/>
        <v>0</v>
      </c>
      <c r="I222" s="130"/>
      <c r="J222" s="170">
        <f>'Proposed Rates'!$V222</f>
        <v>3.6</v>
      </c>
      <c r="K222" s="171">
        <f t="shared" si="58"/>
        <v>0</v>
      </c>
      <c r="L222" s="171">
        <f>K222-H222</f>
        <v>0</v>
      </c>
      <c r="M222" s="852"/>
      <c r="N222" s="853">
        <f>L222-'Proposed Accrual 2019'!L222</f>
        <v>0</v>
      </c>
    </row>
    <row r="223" spans="1:14" x14ac:dyDescent="0.2">
      <c r="A223" s="134"/>
      <c r="B223" s="128" t="s">
        <v>75</v>
      </c>
      <c r="C223" s="130"/>
      <c r="D223" s="173">
        <f>SUM(D218:D222)</f>
        <v>35760011.819999993</v>
      </c>
      <c r="E223" s="173">
        <f>SUM(E218:E222)</f>
        <v>8752794.5599999949</v>
      </c>
      <c r="F223" s="130"/>
      <c r="G223" s="177">
        <f>'Proposed Rates'!$I223</f>
        <v>3.8</v>
      </c>
      <c r="H223" s="173">
        <f>SUM(H218:H222)</f>
        <v>1336710</v>
      </c>
      <c r="I223" s="130"/>
      <c r="J223" s="177">
        <f>'Proposed Rates'!$V223</f>
        <v>3.9</v>
      </c>
      <c r="K223" s="173">
        <f>SUM(K218:K222)</f>
        <v>1400688</v>
      </c>
      <c r="L223" s="173">
        <f>SUM(L218:L222)</f>
        <v>63978</v>
      </c>
      <c r="M223" s="852"/>
      <c r="N223" s="853">
        <f>L223-'Proposed Accrual 2019'!L223</f>
        <v>895</v>
      </c>
    </row>
    <row r="224" spans="1:14" x14ac:dyDescent="0.2">
      <c r="A224" s="134"/>
      <c r="B224" s="128"/>
      <c r="C224" s="130"/>
      <c r="D224" s="173"/>
      <c r="E224" s="173"/>
      <c r="F224" s="130"/>
      <c r="G224" s="177"/>
      <c r="H224" s="173"/>
      <c r="I224" s="130"/>
      <c r="J224" s="173"/>
      <c r="K224" s="173"/>
      <c r="L224" s="173"/>
      <c r="M224" s="852"/>
      <c r="N224" s="853">
        <f>L224-'Proposed Accrual 2019'!L224</f>
        <v>0</v>
      </c>
    </row>
    <row r="225" spans="1:14" x14ac:dyDescent="0.2">
      <c r="A225" s="140">
        <f>'Plant &amp; Reserve'!$A225</f>
        <v>34185</v>
      </c>
      <c r="B225" s="130" t="str">
        <f>'Plant &amp; Reserve'!$B225</f>
        <v>PK CT No. 5</v>
      </c>
      <c r="C225" s="130"/>
      <c r="D225" s="145">
        <f>IFERROR(VLOOKUP($A225,'2020 B-7'!C:R,14,FALSE),0)</f>
        <v>5746580.1099999994</v>
      </c>
      <c r="E225" s="145">
        <f>IFERROR(VLOOKUP($A225,'2020 B-9'!C:T,16,FALSE),0)</f>
        <v>1820875.859999998</v>
      </c>
      <c r="F225" s="130"/>
      <c r="G225" s="138">
        <f>'Proposed Rates'!$I225</f>
        <v>2.4</v>
      </c>
      <c r="H225" s="145">
        <f t="shared" ref="H225:H229" si="59">ROUND(($D225*G225)/100,0)</f>
        <v>137918</v>
      </c>
      <c r="I225" s="130"/>
      <c r="J225" s="138">
        <f>'Proposed Rates'!$V225</f>
        <v>2.7</v>
      </c>
      <c r="K225" s="145">
        <f t="shared" ref="K225:K229" si="60">ROUND(($D225*J225)/100,0)</f>
        <v>155158</v>
      </c>
      <c r="L225" s="145">
        <f>K225-H225</f>
        <v>17240</v>
      </c>
      <c r="M225" s="852"/>
      <c r="N225" s="853">
        <f>L225-'Proposed Accrual 2019'!L225</f>
        <v>0</v>
      </c>
    </row>
    <row r="226" spans="1:14" x14ac:dyDescent="0.2">
      <c r="A226" s="140">
        <f>'Plant &amp; Reserve'!$A226</f>
        <v>34285</v>
      </c>
      <c r="B226" s="130" t="str">
        <f>'Plant &amp; Reserve'!$B226</f>
        <v>PK CT No. 5</v>
      </c>
      <c r="C226" s="130"/>
      <c r="D226" s="145">
        <f>IFERROR(VLOOKUP($A226,'2020 B-7'!C:R,14,FALSE),0)</f>
        <v>2200049.62</v>
      </c>
      <c r="E226" s="145">
        <f>IFERROR(VLOOKUP($A226,'2020 B-9'!C:T,16,FALSE),0)</f>
        <v>660328.42999999982</v>
      </c>
      <c r="F226" s="130"/>
      <c r="G226" s="138">
        <f>'Proposed Rates'!$I226</f>
        <v>3.4</v>
      </c>
      <c r="H226" s="145">
        <f t="shared" si="59"/>
        <v>74802</v>
      </c>
      <c r="I226" s="130"/>
      <c r="J226" s="138">
        <f>'Proposed Rates'!$V226</f>
        <v>3.7</v>
      </c>
      <c r="K226" s="145">
        <f t="shared" si="60"/>
        <v>81402</v>
      </c>
      <c r="L226" s="145">
        <f>K226-H226</f>
        <v>6600</v>
      </c>
      <c r="M226" s="852"/>
      <c r="N226" s="853">
        <f>L226-'Proposed Accrual 2019'!L226</f>
        <v>0</v>
      </c>
    </row>
    <row r="227" spans="1:14" x14ac:dyDescent="0.2">
      <c r="A227" s="140">
        <f>'Plant &amp; Reserve'!$A227</f>
        <v>34385</v>
      </c>
      <c r="B227" s="130" t="str">
        <f>'Plant &amp; Reserve'!$B227</f>
        <v>PK CT No. 5</v>
      </c>
      <c r="C227" s="130"/>
      <c r="D227" s="145">
        <f>IFERROR(VLOOKUP($A227,'2020 B-7'!C:R,14,FALSE),0)</f>
        <v>25066750.429999996</v>
      </c>
      <c r="E227" s="145">
        <f>IFERROR(VLOOKUP($A227,'2020 B-9'!C:T,16,FALSE),0)</f>
        <v>2351361.200000003</v>
      </c>
      <c r="F227" s="130"/>
      <c r="G227" s="138">
        <f>'Proposed Rates'!$I227</f>
        <v>3.9</v>
      </c>
      <c r="H227" s="145">
        <f t="shared" si="59"/>
        <v>977603</v>
      </c>
      <c r="I227" s="130"/>
      <c r="J227" s="138">
        <f>'Proposed Rates'!$V227</f>
        <v>5</v>
      </c>
      <c r="K227" s="145">
        <f t="shared" si="60"/>
        <v>1253338</v>
      </c>
      <c r="L227" s="145">
        <f>K227-H227</f>
        <v>275735</v>
      </c>
      <c r="M227" s="852"/>
      <c r="N227" s="853">
        <f>L227-'Proposed Accrual 2019'!L227</f>
        <v>54639</v>
      </c>
    </row>
    <row r="228" spans="1:14" x14ac:dyDescent="0.2">
      <c r="A228" s="140">
        <f>'Plant &amp; Reserve'!$A228</f>
        <v>34585</v>
      </c>
      <c r="B228" s="130" t="str">
        <f>'Plant &amp; Reserve'!$B228</f>
        <v>PK CT No. 5</v>
      </c>
      <c r="C228" s="130"/>
      <c r="D228" s="145">
        <f>IFERROR(VLOOKUP($A228,'2020 B-7'!C:R,14,FALSE),0)</f>
        <v>5465054.8999999994</v>
      </c>
      <c r="E228" s="145">
        <f>IFERROR(VLOOKUP($A228,'2020 B-9'!C:T,16,FALSE),0)</f>
        <v>2787901.970000003</v>
      </c>
      <c r="F228" s="130"/>
      <c r="G228" s="138">
        <f>'Proposed Rates'!$I228</f>
        <v>3.9</v>
      </c>
      <c r="H228" s="145">
        <f t="shared" si="59"/>
        <v>213137</v>
      </c>
      <c r="I228" s="130"/>
      <c r="J228" s="138">
        <f>'Proposed Rates'!$V228</f>
        <v>2.6</v>
      </c>
      <c r="K228" s="145">
        <f t="shared" si="60"/>
        <v>142091</v>
      </c>
      <c r="L228" s="145">
        <f>K228-H228</f>
        <v>-71046</v>
      </c>
      <c r="M228" s="852"/>
      <c r="N228" s="853">
        <f>L228-'Proposed Accrual 2019'!L228</f>
        <v>0</v>
      </c>
    </row>
    <row r="229" spans="1:14" ht="15" x14ac:dyDescent="0.2">
      <c r="A229" s="140">
        <f>'Plant &amp; Reserve'!$A229</f>
        <v>34685</v>
      </c>
      <c r="B229" s="168" t="str">
        <f>'Plant &amp; Reserve'!$B229</f>
        <v>PK CT No. 5</v>
      </c>
      <c r="C229" s="130"/>
      <c r="D229" s="172">
        <f>IFERROR(VLOOKUP($A229,'2020 B-7'!C:R,14,FALSE),0)</f>
        <v>0</v>
      </c>
      <c r="E229" s="172">
        <f>IFERROR(VLOOKUP($A229,'2020 B-9'!C:T,16,FALSE),0)</f>
        <v>-7.0485839387401938E-12</v>
      </c>
      <c r="F229" s="130"/>
      <c r="G229" s="170">
        <f>'Proposed Rates'!$I229</f>
        <v>4.3</v>
      </c>
      <c r="H229" s="172">
        <f t="shared" si="59"/>
        <v>0</v>
      </c>
      <c r="I229" s="130"/>
      <c r="J229" s="170">
        <f>'Proposed Rates'!$V229</f>
        <v>3.6</v>
      </c>
      <c r="K229" s="171">
        <f t="shared" si="60"/>
        <v>0</v>
      </c>
      <c r="L229" s="171">
        <f>K229-H229</f>
        <v>0</v>
      </c>
      <c r="M229" s="852"/>
      <c r="N229" s="853">
        <f>L229-'Proposed Accrual 2019'!L229</f>
        <v>0</v>
      </c>
    </row>
    <row r="230" spans="1:14" x14ac:dyDescent="0.2">
      <c r="A230" s="134"/>
      <c r="B230" s="128" t="s">
        <v>75</v>
      </c>
      <c r="C230" s="130"/>
      <c r="D230" s="173">
        <f>SUM(D225:D229)</f>
        <v>38478435.059999995</v>
      </c>
      <c r="E230" s="173">
        <f>SUM(E225:E229)</f>
        <v>7620467.4600000028</v>
      </c>
      <c r="F230" s="130"/>
      <c r="G230" s="177">
        <f>'Proposed Rates'!$I230</f>
        <v>3.8</v>
      </c>
      <c r="H230" s="173">
        <f>SUM(H225:H229)</f>
        <v>1403460</v>
      </c>
      <c r="I230" s="130"/>
      <c r="J230" s="177">
        <f>'Proposed Rates'!$V230</f>
        <v>4.0999999999999996</v>
      </c>
      <c r="K230" s="173">
        <f>SUM(K225:K229)</f>
        <v>1631989</v>
      </c>
      <c r="L230" s="173">
        <f>SUM(L225:L229)</f>
        <v>228529</v>
      </c>
      <c r="M230" s="852"/>
      <c r="N230" s="853">
        <f>L230-'Proposed Accrual 2019'!L230</f>
        <v>54639</v>
      </c>
    </row>
    <row r="231" spans="1:14" x14ac:dyDescent="0.2">
      <c r="A231" s="200"/>
      <c r="B231" s="130"/>
      <c r="C231" s="130"/>
      <c r="D231" s="145"/>
      <c r="E231" s="145"/>
      <c r="F231" s="130"/>
      <c r="G231" s="177"/>
      <c r="H231" s="173"/>
      <c r="I231" s="130"/>
      <c r="J231" s="173"/>
      <c r="K231" s="173"/>
      <c r="L231" s="173"/>
      <c r="M231" s="130"/>
      <c r="N231" s="853">
        <f>L231-'Proposed Accrual 2019'!L231</f>
        <v>0</v>
      </c>
    </row>
    <row r="232" spans="1:14" x14ac:dyDescent="0.2">
      <c r="A232" s="140">
        <f>'Plant &amp; Reserve'!$A232</f>
        <v>34186</v>
      </c>
      <c r="B232" s="130" t="str">
        <f>'Plant &amp; Reserve'!$B232</f>
        <v>PK CCST for CT 2-5</v>
      </c>
      <c r="C232" s="130"/>
      <c r="D232" s="145">
        <f>IFERROR(VLOOKUP($A232,'2020 B-7'!C:R,14,FALSE),0)</f>
        <v>13374554.049999999</v>
      </c>
      <c r="E232" s="145">
        <f>IFERROR(VLOOKUP($A232,'2020 B-9'!C:T,16,FALSE),0)</f>
        <v>2835504.5900000003</v>
      </c>
      <c r="F232" s="130"/>
      <c r="G232" s="138">
        <f>'Proposed Rates'!$I232</f>
        <v>2.9</v>
      </c>
      <c r="H232" s="145">
        <f t="shared" ref="H232:H236" si="61">ROUND(($D232*G232)/100,0)</f>
        <v>387862</v>
      </c>
      <c r="I232" s="130"/>
      <c r="J232" s="138">
        <f>'Proposed Rates'!$V232</f>
        <v>2.6</v>
      </c>
      <c r="K232" s="145">
        <f t="shared" ref="K232:K236" si="62">ROUND(($D232*J232)/100,0)</f>
        <v>347738</v>
      </c>
      <c r="L232" s="145">
        <f>K232-H232</f>
        <v>-40124</v>
      </c>
      <c r="M232" s="852"/>
      <c r="N232" s="853">
        <f>L232-'Proposed Accrual 2019'!L232</f>
        <v>0</v>
      </c>
    </row>
    <row r="233" spans="1:14" x14ac:dyDescent="0.2">
      <c r="A233" s="140">
        <f>'Plant &amp; Reserve'!$A233</f>
        <v>34286</v>
      </c>
      <c r="B233" s="130" t="str">
        <f>'Plant &amp; Reserve'!$B233</f>
        <v>PK CCST for CT 2-5</v>
      </c>
      <c r="C233" s="130"/>
      <c r="D233" s="145">
        <f>IFERROR(VLOOKUP($A233,'2020 B-7'!C:R,14,FALSE),0)</f>
        <v>213605988.15999991</v>
      </c>
      <c r="E233" s="145">
        <f>IFERROR(VLOOKUP($A233,'2020 B-9'!C:T,16,FALSE),0)</f>
        <v>23010165.579999991</v>
      </c>
      <c r="F233" s="130"/>
      <c r="G233" s="138">
        <f>'Proposed Rates'!$I233</f>
        <v>2.9</v>
      </c>
      <c r="H233" s="145">
        <f t="shared" si="61"/>
        <v>6194574</v>
      </c>
      <c r="I233" s="130"/>
      <c r="J233" s="138">
        <f>'Proposed Rates'!$V233</f>
        <v>3</v>
      </c>
      <c r="K233" s="145">
        <f t="shared" si="62"/>
        <v>6408180</v>
      </c>
      <c r="L233" s="145">
        <f>K233-H233</f>
        <v>213606</v>
      </c>
      <c r="M233" s="852"/>
      <c r="N233" s="853">
        <f>L233-'Proposed Accrual 2019'!L233</f>
        <v>27</v>
      </c>
    </row>
    <row r="234" spans="1:14" x14ac:dyDescent="0.2">
      <c r="A234" s="140">
        <f>'Plant &amp; Reserve'!$A234</f>
        <v>34386</v>
      </c>
      <c r="B234" s="130" t="str">
        <f>'Plant &amp; Reserve'!$B234</f>
        <v>PK CCST for CT 2-5</v>
      </c>
      <c r="C234" s="130"/>
      <c r="D234" s="145">
        <f>IFERROR(VLOOKUP($A234,'2020 B-7'!C:R,14,FALSE),0)</f>
        <v>223608772.67999992</v>
      </c>
      <c r="E234" s="145">
        <f>IFERROR(VLOOKUP($A234,'2020 B-9'!C:T,16,FALSE),0)</f>
        <v>23803962.979999997</v>
      </c>
      <c r="F234" s="130"/>
      <c r="G234" s="138">
        <f>'Proposed Rates'!$I234</f>
        <v>2.9</v>
      </c>
      <c r="H234" s="145">
        <f t="shared" si="61"/>
        <v>6484654</v>
      </c>
      <c r="I234" s="130"/>
      <c r="J234" s="138">
        <f>'Proposed Rates'!$V234</f>
        <v>3.1</v>
      </c>
      <c r="K234" s="145">
        <f t="shared" si="62"/>
        <v>6931872</v>
      </c>
      <c r="L234" s="145">
        <f>K234-H234</f>
        <v>447218</v>
      </c>
      <c r="M234" s="852"/>
      <c r="N234" s="853">
        <f>L234-'Proposed Accrual 2019'!L234</f>
        <v>136</v>
      </c>
    </row>
    <row r="235" spans="1:14" x14ac:dyDescent="0.2">
      <c r="A235" s="140">
        <f>'Plant &amp; Reserve'!$A235</f>
        <v>34586</v>
      </c>
      <c r="B235" s="130" t="str">
        <f>'Plant &amp; Reserve'!$B235</f>
        <v>PK CCST for CT 2-5</v>
      </c>
      <c r="C235" s="130"/>
      <c r="D235" s="145">
        <f>IFERROR(VLOOKUP($A235,'2020 B-7'!C:R,14,FALSE),0)</f>
        <v>18335993.590000004</v>
      </c>
      <c r="E235" s="145">
        <f>IFERROR(VLOOKUP($A235,'2020 B-9'!C:T,16,FALSE),0)</f>
        <v>2394256.21</v>
      </c>
      <c r="F235" s="130"/>
      <c r="G235" s="138">
        <f>'Proposed Rates'!$I235</f>
        <v>2.9</v>
      </c>
      <c r="H235" s="145">
        <f t="shared" si="61"/>
        <v>531744</v>
      </c>
      <c r="I235" s="130"/>
      <c r="J235" s="138">
        <f>'Proposed Rates'!$V235</f>
        <v>3</v>
      </c>
      <c r="K235" s="145">
        <f t="shared" si="62"/>
        <v>550080</v>
      </c>
      <c r="L235" s="145">
        <f>K235-H235</f>
        <v>18336</v>
      </c>
      <c r="M235" s="852"/>
      <c r="N235" s="853">
        <f>L235-'Proposed Accrual 2019'!L235</f>
        <v>0</v>
      </c>
    </row>
    <row r="236" spans="1:14" ht="15" x14ac:dyDescent="0.2">
      <c r="A236" s="140">
        <f>'Plant &amp; Reserve'!$A236</f>
        <v>34686</v>
      </c>
      <c r="B236" s="168" t="str">
        <f>'Plant &amp; Reserve'!$B236</f>
        <v>PK CCST for CT 2-5</v>
      </c>
      <c r="C236" s="130"/>
      <c r="D236" s="172">
        <f>IFERROR(VLOOKUP($A236,'2020 B-7'!C:R,14,FALSE),0)</f>
        <v>141626.41</v>
      </c>
      <c r="E236" s="172">
        <f>IFERROR(VLOOKUP($A236,'2020 B-9'!C:T,16,FALSE),0)</f>
        <v>14032.660000000005</v>
      </c>
      <c r="F236" s="130"/>
      <c r="G236" s="170">
        <f>'Proposed Rates'!$I236</f>
        <v>2.9</v>
      </c>
      <c r="H236" s="172">
        <f t="shared" si="61"/>
        <v>4107</v>
      </c>
      <c r="I236" s="130"/>
      <c r="J236" s="170">
        <f>'Proposed Rates'!$V236</f>
        <v>3</v>
      </c>
      <c r="K236" s="171">
        <f t="shared" si="62"/>
        <v>4249</v>
      </c>
      <c r="L236" s="171">
        <f>K236-H236</f>
        <v>142</v>
      </c>
      <c r="M236" s="852"/>
      <c r="N236" s="853">
        <f>L236-'Proposed Accrual 2019'!L236</f>
        <v>0</v>
      </c>
    </row>
    <row r="237" spans="1:14" x14ac:dyDescent="0.2">
      <c r="A237" s="134"/>
      <c r="B237" s="128" t="s">
        <v>75</v>
      </c>
      <c r="C237" s="130"/>
      <c r="D237" s="173">
        <f>SUM(D232:D236)</f>
        <v>469066934.88999993</v>
      </c>
      <c r="E237" s="173">
        <f>SUM(E232:E236)</f>
        <v>52057922.019999988</v>
      </c>
      <c r="F237" s="130"/>
      <c r="G237" s="177">
        <f>'Proposed Rates'!$I237</f>
        <v>2.9</v>
      </c>
      <c r="H237" s="173">
        <f>SUM(H232:H236)</f>
        <v>13602941</v>
      </c>
      <c r="I237" s="130"/>
      <c r="J237" s="177">
        <f>'Proposed Rates'!$V237</f>
        <v>3.1</v>
      </c>
      <c r="K237" s="173">
        <f>SUM(K232:K236)</f>
        <v>14242119</v>
      </c>
      <c r="L237" s="173">
        <f>SUM(L232:L236)</f>
        <v>639178</v>
      </c>
      <c r="M237" s="852"/>
      <c r="N237" s="853">
        <f>L237-'Proposed Accrual 2019'!L237</f>
        <v>163</v>
      </c>
    </row>
    <row r="238" spans="1:14" x14ac:dyDescent="0.2">
      <c r="A238" s="134"/>
      <c r="B238" s="128"/>
      <c r="C238" s="130"/>
      <c r="D238" s="173"/>
      <c r="E238" s="173"/>
      <c r="F238" s="130"/>
      <c r="G238" s="177"/>
      <c r="H238" s="173"/>
      <c r="I238" s="173"/>
      <c r="J238" s="173"/>
      <c r="K238" s="173"/>
      <c r="L238" s="173"/>
      <c r="M238" s="852"/>
      <c r="N238" s="853">
        <f>L238-'Proposed Accrual 2019'!L238</f>
        <v>0</v>
      </c>
    </row>
    <row r="239" spans="1:14" x14ac:dyDescent="0.2">
      <c r="A239" s="140">
        <f>'Plant &amp; Reserve'!$A239</f>
        <v>34687</v>
      </c>
      <c r="B239" s="130" t="str">
        <f>'Plant &amp; Reserve'!$B239</f>
        <v>Polk Amortizable Tools</v>
      </c>
      <c r="C239" s="130"/>
      <c r="D239" s="145">
        <f>IFERROR(VLOOKUP($A239,'2020 B-7'!C:R,14,FALSE),0)</f>
        <v>1200400.28</v>
      </c>
      <c r="E239" s="145">
        <f>IFERROR(VLOOKUP($A239,'2020 B-9'!C:T,16,FALSE),0)</f>
        <v>478040.80000000034</v>
      </c>
      <c r="F239" s="130"/>
      <c r="G239" s="138">
        <f>'Proposed Rates'!$I239</f>
        <v>14.3</v>
      </c>
      <c r="H239" s="145">
        <f t="shared" ref="H239" si="63">ROUND(($D239*G239)/100,0)</f>
        <v>171657</v>
      </c>
      <c r="I239" s="130"/>
      <c r="J239" s="138">
        <f>'Proposed Rates'!$V239</f>
        <v>14.3</v>
      </c>
      <c r="K239" s="145">
        <f t="shared" ref="K239" si="64">ROUND(($D239*J239)/100,0)</f>
        <v>171657</v>
      </c>
      <c r="L239" s="145">
        <f>K239-H239</f>
        <v>0</v>
      </c>
      <c r="M239" s="852"/>
      <c r="N239" s="853">
        <f>L239-'Proposed Accrual 2019'!L239</f>
        <v>0</v>
      </c>
    </row>
    <row r="240" spans="1:14" x14ac:dyDescent="0.2">
      <c r="A240" s="134"/>
      <c r="B240" s="130"/>
      <c r="C240" s="130"/>
      <c r="D240" s="145"/>
      <c r="E240" s="145"/>
      <c r="F240" s="130"/>
      <c r="G240" s="138"/>
      <c r="H240" s="145"/>
      <c r="I240" s="145"/>
      <c r="J240" s="145"/>
      <c r="K240" s="145"/>
      <c r="L240" s="145"/>
      <c r="M240" s="852"/>
      <c r="N240" s="853">
        <f>L240-'Proposed Accrual 2019'!L240</f>
        <v>0</v>
      </c>
    </row>
    <row r="241" spans="1:14" x14ac:dyDescent="0.2">
      <c r="A241" s="140">
        <f>'Plant &amp; Reserve'!$A241</f>
        <v>34287</v>
      </c>
      <c r="B241" s="130" t="str">
        <f>'Plant &amp; Reserve'!$B241</f>
        <v>Polk 1 Fuel Clause</v>
      </c>
      <c r="C241" s="130"/>
      <c r="D241" s="145">
        <f>IFERROR(VLOOKUP($A241,'2020 B-7'!C:R,14,FALSE),0)</f>
        <v>4.4337866711430252E-10</v>
      </c>
      <c r="E241" s="145">
        <f>IFERROR(VLOOKUP($A241,'2020 B-9'!C:T,16,FALSE),0)</f>
        <v>925.32000001331494</v>
      </c>
      <c r="F241" s="130"/>
      <c r="G241" s="138">
        <f>'Proposed Rates'!$I241</f>
        <v>20</v>
      </c>
      <c r="H241" s="145">
        <f t="shared" ref="H241" si="65">ROUND(($D241*G241)/100,0)</f>
        <v>0</v>
      </c>
      <c r="I241" s="130"/>
      <c r="J241" s="138">
        <f>'Proposed Rates'!$V241</f>
        <v>20</v>
      </c>
      <c r="K241" s="145">
        <f t="shared" ref="K241" si="66">ROUND(($D241*J241)/100,0)</f>
        <v>0</v>
      </c>
      <c r="L241" s="145">
        <f>K241-H241</f>
        <v>0</v>
      </c>
      <c r="M241" s="852"/>
      <c r="N241" s="853">
        <f>L241-'Proposed Accrual 2019'!L241</f>
        <v>0</v>
      </c>
    </row>
    <row r="242" spans="1:14" ht="13.5" thickBot="1" x14ac:dyDescent="0.25">
      <c r="A242" s="182"/>
      <c r="B242" s="182"/>
      <c r="C242" s="130"/>
      <c r="D242" s="145"/>
      <c r="E242" s="145"/>
      <c r="F242" s="130"/>
      <c r="G242" s="138"/>
      <c r="H242" s="145"/>
      <c r="I242" s="130"/>
      <c r="J242" s="138"/>
      <c r="K242" s="145"/>
      <c r="L242" s="145"/>
      <c r="M242" s="130"/>
      <c r="N242" s="853">
        <f>L242-'Proposed Accrual 2019'!L242</f>
        <v>0</v>
      </c>
    </row>
    <row r="243" spans="1:14" ht="19.5" customHeight="1" thickTop="1" thickBot="1" x14ac:dyDescent="0.25">
      <c r="A243" s="494"/>
      <c r="B243" s="384"/>
      <c r="C243" s="130"/>
      <c r="D243" s="196">
        <f>SUM(D195,D202,D209,D216,D223,D230,D237,D239,D241)</f>
        <v>1377343941.1800001</v>
      </c>
      <c r="E243" s="196">
        <f>SUM(E195,E202,E209,E216,E223,E230,E237,E239,E241)</f>
        <v>420264225.48999977</v>
      </c>
      <c r="F243" s="130"/>
      <c r="G243" s="826">
        <f>IF($D243=0,0,H243/$D243*100)</f>
        <v>3.18422216040143</v>
      </c>
      <c r="H243" s="196">
        <f>SUM(H195,H202,H209,H216,H223,H230,H237,H239,H241)</f>
        <v>43857691</v>
      </c>
      <c r="I243" s="130"/>
      <c r="J243" s="826">
        <f>IF($D243=0,0,K243/$D243*100)</f>
        <v>3.5747922888321888</v>
      </c>
      <c r="K243" s="196">
        <f>SUM(K195,K202,K209,K216,K223,K230,K237,K239,K241)</f>
        <v>49237185</v>
      </c>
      <c r="L243" s="196">
        <f>SUM(L195,L202,L209,L216,L223,L230,L237,L239,L241)</f>
        <v>5379494</v>
      </c>
      <c r="M243" s="130"/>
      <c r="N243" s="853">
        <f>L243-'Proposed Accrual 2019'!L243</f>
        <v>84586</v>
      </c>
    </row>
    <row r="244" spans="1:14" ht="13.5" thickTop="1" x14ac:dyDescent="0.2">
      <c r="A244" s="200"/>
      <c r="B244" s="130"/>
      <c r="C244" s="130"/>
      <c r="D244" s="145"/>
      <c r="E244" s="145"/>
      <c r="F244" s="130"/>
      <c r="G244" s="138"/>
      <c r="H244" s="145"/>
      <c r="I244" s="130"/>
      <c r="J244" s="138"/>
      <c r="K244" s="145"/>
      <c r="L244" s="145"/>
      <c r="M244" s="130"/>
      <c r="N244" s="853">
        <f>L244-'Proposed Accrual 2019'!L244</f>
        <v>0</v>
      </c>
    </row>
    <row r="245" spans="1:14" x14ac:dyDescent="0.2">
      <c r="A245" s="200"/>
      <c r="B245" s="202" t="s">
        <v>861</v>
      </c>
      <c r="C245" s="130"/>
      <c r="D245" s="145"/>
      <c r="E245" s="145"/>
      <c r="F245" s="130"/>
      <c r="G245" s="138"/>
      <c r="H245" s="145"/>
      <c r="I245" s="130"/>
      <c r="J245" s="138"/>
      <c r="K245" s="145"/>
      <c r="L245" s="145"/>
      <c r="M245" s="130"/>
      <c r="N245" s="853">
        <f>L245-'Proposed Accrual 2019'!L245</f>
        <v>0</v>
      </c>
    </row>
    <row r="246" spans="1:14" x14ac:dyDescent="0.2">
      <c r="A246" s="200"/>
      <c r="B246" s="130"/>
      <c r="C246" s="130"/>
      <c r="D246" s="145"/>
      <c r="E246" s="145"/>
      <c r="F246" s="130"/>
      <c r="G246" s="138"/>
      <c r="H246" s="145"/>
      <c r="I246" s="130"/>
      <c r="J246" s="138"/>
      <c r="K246" s="145"/>
      <c r="L246" s="145"/>
      <c r="M246" s="130"/>
      <c r="N246" s="853">
        <f>L246-'Proposed Accrual 2019'!L246</f>
        <v>0</v>
      </c>
    </row>
    <row r="247" spans="1:14" x14ac:dyDescent="0.2">
      <c r="A247" s="140">
        <f>'Plant &amp; Reserve'!$A247</f>
        <v>34199</v>
      </c>
      <c r="B247" s="130" t="str">
        <f>'Plant &amp; Reserve'!$B247</f>
        <v>Solar Sites</v>
      </c>
      <c r="C247" s="130"/>
      <c r="D247" s="145">
        <f>IFERROR(VLOOKUP($A247,'2020 B-7'!C:R,14,FALSE),0)</f>
        <v>224151489.56</v>
      </c>
      <c r="E247" s="145">
        <f>IFERROR(VLOOKUP($A247,'2020 B-9'!C:T,16,FALSE),0)</f>
        <v>13126056.529999999</v>
      </c>
      <c r="F247" s="130"/>
      <c r="G247" s="138">
        <f>'Proposed Rates'!$I247</f>
        <v>3.3</v>
      </c>
      <c r="H247" s="145">
        <f t="shared" ref="H247:H252" si="67">ROUND(($D247*G247)/100,0)</f>
        <v>7396999</v>
      </c>
      <c r="I247" s="130"/>
      <c r="J247" s="138">
        <f>'Proposed Rates'!$V247</f>
        <v>3.3</v>
      </c>
      <c r="K247" s="145">
        <f t="shared" ref="K247:K252" si="68">ROUND(($D247*J247)/100,0)</f>
        <v>7396999</v>
      </c>
      <c r="L247" s="145">
        <f t="shared" ref="L247:L252" si="69">K247-H247</f>
        <v>0</v>
      </c>
      <c r="M247" s="130"/>
      <c r="N247" s="853">
        <f>L247-'Proposed Accrual 2019'!L247</f>
        <v>0</v>
      </c>
    </row>
    <row r="248" spans="1:14" x14ac:dyDescent="0.2">
      <c r="A248" s="140">
        <f>'Plant &amp; Reserve'!$A248</f>
        <v>34299</v>
      </c>
      <c r="B248" s="130" t="str">
        <f>'Plant &amp; Reserve'!$B248</f>
        <v>Solar Sites</v>
      </c>
      <c r="C248" s="130"/>
      <c r="D248" s="145">
        <f>IFERROR(VLOOKUP($A248,'2020 B-7'!C:R,14,FALSE),0)</f>
        <v>0</v>
      </c>
      <c r="E248" s="145">
        <f>IFERROR(VLOOKUP($A248,'2020 B-9'!C:T,16,FALSE),0)</f>
        <v>0</v>
      </c>
      <c r="F248" s="130"/>
      <c r="G248" s="138">
        <f>'Proposed Rates'!$I248</f>
        <v>3.3</v>
      </c>
      <c r="H248" s="145">
        <f t="shared" si="67"/>
        <v>0</v>
      </c>
      <c r="I248" s="130"/>
      <c r="J248" s="138">
        <f>'Proposed Rates'!$V248</f>
        <v>3.3</v>
      </c>
      <c r="K248" s="145">
        <f t="shared" si="68"/>
        <v>0</v>
      </c>
      <c r="L248" s="145">
        <f t="shared" si="69"/>
        <v>0</v>
      </c>
      <c r="M248" s="130"/>
      <c r="N248" s="853">
        <f>L248-'Proposed Accrual 2019'!L248</f>
        <v>0</v>
      </c>
    </row>
    <row r="249" spans="1:14" x14ac:dyDescent="0.2">
      <c r="A249" s="140">
        <f>'Plant &amp; Reserve'!$A249</f>
        <v>34399</v>
      </c>
      <c r="B249" s="130" t="str">
        <f>'Plant &amp; Reserve'!$B249</f>
        <v>Solar Sites</v>
      </c>
      <c r="C249" s="130"/>
      <c r="D249" s="145">
        <f>IFERROR(VLOOKUP($A249,'2020 B-7'!C:R,14,FALSE),0)</f>
        <v>344532227.37000006</v>
      </c>
      <c r="E249" s="145">
        <f>IFERROR(VLOOKUP($A249,'2020 B-9'!C:T,16,FALSE),0)</f>
        <v>22335923.039999999</v>
      </c>
      <c r="F249" s="130"/>
      <c r="G249" s="138">
        <f>'Proposed Rates'!$I249</f>
        <v>3.3</v>
      </c>
      <c r="H249" s="145">
        <f t="shared" si="67"/>
        <v>11369564</v>
      </c>
      <c r="I249" s="130"/>
      <c r="J249" s="138">
        <f>'Proposed Rates'!$V249</f>
        <v>3.3</v>
      </c>
      <c r="K249" s="145">
        <f t="shared" si="68"/>
        <v>11369564</v>
      </c>
      <c r="L249" s="145">
        <f t="shared" si="69"/>
        <v>0</v>
      </c>
      <c r="M249" s="130"/>
      <c r="N249" s="853">
        <f>L249-'Proposed Accrual 2019'!L249</f>
        <v>0</v>
      </c>
    </row>
    <row r="250" spans="1:14" x14ac:dyDescent="0.2">
      <c r="A250" s="140">
        <f>'Plant &amp; Reserve'!$A250</f>
        <v>34599</v>
      </c>
      <c r="B250" s="130" t="str">
        <f>'Plant &amp; Reserve'!$B250</f>
        <v>Solar Sites</v>
      </c>
      <c r="C250" s="130"/>
      <c r="D250" s="145">
        <f>IFERROR(VLOOKUP($A250,'2020 B-7'!C:R,14,FALSE),0)</f>
        <v>167518681.76999998</v>
      </c>
      <c r="E250" s="145">
        <f>IFERROR(VLOOKUP($A250,'2020 B-9'!C:T,16,FALSE),0)</f>
        <v>8190141.6199999992</v>
      </c>
      <c r="F250" s="130"/>
      <c r="G250" s="138">
        <f>'Proposed Rates'!$I250</f>
        <v>3.3</v>
      </c>
      <c r="H250" s="145">
        <f t="shared" si="67"/>
        <v>5528116</v>
      </c>
      <c r="I250" s="130"/>
      <c r="J250" s="138">
        <f>'Proposed Rates'!$V250</f>
        <v>3.3</v>
      </c>
      <c r="K250" s="145">
        <f t="shared" si="68"/>
        <v>5528116</v>
      </c>
      <c r="L250" s="145">
        <f t="shared" si="69"/>
        <v>0</v>
      </c>
      <c r="M250" s="130"/>
      <c r="N250" s="853">
        <f>L250-'Proposed Accrual 2019'!L250</f>
        <v>0</v>
      </c>
    </row>
    <row r="251" spans="1:14" x14ac:dyDescent="0.2">
      <c r="A251" s="140">
        <f>'Plant &amp; Reserve'!$A251</f>
        <v>34699</v>
      </c>
      <c r="B251" s="130" t="str">
        <f>'Plant &amp; Reserve'!$B251</f>
        <v>Solar Sites</v>
      </c>
      <c r="C251" s="130"/>
      <c r="D251" s="145">
        <f>IFERROR(VLOOKUP($A251,'2020 B-7'!C:R,14,FALSE),0)</f>
        <v>0</v>
      </c>
      <c r="E251" s="145">
        <f>IFERROR(VLOOKUP($A251,'2020 B-9'!C:T,16,FALSE),0)</f>
        <v>0</v>
      </c>
      <c r="F251" s="130"/>
      <c r="G251" s="138">
        <f>'Proposed Rates'!$I251</f>
        <v>3.3</v>
      </c>
      <c r="H251" s="145">
        <f t="shared" si="67"/>
        <v>0</v>
      </c>
      <c r="I251" s="130"/>
      <c r="J251" s="138">
        <f>'Proposed Rates'!$V251</f>
        <v>3.3</v>
      </c>
      <c r="K251" s="145">
        <f t="shared" si="68"/>
        <v>0</v>
      </c>
      <c r="L251" s="145">
        <f t="shared" si="69"/>
        <v>0</v>
      </c>
      <c r="M251" s="130"/>
      <c r="N251" s="853">
        <f>L251-'Proposed Accrual 2019'!L251</f>
        <v>0</v>
      </c>
    </row>
    <row r="252" spans="1:14" ht="15" x14ac:dyDescent="0.2">
      <c r="A252" s="140">
        <f>'Plant &amp; Reserve'!$A252</f>
        <v>34899</v>
      </c>
      <c r="B252" s="168" t="str">
        <f>'Plant &amp; Reserve'!$B252</f>
        <v>Solar Sites</v>
      </c>
      <c r="C252" s="130"/>
      <c r="D252" s="172">
        <f>IFERROR(VLOOKUP($A252,'2020 B-7'!C:R,14,FALSE),0)</f>
        <v>9473273.8499999996</v>
      </c>
      <c r="E252" s="172">
        <f>IFERROR(VLOOKUP($A252,'2020 B-9'!C:T,16,FALSE),0)</f>
        <v>271854.57</v>
      </c>
      <c r="F252" s="130"/>
      <c r="G252" s="170">
        <f>'Proposed Rates'!$I252</f>
        <v>10</v>
      </c>
      <c r="H252" s="172">
        <f t="shared" si="67"/>
        <v>947327</v>
      </c>
      <c r="I252" s="130"/>
      <c r="J252" s="170">
        <f>'Proposed Rates'!$V252</f>
        <v>10</v>
      </c>
      <c r="K252" s="171">
        <f t="shared" si="68"/>
        <v>947327</v>
      </c>
      <c r="L252" s="171">
        <f t="shared" si="69"/>
        <v>0</v>
      </c>
      <c r="M252" s="130"/>
      <c r="N252" s="853">
        <f>L252-'Proposed Accrual 2019'!L252</f>
        <v>0</v>
      </c>
    </row>
    <row r="253" spans="1:14" x14ac:dyDescent="0.2">
      <c r="A253" s="134"/>
      <c r="B253" s="128" t="s">
        <v>75</v>
      </c>
      <c r="C253" s="130"/>
      <c r="D253" s="173">
        <f>SUM(D247:D252)</f>
        <v>745675672.55000007</v>
      </c>
      <c r="E253" s="173">
        <f>SUM(E247:E252)</f>
        <v>43923975.759999998</v>
      </c>
      <c r="F253" s="130"/>
      <c r="G253" s="177">
        <f>'Proposed Rates'!$I253</f>
        <v>3.3</v>
      </c>
      <c r="H253" s="173">
        <f>SUM(H247:H252)</f>
        <v>25242006</v>
      </c>
      <c r="I253" s="130"/>
      <c r="J253" s="177">
        <f>'Proposed Rates'!$V253</f>
        <v>3.3</v>
      </c>
      <c r="K253" s="173">
        <f>SUM(K247:K252)</f>
        <v>25242006</v>
      </c>
      <c r="L253" s="173">
        <f>SUM(L247:L252)</f>
        <v>0</v>
      </c>
      <c r="M253" s="130"/>
      <c r="N253" s="853">
        <f>L253-'Proposed Accrual 2019'!L253</f>
        <v>0</v>
      </c>
    </row>
    <row r="254" spans="1:14" ht="13.5" thickBot="1" x14ac:dyDescent="0.25">
      <c r="A254" s="182"/>
      <c r="B254" s="182"/>
      <c r="C254" s="130"/>
      <c r="D254" s="145"/>
      <c r="E254" s="145"/>
      <c r="F254" s="130"/>
      <c r="G254" s="138"/>
      <c r="H254" s="145"/>
      <c r="I254" s="130"/>
      <c r="J254" s="138"/>
      <c r="K254" s="145"/>
      <c r="L254" s="145"/>
      <c r="M254" s="130"/>
      <c r="N254" s="853">
        <f>L254-'Proposed Accrual 2019'!L254</f>
        <v>0</v>
      </c>
    </row>
    <row r="255" spans="1:14" ht="19.5" customHeight="1" thickTop="1" thickBot="1" x14ac:dyDescent="0.25">
      <c r="A255" s="494"/>
      <c r="B255" s="384"/>
      <c r="C255" s="130"/>
      <c r="D255" s="196">
        <f>D253</f>
        <v>745675672.55000007</v>
      </c>
      <c r="E255" s="196">
        <f>E253</f>
        <v>43923975.759999998</v>
      </c>
      <c r="F255" s="130"/>
      <c r="G255" s="826">
        <f>IF($D255=0,0,H255/$D255*100)</f>
        <v>3.3851186151318942</v>
      </c>
      <c r="H255" s="196">
        <f>H253</f>
        <v>25242006</v>
      </c>
      <c r="I255" s="130"/>
      <c r="J255" s="826">
        <f>IF($D255=0,0,K255/$D255*100)</f>
        <v>3.3851186151318942</v>
      </c>
      <c r="K255" s="196">
        <f>K253</f>
        <v>25242006</v>
      </c>
      <c r="L255" s="196">
        <f>L253</f>
        <v>0</v>
      </c>
      <c r="M255" s="130"/>
      <c r="N255" s="853">
        <f>L255-'Proposed Accrual 2019'!L255</f>
        <v>0</v>
      </c>
    </row>
    <row r="256" spans="1:14" ht="13.5" thickTop="1" x14ac:dyDescent="0.2">
      <c r="A256" s="200"/>
      <c r="B256" s="800"/>
      <c r="C256" s="130"/>
      <c r="D256" s="145"/>
      <c r="E256" s="145"/>
      <c r="F256" s="130"/>
      <c r="G256" s="138"/>
      <c r="H256" s="145"/>
      <c r="I256" s="130"/>
      <c r="J256" s="138"/>
      <c r="K256" s="145"/>
      <c r="L256" s="145"/>
      <c r="M256" s="130"/>
      <c r="N256" s="853">
        <f>L256-'Proposed Accrual 2019'!L256</f>
        <v>0</v>
      </c>
    </row>
    <row r="257" spans="1:14" ht="13.5" thickBot="1" x14ac:dyDescent="0.25">
      <c r="A257" s="203"/>
      <c r="B257" s="807"/>
      <c r="C257" s="130"/>
      <c r="D257" s="204"/>
      <c r="E257" s="204"/>
      <c r="F257" s="130"/>
      <c r="G257" s="205" t="s">
        <v>60</v>
      </c>
      <c r="H257" s="204"/>
      <c r="I257" s="130"/>
      <c r="J257" s="206"/>
      <c r="K257" s="204"/>
      <c r="L257" s="204"/>
      <c r="M257" s="143"/>
      <c r="N257" s="853">
        <f>L257-'Proposed Accrual 2019'!L257</f>
        <v>0</v>
      </c>
    </row>
    <row r="258" spans="1:14" ht="19.5" customHeight="1" thickTop="1" thickBot="1" x14ac:dyDescent="0.25">
      <c r="A258" s="808"/>
      <c r="B258" s="802"/>
      <c r="C258" s="130"/>
      <c r="D258" s="192">
        <f>SUM(D131,D186,D243,D255)</f>
        <v>3290975022.6000004</v>
      </c>
      <c r="E258" s="192">
        <f>SUM(E131,E186,E243,E255)</f>
        <v>862885279.12999976</v>
      </c>
      <c r="F258" s="130"/>
      <c r="G258" s="829">
        <f>IF($D258=0,0,H258/$D258*100)</f>
        <v>3.3681014665504621</v>
      </c>
      <c r="H258" s="192">
        <f>SUM(H131,H186,H243,H255)</f>
        <v>110843378</v>
      </c>
      <c r="I258" s="130"/>
      <c r="J258" s="829">
        <f>IF($D258=0,0,K258/$D258*100)</f>
        <v>3.9423859527653891</v>
      </c>
      <c r="K258" s="192">
        <f>SUM(K131,K186,K243,K255)</f>
        <v>129742937</v>
      </c>
      <c r="L258" s="192">
        <f>SUM(L131,L186,L243,L255)</f>
        <v>18899559</v>
      </c>
      <c r="M258" s="143"/>
      <c r="N258" s="853">
        <f>L258-'Proposed Accrual 2019'!L258</f>
        <v>290145</v>
      </c>
    </row>
    <row r="259" spans="1:14" ht="13.5" thickTop="1" x14ac:dyDescent="0.2">
      <c r="A259" s="208"/>
      <c r="B259" s="387"/>
      <c r="C259" s="130"/>
      <c r="D259" s="145"/>
      <c r="E259" s="145"/>
      <c r="F259" s="130"/>
      <c r="G259" s="179" t="s">
        <v>60</v>
      </c>
      <c r="H259" s="145"/>
      <c r="I259" s="130"/>
      <c r="J259" s="179" t="s">
        <v>60</v>
      </c>
      <c r="K259" s="145"/>
      <c r="L259" s="145"/>
      <c r="M259" s="143"/>
      <c r="N259" s="853">
        <f>L259-'Proposed Accrual 2019'!L259</f>
        <v>0</v>
      </c>
    </row>
    <row r="260" spans="1:14" x14ac:dyDescent="0.2">
      <c r="A260" s="208"/>
      <c r="B260" s="469" t="s">
        <v>1122</v>
      </c>
      <c r="C260" s="130"/>
      <c r="D260" s="145"/>
      <c r="E260" s="145"/>
      <c r="F260" s="130"/>
      <c r="G260" s="179"/>
      <c r="H260" s="145"/>
      <c r="I260" s="130"/>
      <c r="J260" s="179"/>
      <c r="K260" s="145"/>
      <c r="L260" s="145"/>
      <c r="M260" s="143"/>
      <c r="N260" s="853">
        <f>L260-'Proposed Accrual 2019'!L260</f>
        <v>0</v>
      </c>
    </row>
    <row r="261" spans="1:14" x14ac:dyDescent="0.2">
      <c r="A261" s="208"/>
      <c r="B261" s="387"/>
      <c r="C261" s="130"/>
      <c r="D261" s="145"/>
      <c r="E261" s="145"/>
      <c r="F261" s="130"/>
      <c r="G261" s="179"/>
      <c r="H261" s="145"/>
      <c r="I261" s="130"/>
      <c r="J261" s="179"/>
      <c r="K261" s="145"/>
      <c r="L261" s="145"/>
      <c r="M261" s="143"/>
      <c r="N261" s="853">
        <f>L261-'Proposed Accrual 2019'!L261</f>
        <v>0</v>
      </c>
    </row>
    <row r="262" spans="1:14" x14ac:dyDescent="0.2">
      <c r="A262" s="140">
        <f>'Plant &amp; Reserve'!$A262</f>
        <v>31700</v>
      </c>
      <c r="B262" s="130" t="str">
        <f>'Plant &amp; Reserve'!$B262</f>
        <v>Various Sites</v>
      </c>
      <c r="C262" s="130"/>
      <c r="D262" s="145">
        <f>IFERROR(VLOOKUP($A262,'2020 B-7'!C:R,14,FALSE),0)</f>
        <v>30036948.829999991</v>
      </c>
      <c r="E262" s="145">
        <f>IFERROR(VLOOKUP($A262,'2020 B-9'!C:T,16,FALSE),0)</f>
        <v>20451385.049999993</v>
      </c>
      <c r="F262" s="130"/>
      <c r="G262" s="830">
        <f>ROUND(417848.1*12/D262*100,1)</f>
        <v>16.7</v>
      </c>
      <c r="H262" s="145">
        <f t="shared" ref="H262:H263" si="70">ROUND(($D262*G262)/100,0)</f>
        <v>5016170</v>
      </c>
      <c r="I262" s="130"/>
      <c r="J262" s="830">
        <f>G262</f>
        <v>16.7</v>
      </c>
      <c r="K262" s="145">
        <f>ROUND(($D262*J262)/100,0)</f>
        <v>5016170</v>
      </c>
      <c r="L262" s="145">
        <f>K262-H262</f>
        <v>0</v>
      </c>
      <c r="M262" s="143"/>
      <c r="N262" s="853">
        <f>L262-'Proposed Accrual 2019'!L262</f>
        <v>0</v>
      </c>
    </row>
    <row r="263" spans="1:14" ht="15" x14ac:dyDescent="0.2">
      <c r="A263" s="140">
        <f>'Plant &amp; Reserve'!$A263</f>
        <v>34700</v>
      </c>
      <c r="B263" s="168" t="str">
        <f>'Plant &amp; Reserve'!$B263</f>
        <v>Various Sites</v>
      </c>
      <c r="C263" s="130"/>
      <c r="D263" s="172">
        <f>IFERROR(VLOOKUP($A263,'2020 B-7'!C:R,14,FALSE),0)</f>
        <v>9476131.620000001</v>
      </c>
      <c r="E263" s="172">
        <f>IFERROR(VLOOKUP($A263,'2020 B-9'!C:T,16,FALSE),0)</f>
        <v>432135.33000000013</v>
      </c>
      <c r="F263" s="130"/>
      <c r="G263" s="779">
        <f>ROUND(5361.15*12/D263*100,1)</f>
        <v>0.7</v>
      </c>
      <c r="H263" s="172">
        <f t="shared" si="70"/>
        <v>66333</v>
      </c>
      <c r="I263" s="130"/>
      <c r="J263" s="779">
        <f>G263</f>
        <v>0.7</v>
      </c>
      <c r="K263" s="171">
        <f>ROUND(($D263*J263)/100,0)</f>
        <v>66333</v>
      </c>
      <c r="L263" s="171">
        <f>K263-H263</f>
        <v>0</v>
      </c>
      <c r="M263" s="143"/>
      <c r="N263" s="853">
        <f>L263-'Proposed Accrual 2019'!L263</f>
        <v>0</v>
      </c>
    </row>
    <row r="264" spans="1:14" x14ac:dyDescent="0.2">
      <c r="A264" s="208"/>
      <c r="B264" s="128" t="s">
        <v>75</v>
      </c>
      <c r="C264" s="130"/>
      <c r="D264" s="173">
        <f>SUM(D262:D263)</f>
        <v>39513080.449999988</v>
      </c>
      <c r="E264" s="173">
        <f>SUM(E262:E263)</f>
        <v>20883520.379999995</v>
      </c>
      <c r="F264" s="130"/>
      <c r="G264" s="177">
        <f>H264/D264</f>
        <v>0.12862836666028657</v>
      </c>
      <c r="H264" s="173">
        <f>SUM(H262:H263)</f>
        <v>5082503</v>
      </c>
      <c r="I264" s="130"/>
      <c r="J264" s="177">
        <f>K264/D264</f>
        <v>0.12862836666028657</v>
      </c>
      <c r="K264" s="173">
        <f>SUM(K262:K263)</f>
        <v>5082503</v>
      </c>
      <c r="L264" s="173">
        <f>SUM(L262:L263)</f>
        <v>0</v>
      </c>
      <c r="M264" s="143"/>
      <c r="N264" s="853">
        <f>L264-'Proposed Accrual 2019'!L264</f>
        <v>0</v>
      </c>
    </row>
    <row r="265" spans="1:14" ht="13.5" thickBot="1" x14ac:dyDescent="0.25">
      <c r="A265" s="182"/>
      <c r="B265" s="182"/>
      <c r="C265" s="130"/>
      <c r="D265" s="145"/>
      <c r="E265" s="145"/>
      <c r="F265" s="130"/>
      <c r="G265" s="179"/>
      <c r="H265" s="145"/>
      <c r="I265" s="130"/>
      <c r="J265" s="179"/>
      <c r="K265" s="145"/>
      <c r="L265" s="145"/>
      <c r="M265" s="143"/>
      <c r="N265" s="853">
        <f>L265-'Proposed Accrual 2019'!L265</f>
        <v>0</v>
      </c>
    </row>
    <row r="266" spans="1:14" ht="19.5" customHeight="1" thickTop="1" thickBot="1" x14ac:dyDescent="0.25">
      <c r="A266" s="494"/>
      <c r="B266" s="384" t="s">
        <v>1124</v>
      </c>
      <c r="C266" s="130"/>
      <c r="D266" s="196">
        <f>D264</f>
        <v>39513080.449999988</v>
      </c>
      <c r="E266" s="196">
        <f>E264</f>
        <v>20883520.379999995</v>
      </c>
      <c r="F266" s="130"/>
      <c r="G266" s="826">
        <f>IF($D266=0,0,H266/$D266*100)</f>
        <v>12.862836666028658</v>
      </c>
      <c r="H266" s="196">
        <f>H264</f>
        <v>5082503</v>
      </c>
      <c r="I266" s="130"/>
      <c r="J266" s="826">
        <f>IF($D266=0,0,K266/$D266*100)</f>
        <v>12.862836666028658</v>
      </c>
      <c r="K266" s="196">
        <f>K264</f>
        <v>5082503</v>
      </c>
      <c r="L266" s="196">
        <f>L264</f>
        <v>0</v>
      </c>
      <c r="M266" s="130"/>
      <c r="N266" s="853">
        <f>L266-'Proposed Accrual 2019'!L266</f>
        <v>0</v>
      </c>
    </row>
    <row r="267" spans="1:14" ht="13.5" thickTop="1" x14ac:dyDescent="0.2">
      <c r="A267" s="208"/>
      <c r="B267" s="387"/>
      <c r="C267" s="130"/>
      <c r="D267" s="145"/>
      <c r="E267" s="145"/>
      <c r="F267" s="130"/>
      <c r="G267" s="179"/>
      <c r="H267" s="145"/>
      <c r="I267" s="130"/>
      <c r="J267" s="179"/>
      <c r="K267" s="145"/>
      <c r="L267" s="145"/>
      <c r="M267" s="143"/>
      <c r="N267" s="853">
        <f>L267-'Proposed Accrual 2019'!L267</f>
        <v>0</v>
      </c>
    </row>
    <row r="268" spans="1:14" ht="13.5" thickBot="1" x14ac:dyDescent="0.25">
      <c r="A268" s="187"/>
      <c r="B268" s="807"/>
      <c r="C268" s="130"/>
      <c r="D268" s="204"/>
      <c r="E268" s="204"/>
      <c r="F268" s="130"/>
      <c r="G268" s="206" t="s">
        <v>60</v>
      </c>
      <c r="H268" s="204"/>
      <c r="I268" s="130"/>
      <c r="J268" s="206" t="s">
        <v>60</v>
      </c>
      <c r="K268" s="204"/>
      <c r="L268" s="204"/>
      <c r="M268" s="143"/>
      <c r="N268" s="853">
        <f>L268-'Proposed Accrual 2019'!L268</f>
        <v>0</v>
      </c>
    </row>
    <row r="269" spans="1:14" ht="19.5" customHeight="1" thickTop="1" thickBot="1" x14ac:dyDescent="0.25">
      <c r="A269" s="808"/>
      <c r="B269" s="802" t="s">
        <v>67</v>
      </c>
      <c r="C269" s="130"/>
      <c r="D269" s="192">
        <f>SUM(D97,D258,D266)</f>
        <v>5585156353.8399992</v>
      </c>
      <c r="E269" s="192">
        <f>SUM(E97,E258,E266)</f>
        <v>1706835832.0500002</v>
      </c>
      <c r="F269" s="130"/>
      <c r="G269" s="829">
        <f>IF($D269=0,0,H269/$D269*100)</f>
        <v>3.448327169347448</v>
      </c>
      <c r="H269" s="192">
        <f>SUM(H97,H258,H266)</f>
        <v>192594464</v>
      </c>
      <c r="I269" s="130"/>
      <c r="J269" s="829">
        <f>IF($D269=0,0,K269/$D269*100)</f>
        <v>3.9429086859599254</v>
      </c>
      <c r="K269" s="192">
        <f>SUM(K97,K258,K266)</f>
        <v>220217615</v>
      </c>
      <c r="L269" s="192">
        <f>SUM(L97,L258,L266)</f>
        <v>27623151</v>
      </c>
      <c r="M269" s="143"/>
      <c r="N269" s="853">
        <f>L269-'Proposed Accrual 2019'!L269</f>
        <v>503066</v>
      </c>
    </row>
    <row r="270" spans="1:14" ht="13.5" thickTop="1" x14ac:dyDescent="0.2">
      <c r="A270" s="127"/>
      <c r="B270" s="127"/>
      <c r="C270" s="127"/>
      <c r="D270" s="143"/>
      <c r="E270" s="143"/>
      <c r="F270" s="143"/>
      <c r="G270" s="143"/>
      <c r="H270" s="143"/>
      <c r="I270" s="143"/>
      <c r="J270" s="143"/>
      <c r="K270" s="143"/>
      <c r="M270" s="143"/>
    </row>
    <row r="271" spans="1:14" x14ac:dyDescent="0.2">
      <c r="A271" s="208"/>
      <c r="B271" s="361" t="s">
        <v>1125</v>
      </c>
      <c r="C271" s="130"/>
      <c r="D271" s="145">
        <f>'2020 B-7'!AI18+'2020 B-7'!P478+'2020 B-7'!P479</f>
        <v>5585156353.8399992</v>
      </c>
      <c r="E271" s="145">
        <f>'2020 B-9'!AM18+'2020 B-9'!R478+'2020 B-9'!R479</f>
        <v>1706835832.05</v>
      </c>
      <c r="F271" s="130"/>
      <c r="G271" s="130"/>
      <c r="H271" s="130"/>
      <c r="I271" s="130"/>
      <c r="J271" s="130"/>
      <c r="K271" s="198" t="s">
        <v>1414</v>
      </c>
      <c r="L271" s="145">
        <f>'Proposed Accrual 2019'!L269</f>
        <v>27120085</v>
      </c>
      <c r="M271" s="143"/>
    </row>
    <row r="272" spans="1:14" x14ac:dyDescent="0.2">
      <c r="A272" s="213"/>
      <c r="B272" s="810" t="s">
        <v>69</v>
      </c>
      <c r="C272" s="145"/>
      <c r="D272" s="145">
        <f>D271-D269</f>
        <v>0</v>
      </c>
      <c r="E272" s="145">
        <f>E271-E269</f>
        <v>0</v>
      </c>
      <c r="F272" s="143"/>
      <c r="G272" s="143"/>
      <c r="H272" s="143"/>
      <c r="I272" s="143"/>
      <c r="J272" s="143"/>
      <c r="K272" s="198" t="s">
        <v>1415</v>
      </c>
      <c r="L272" s="854">
        <f>L269-L271</f>
        <v>503066</v>
      </c>
      <c r="M272" s="143"/>
    </row>
    <row r="273" spans="1:13" x14ac:dyDescent="0.2">
      <c r="A273" s="127"/>
      <c r="B273" s="127"/>
      <c r="C273" s="127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</row>
    <row r="274" spans="1:13" x14ac:dyDescent="0.2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224"/>
    </row>
    <row r="275" spans="1:13" x14ac:dyDescent="0.2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64"/>
    </row>
    <row r="276" spans="1:13" x14ac:dyDescent="0.2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64"/>
    </row>
    <row r="277" spans="1:13" x14ac:dyDescent="0.2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64"/>
    </row>
    <row r="278" spans="1:13" x14ac:dyDescent="0.2">
      <c r="A278" s="225"/>
      <c r="B278" s="223"/>
      <c r="C278" s="223"/>
      <c r="D278" s="223"/>
      <c r="E278" s="226"/>
      <c r="F278" s="223"/>
      <c r="G278" s="223"/>
      <c r="H278" s="223"/>
      <c r="I278" s="223"/>
      <c r="J278" s="223"/>
      <c r="K278" s="227"/>
      <c r="L278" s="223"/>
      <c r="M278" s="64"/>
    </row>
    <row r="279" spans="1:13" x14ac:dyDescent="0.2">
      <c r="A279" s="225"/>
      <c r="B279" s="223"/>
      <c r="C279" s="223"/>
      <c r="D279" s="223"/>
      <c r="E279" s="226"/>
      <c r="F279" s="223"/>
      <c r="G279" s="223"/>
      <c r="H279" s="223"/>
      <c r="I279" s="223"/>
      <c r="J279" s="223"/>
      <c r="K279" s="227"/>
      <c r="L279" s="223"/>
      <c r="M279" s="64"/>
    </row>
    <row r="280" spans="1:13" x14ac:dyDescent="0.2">
      <c r="A280" s="225"/>
      <c r="B280" s="223"/>
      <c r="C280" s="223"/>
      <c r="D280" s="223"/>
      <c r="E280" s="226"/>
      <c r="F280" s="223"/>
      <c r="G280" s="223"/>
      <c r="H280" s="223"/>
      <c r="I280" s="223"/>
      <c r="J280" s="223"/>
      <c r="K280" s="227"/>
      <c r="L280" s="223"/>
      <c r="M280" s="64"/>
    </row>
    <row r="281" spans="1:13" x14ac:dyDescent="0.2">
      <c r="K281" s="66"/>
      <c r="M281" s="64"/>
    </row>
    <row r="282" spans="1:13" x14ac:dyDescent="0.2">
      <c r="K282" s="66"/>
      <c r="M282" s="64"/>
    </row>
    <row r="283" spans="1:13" x14ac:dyDescent="0.2">
      <c r="K283" s="66"/>
      <c r="M283" s="64"/>
    </row>
    <row r="284" spans="1:13" x14ac:dyDescent="0.2">
      <c r="K284" s="66"/>
      <c r="M284" s="64"/>
    </row>
    <row r="285" spans="1:13" x14ac:dyDescent="0.2">
      <c r="K285" s="66"/>
      <c r="M285" s="64"/>
    </row>
    <row r="286" spans="1:13" x14ac:dyDescent="0.2">
      <c r="K286" s="66"/>
      <c r="M286" s="64"/>
    </row>
    <row r="287" spans="1:13" x14ac:dyDescent="0.2">
      <c r="K287" s="66"/>
      <c r="M287" s="64"/>
    </row>
    <row r="288" spans="1:13" x14ac:dyDescent="0.2">
      <c r="K288" s="66"/>
      <c r="M288" s="64"/>
    </row>
    <row r="289" spans="1:13" x14ac:dyDescent="0.2">
      <c r="K289" s="66"/>
      <c r="M289" s="64"/>
    </row>
    <row r="290" spans="1:13" x14ac:dyDescent="0.2">
      <c r="K290" s="66"/>
      <c r="M290" s="64"/>
    </row>
    <row r="291" spans="1:13" x14ac:dyDescent="0.2">
      <c r="K291" s="66"/>
      <c r="M291" s="64"/>
    </row>
    <row r="292" spans="1:13" x14ac:dyDescent="0.2">
      <c r="K292" s="66"/>
      <c r="M292" s="64"/>
    </row>
    <row r="293" spans="1:13" x14ac:dyDescent="0.2">
      <c r="K293" s="66"/>
      <c r="M293" s="64"/>
    </row>
    <row r="294" spans="1:13" x14ac:dyDescent="0.2">
      <c r="K294" s="66"/>
      <c r="M294" s="64"/>
    </row>
    <row r="295" spans="1:13" x14ac:dyDescent="0.2">
      <c r="K295" s="66"/>
      <c r="M295" s="64"/>
    </row>
    <row r="296" spans="1:13" x14ac:dyDescent="0.2">
      <c r="K296" s="66"/>
      <c r="M296" s="64"/>
    </row>
    <row r="297" spans="1:13" x14ac:dyDescent="0.2">
      <c r="M297" s="64"/>
    </row>
    <row r="298" spans="1:13" x14ac:dyDescent="0.2">
      <c r="M298" s="64"/>
    </row>
    <row r="299" spans="1:13" x14ac:dyDescent="0.2">
      <c r="M299" s="64"/>
    </row>
    <row r="300" spans="1:13" x14ac:dyDescent="0.2">
      <c r="M300" s="64"/>
    </row>
    <row r="301" spans="1:13" x14ac:dyDescent="0.2">
      <c r="M301" s="64"/>
    </row>
    <row r="302" spans="1:13" x14ac:dyDescent="0.2">
      <c r="A302" s="63"/>
      <c r="E302" s="63"/>
      <c r="M302" s="64"/>
    </row>
    <row r="303" spans="1:13" x14ac:dyDescent="0.2">
      <c r="A303" s="63"/>
      <c r="E303" s="63"/>
      <c r="M303" s="64"/>
    </row>
    <row r="304" spans="1:13" x14ac:dyDescent="0.2">
      <c r="A304" s="63"/>
      <c r="E304" s="63"/>
      <c r="M304" s="64"/>
    </row>
    <row r="305" spans="1:13" x14ac:dyDescent="0.2">
      <c r="A305" s="63"/>
      <c r="E305" s="63"/>
      <c r="M305" s="64"/>
    </row>
    <row r="306" spans="1:13" x14ac:dyDescent="0.2">
      <c r="A306" s="63"/>
      <c r="E306" s="63"/>
      <c r="M306" s="64"/>
    </row>
    <row r="307" spans="1:13" x14ac:dyDescent="0.2">
      <c r="A307" s="63"/>
      <c r="E307" s="63"/>
      <c r="M307" s="64"/>
    </row>
    <row r="308" spans="1:13" x14ac:dyDescent="0.2">
      <c r="A308" s="63"/>
      <c r="E308" s="63"/>
      <c r="M308" s="64"/>
    </row>
    <row r="309" spans="1:13" x14ac:dyDescent="0.2">
      <c r="A309" s="63"/>
      <c r="E309" s="63"/>
      <c r="M309" s="64"/>
    </row>
    <row r="310" spans="1:13" x14ac:dyDescent="0.2">
      <c r="A310" s="63"/>
      <c r="E310" s="63"/>
      <c r="M310" s="64"/>
    </row>
    <row r="311" spans="1:13" x14ac:dyDescent="0.2">
      <c r="A311" s="63"/>
      <c r="E311" s="63"/>
      <c r="M311" s="64"/>
    </row>
    <row r="312" spans="1:13" x14ac:dyDescent="0.2">
      <c r="A312" s="63"/>
      <c r="E312" s="63"/>
      <c r="M312" s="64"/>
    </row>
    <row r="313" spans="1:13" x14ac:dyDescent="0.2">
      <c r="A313" s="63"/>
      <c r="E313" s="63"/>
      <c r="M313" s="64"/>
    </row>
    <row r="314" spans="1:13" x14ac:dyDescent="0.2">
      <c r="A314" s="63"/>
      <c r="E314" s="63"/>
      <c r="M314" s="64"/>
    </row>
    <row r="315" spans="1:13" x14ac:dyDescent="0.2">
      <c r="A315" s="63"/>
      <c r="E315" s="63"/>
      <c r="M315" s="64"/>
    </row>
    <row r="316" spans="1:13" x14ac:dyDescent="0.2">
      <c r="A316" s="63"/>
      <c r="E316" s="63"/>
      <c r="M316" s="64"/>
    </row>
    <row r="317" spans="1:13" x14ac:dyDescent="0.2">
      <c r="A317" s="63"/>
      <c r="E317" s="63"/>
      <c r="M317" s="64"/>
    </row>
    <row r="318" spans="1:13" ht="15.75" x14ac:dyDescent="0.25">
      <c r="A318" s="63"/>
      <c r="B318" s="520"/>
      <c r="E318" s="63"/>
      <c r="M318" s="64"/>
    </row>
    <row r="319" spans="1:13" ht="15.75" x14ac:dyDescent="0.25">
      <c r="A319" s="63"/>
      <c r="B319" s="520"/>
      <c r="E319" s="63"/>
      <c r="M319" s="64"/>
    </row>
    <row r="320" spans="1:13" ht="15.75" x14ac:dyDescent="0.25">
      <c r="A320" s="63"/>
      <c r="B320" s="520"/>
      <c r="E320" s="63"/>
      <c r="M320" s="64"/>
    </row>
    <row r="321" spans="1:13" ht="15.75" x14ac:dyDescent="0.25">
      <c r="A321" s="63"/>
      <c r="B321" s="520"/>
      <c r="E321" s="63"/>
      <c r="M321" s="64"/>
    </row>
    <row r="322" spans="1:13" ht="15.75" x14ac:dyDescent="0.25">
      <c r="A322" s="63"/>
      <c r="B322" s="520"/>
      <c r="E322" s="63"/>
      <c r="M322" s="64"/>
    </row>
    <row r="323" spans="1:13" ht="15.75" x14ac:dyDescent="0.25">
      <c r="A323" s="63"/>
      <c r="B323" s="519"/>
      <c r="E323" s="63"/>
      <c r="M323" s="64"/>
    </row>
    <row r="324" spans="1:13" ht="15.75" x14ac:dyDescent="0.25">
      <c r="A324" s="63"/>
      <c r="B324" s="520"/>
      <c r="E324" s="63"/>
      <c r="M324" s="64"/>
    </row>
    <row r="325" spans="1:13" x14ac:dyDescent="0.2">
      <c r="A325" s="63"/>
      <c r="E325" s="63"/>
      <c r="M325" s="64"/>
    </row>
    <row r="326" spans="1:13" x14ac:dyDescent="0.2">
      <c r="A326" s="63"/>
      <c r="E326" s="63"/>
      <c r="M326" s="64"/>
    </row>
    <row r="327" spans="1:13" x14ac:dyDescent="0.2">
      <c r="A327" s="63"/>
      <c r="E327" s="63"/>
      <c r="M327" s="64"/>
    </row>
    <row r="328" spans="1:13" x14ac:dyDescent="0.2">
      <c r="A328" s="63"/>
      <c r="E328" s="63"/>
      <c r="M328" s="64"/>
    </row>
    <row r="329" spans="1:13" x14ac:dyDescent="0.2">
      <c r="A329" s="63"/>
      <c r="E329" s="63"/>
      <c r="M329" s="64"/>
    </row>
    <row r="330" spans="1:13" x14ac:dyDescent="0.2">
      <c r="A330" s="63"/>
      <c r="E330" s="63"/>
      <c r="M330" s="64"/>
    </row>
    <row r="331" spans="1:13" x14ac:dyDescent="0.2">
      <c r="A331" s="63"/>
      <c r="E331" s="63"/>
      <c r="M331" s="64"/>
    </row>
    <row r="332" spans="1:13" x14ac:dyDescent="0.2">
      <c r="A332" s="63"/>
      <c r="E332" s="63"/>
      <c r="M332" s="64"/>
    </row>
    <row r="333" spans="1:13" x14ac:dyDescent="0.2">
      <c r="A333" s="63"/>
      <c r="E333" s="63"/>
      <c r="M333" s="64"/>
    </row>
    <row r="334" spans="1:13" x14ac:dyDescent="0.2">
      <c r="A334" s="63"/>
      <c r="E334" s="63"/>
      <c r="M334" s="64"/>
    </row>
    <row r="335" spans="1:13" x14ac:dyDescent="0.2">
      <c r="A335" s="63"/>
      <c r="E335" s="63"/>
      <c r="M335" s="64"/>
    </row>
    <row r="336" spans="1:13" x14ac:dyDescent="0.2">
      <c r="A336" s="63"/>
      <c r="E336" s="63"/>
      <c r="M336" s="64"/>
    </row>
    <row r="337" spans="1:13" x14ac:dyDescent="0.2">
      <c r="A337" s="63"/>
      <c r="E337" s="63"/>
      <c r="M337" s="64"/>
    </row>
    <row r="338" spans="1:13" x14ac:dyDescent="0.2">
      <c r="A338" s="63"/>
      <c r="E338" s="63"/>
      <c r="M338" s="64"/>
    </row>
    <row r="339" spans="1:13" x14ac:dyDescent="0.2">
      <c r="A339" s="63"/>
      <c r="E339" s="63"/>
      <c r="M339" s="64"/>
    </row>
    <row r="340" spans="1:13" x14ac:dyDescent="0.2">
      <c r="A340" s="63"/>
      <c r="E340" s="63"/>
      <c r="M340" s="64"/>
    </row>
    <row r="341" spans="1:13" x14ac:dyDescent="0.2">
      <c r="A341" s="63"/>
      <c r="E341" s="63"/>
      <c r="M341" s="64"/>
    </row>
    <row r="342" spans="1:13" x14ac:dyDescent="0.2">
      <c r="A342" s="63"/>
      <c r="E342" s="63"/>
      <c r="M342" s="64"/>
    </row>
    <row r="343" spans="1:13" x14ac:dyDescent="0.2">
      <c r="A343" s="63"/>
      <c r="E343" s="63"/>
      <c r="M343" s="64"/>
    </row>
    <row r="344" spans="1:13" x14ac:dyDescent="0.2">
      <c r="A344" s="63"/>
      <c r="E344" s="63"/>
      <c r="M344" s="64"/>
    </row>
    <row r="345" spans="1:13" x14ac:dyDescent="0.2">
      <c r="A345" s="63"/>
      <c r="E345" s="63"/>
      <c r="M345" s="64"/>
    </row>
    <row r="346" spans="1:13" x14ac:dyDescent="0.2">
      <c r="A346" s="63"/>
      <c r="E346" s="63"/>
      <c r="M346" s="64"/>
    </row>
    <row r="347" spans="1:13" x14ac:dyDescent="0.2">
      <c r="A347" s="63"/>
      <c r="E347" s="63"/>
      <c r="M347" s="64"/>
    </row>
    <row r="348" spans="1:13" x14ac:dyDescent="0.2">
      <c r="A348" s="63"/>
      <c r="E348" s="63"/>
      <c r="M348" s="64"/>
    </row>
    <row r="349" spans="1:13" x14ac:dyDescent="0.2">
      <c r="A349" s="63"/>
      <c r="E349" s="63"/>
      <c r="M349" s="64"/>
    </row>
    <row r="350" spans="1:13" x14ac:dyDescent="0.2">
      <c r="A350" s="63"/>
      <c r="E350" s="63"/>
      <c r="M350" s="64"/>
    </row>
    <row r="351" spans="1:13" x14ac:dyDescent="0.2">
      <c r="A351" s="63"/>
      <c r="E351" s="63"/>
      <c r="M351" s="64"/>
    </row>
    <row r="352" spans="1:13" x14ac:dyDescent="0.2">
      <c r="A352" s="63"/>
      <c r="E352" s="63"/>
      <c r="M352" s="64"/>
    </row>
    <row r="353" spans="1:13" x14ac:dyDescent="0.2">
      <c r="A353" s="63"/>
      <c r="E353" s="63"/>
      <c r="M353" s="64"/>
    </row>
    <row r="354" spans="1:13" x14ac:dyDescent="0.2">
      <c r="A354" s="63"/>
      <c r="E354" s="63"/>
      <c r="M354" s="64"/>
    </row>
    <row r="355" spans="1:13" x14ac:dyDescent="0.2">
      <c r="A355" s="63"/>
      <c r="E355" s="63"/>
      <c r="M355" s="64"/>
    </row>
    <row r="356" spans="1:13" x14ac:dyDescent="0.2">
      <c r="A356" s="63"/>
      <c r="E356" s="63"/>
      <c r="M356" s="64"/>
    </row>
    <row r="357" spans="1:13" x14ac:dyDescent="0.2">
      <c r="A357" s="63"/>
      <c r="E357" s="63"/>
      <c r="M357" s="64"/>
    </row>
    <row r="358" spans="1:13" x14ac:dyDescent="0.2">
      <c r="A358" s="63"/>
      <c r="E358" s="63"/>
      <c r="M358" s="64"/>
    </row>
    <row r="359" spans="1:13" x14ac:dyDescent="0.2">
      <c r="A359" s="63"/>
      <c r="E359" s="63"/>
      <c r="M359" s="64"/>
    </row>
    <row r="360" spans="1:13" x14ac:dyDescent="0.2">
      <c r="A360" s="63"/>
      <c r="E360" s="63"/>
      <c r="M360" s="64"/>
    </row>
    <row r="361" spans="1:13" x14ac:dyDescent="0.2">
      <c r="A361" s="63"/>
      <c r="E361" s="63"/>
      <c r="M361" s="64"/>
    </row>
    <row r="362" spans="1:13" x14ac:dyDescent="0.2">
      <c r="A362" s="63"/>
      <c r="E362" s="63"/>
      <c r="M362" s="64"/>
    </row>
    <row r="363" spans="1:13" x14ac:dyDescent="0.2">
      <c r="A363" s="63"/>
      <c r="E363" s="63"/>
      <c r="M363" s="64"/>
    </row>
    <row r="364" spans="1:13" x14ac:dyDescent="0.2">
      <c r="A364" s="63"/>
      <c r="E364" s="63"/>
      <c r="M364" s="64"/>
    </row>
    <row r="365" spans="1:13" x14ac:dyDescent="0.2">
      <c r="A365" s="63"/>
      <c r="E365" s="63"/>
      <c r="M365" s="64"/>
    </row>
    <row r="366" spans="1:13" x14ac:dyDescent="0.2">
      <c r="A366" s="63"/>
      <c r="E366" s="63"/>
      <c r="M366" s="64"/>
    </row>
    <row r="367" spans="1:13" x14ac:dyDescent="0.2">
      <c r="A367" s="63"/>
      <c r="E367" s="63"/>
      <c r="M367" s="64"/>
    </row>
    <row r="368" spans="1:13" x14ac:dyDescent="0.2">
      <c r="A368" s="63"/>
      <c r="E368" s="63"/>
      <c r="M368" s="64"/>
    </row>
    <row r="369" spans="1:13" x14ac:dyDescent="0.2">
      <c r="A369" s="63"/>
      <c r="E369" s="63"/>
      <c r="M369" s="64"/>
    </row>
    <row r="370" spans="1:13" x14ac:dyDescent="0.2">
      <c r="A370" s="63"/>
      <c r="E370" s="63"/>
    </row>
    <row r="371" spans="1:13" x14ac:dyDescent="0.2">
      <c r="A371" s="63"/>
      <c r="E371" s="63"/>
    </row>
    <row r="372" spans="1:13" x14ac:dyDescent="0.2">
      <c r="A372" s="63"/>
      <c r="E372" s="63"/>
    </row>
    <row r="373" spans="1:13" x14ac:dyDescent="0.2">
      <c r="A373" s="63"/>
      <c r="E373" s="63"/>
    </row>
    <row r="374" spans="1:13" x14ac:dyDescent="0.2">
      <c r="A374" s="63"/>
      <c r="E374" s="63"/>
    </row>
    <row r="375" spans="1:13" x14ac:dyDescent="0.2">
      <c r="A375" s="63"/>
      <c r="E375" s="63"/>
    </row>
  </sheetData>
  <printOptions horizontalCentered="1"/>
  <pageMargins left="0.5" right="0.5" top="0.5" bottom="0.5" header="0.3" footer="0.3"/>
  <pageSetup scale="67" fitToHeight="4" orientation="portrait" blackAndWhite="1" r:id="rId1"/>
  <rowBreaks count="3" manualBreakCount="3">
    <brk id="82" max="11" man="1"/>
    <brk id="147" max="11" man="1"/>
    <brk id="216" max="11" man="1"/>
  </rowBreaks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0.85546875" bestFit="1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9.2851562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90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2047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1287</v>
      </c>
      <c r="E12" s="50"/>
      <c r="P12" s="18"/>
      <c r="Q12" s="18"/>
      <c r="R12" s="48"/>
    </row>
    <row r="13" spans="1:22" ht="15.95" customHeight="1" x14ac:dyDescent="0.2">
      <c r="A13" s="396" t="s">
        <v>1066</v>
      </c>
      <c r="B13" s="499">
        <f>IFERROR(VLOOKUP($A13,'PP DS Query'!$C$1:$R$1005,5,FALSE),0)</f>
        <v>2047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5595357.3799999999</v>
      </c>
      <c r="G13" s="523">
        <f>IFERROR(VLOOKUP($A13,'PP DS Query'!$C$1:$R$1005,7,FALSE),0)</f>
        <v>12.16708691</v>
      </c>
      <c r="H13" s="358">
        <f>IFERROR(VLOOKUP($A13,'PP DS Query'!$C$1:$R$1005,8,FALSE),0)</f>
        <v>68079199.540000007</v>
      </c>
      <c r="I13" s="523">
        <f>IFERROR(VLOOKUP($A13,'PP DS Query'!$C$1:$R$1005,9,FALSE),0)</f>
        <v>39.54</v>
      </c>
      <c r="J13" s="358">
        <f>IFERROR(VLOOKUP($A13,'PP DS Query'!$C$1:$R$1005,10,FALSE),0)</f>
        <v>221240430.81</v>
      </c>
      <c r="K13" s="523">
        <f>IFERROR(VLOOKUP($A13,'PP DS Query'!$C$1:$R$1005,11,FALSE),0)</f>
        <v>27.5</v>
      </c>
      <c r="L13" s="358">
        <f>IFERROR(VLOOKUP($A13,'PP DS Query'!$C$1:$R$1005,12,FALSE),0)</f>
        <v>153872327.94999999</v>
      </c>
      <c r="M13" s="19">
        <f>IFERROR(VLOOKUP($A13,'PP DS Query'!$C$1:$R$1005,13,FALSE),0)</f>
        <v>0.31052246</v>
      </c>
      <c r="N13" s="358">
        <f>IFERROR(VLOOKUP($A13,'PP DS Query'!$C$1:$R$1005,14,FALSE),0)</f>
        <v>1737484.12</v>
      </c>
      <c r="O13" s="56">
        <f>IFERROR(VLOOKUP($A13,'PP DS Query'!$C$1:$R$1005,4,FALSE),0)</f>
        <v>-0.02</v>
      </c>
      <c r="P13" s="358">
        <f>-IFERROR(VLOOKUP($A13,'PP DS Query'!$C$1:$R$1005,15,FALSE),0)</f>
        <v>111907.15</v>
      </c>
      <c r="Q13" s="358">
        <f>IFERROR(VLOOKUP($A13,'PP DS Query'!$C$1:$R$1005,16,FALSE),0)</f>
        <v>1622722.63</v>
      </c>
      <c r="R13" s="48"/>
      <c r="S13" s="472">
        <f>IFERROR(ROUND(LEFT(A13,7)*100,0),0)</f>
        <v>34185</v>
      </c>
      <c r="T13" s="472" t="s">
        <v>962</v>
      </c>
      <c r="U13" s="474">
        <f>IFERROR(VLOOKUP($S13,#REF!,6,FALSE),0)</f>
        <v>0</v>
      </c>
      <c r="V13" s="473">
        <f>U13-F13</f>
        <v>-5595357.3799999999</v>
      </c>
    </row>
    <row r="14" spans="1:22" ht="15.95" customHeight="1" x14ac:dyDescent="0.2">
      <c r="A14" s="396" t="s">
        <v>1067</v>
      </c>
      <c r="B14" s="499">
        <f>IFERROR(VLOOKUP($A14,'PP DS Query'!$C$1:$R$1005,5,FALSE),0)</f>
        <v>2047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151222.73000000001</v>
      </c>
      <c r="G14" s="523">
        <f>IFERROR(VLOOKUP($A14,'PP DS Query'!$C$1:$R$1005,7,FALSE),0)</f>
        <v>12.5</v>
      </c>
      <c r="H14" s="358">
        <f>IFERROR(VLOOKUP($A14,'PP DS Query'!$C$1:$R$1005,8,FALSE),0)</f>
        <v>1890284.13</v>
      </c>
      <c r="I14" s="523">
        <f>IFERROR(VLOOKUP($A14,'PP DS Query'!$C$1:$R$1005,9,FALSE),0)</f>
        <v>30</v>
      </c>
      <c r="J14" s="358">
        <f>IFERROR(VLOOKUP($A14,'PP DS Query'!$C$1:$R$1005,10,FALSE),0)</f>
        <v>4536681.9000000004</v>
      </c>
      <c r="K14" s="523">
        <f>IFERROR(VLOOKUP($A14,'PP DS Query'!$C$1:$R$1005,11,FALSE),0)</f>
        <v>17.456125</v>
      </c>
      <c r="L14" s="358">
        <f>IFERROR(VLOOKUP($A14,'PP DS Query'!$C$1:$R$1005,12,FALSE),0)</f>
        <v>2639762.88</v>
      </c>
      <c r="M14" s="19">
        <f>IFERROR(VLOOKUP($A14,'PP DS Query'!$C$1:$R$1005,13,FALSE),0)</f>
        <v>0.42649176999999999</v>
      </c>
      <c r="N14" s="358">
        <f>IFERROR(VLOOKUP($A14,'PP DS Query'!$C$1:$R$1005,14,FALSE),0)</f>
        <v>64495.25</v>
      </c>
      <c r="O14" s="56">
        <f>IFERROR(VLOOKUP($A14,'PP DS Query'!$C$1:$R$1005,4,FALSE),0)</f>
        <v>-0.02</v>
      </c>
      <c r="P14" s="358">
        <f>-IFERROR(VLOOKUP($A14,'PP DS Query'!$C$1:$R$1005,15,FALSE),0)</f>
        <v>3024.45</v>
      </c>
      <c r="Q14" s="358">
        <f>IFERROR(VLOOKUP($A14,'PP DS Query'!$C$1:$R$1005,16,FALSE),0)</f>
        <v>60235.31</v>
      </c>
      <c r="R14" s="48"/>
      <c r="S14" s="472">
        <f t="shared" ref="S14:S16" si="0">IFERROR(ROUND(LEFT(A14,7)*100,0),0)</f>
        <v>34185</v>
      </c>
      <c r="T14" s="472" t="s">
        <v>963</v>
      </c>
      <c r="U14" s="474">
        <f>IFERROR(VLOOKUP($S14,#REF!,7,FALSE),0)</f>
        <v>0</v>
      </c>
      <c r="V14" s="473">
        <f t="shared" ref="V14:V16" si="1">U14-F14</f>
        <v>-151222.73000000001</v>
      </c>
    </row>
    <row r="15" spans="1:22" ht="15.95" customHeight="1" x14ac:dyDescent="0.2">
      <c r="A15" s="396" t="s">
        <v>1073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523">
        <f>IFERROR(VLOOKUP($A15,'PP DS Query'!$C$1:$R$1005,7,FALSE),0)</f>
        <v>0</v>
      </c>
      <c r="H15" s="358">
        <f>IFERROR(VLOOKUP($A15,'PP DS Query'!$C$1:$R$1005,8,FALSE),0)</f>
        <v>0</v>
      </c>
      <c r="I15" s="523">
        <f>IFERROR(VLOOKUP($A15,'PP DS Query'!$C$1:$R$1005,9,FALSE),0)</f>
        <v>0</v>
      </c>
      <c r="J15" s="358">
        <f>IFERROR(VLOOKUP($A15,'PP DS Query'!$C$1:$R$1005,10,FALSE),0)</f>
        <v>0</v>
      </c>
      <c r="K15" s="523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34185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1074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34185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642</v>
      </c>
      <c r="B17" s="499">
        <f>IFERROR(VLOOKUP($A17,'PP DS Query'!$C$1:$R$1005,5,FALSE),0)</f>
        <v>2047</v>
      </c>
      <c r="C17" s="33"/>
      <c r="D17" s="34"/>
      <c r="E17" s="15"/>
      <c r="F17" s="443">
        <f>IFERROR(VLOOKUP($A17,'PP DS Query'!$C$1:$R$1005,6,FALSE),0)</f>
        <v>5746580.1100000003</v>
      </c>
      <c r="G17" s="525">
        <f>IFERROR(VLOOKUP($A17,'PP DS Query'!$C$1:$R$1005,7,FALSE),0)</f>
        <v>12.175847600000001</v>
      </c>
      <c r="H17" s="443">
        <f>IFERROR(VLOOKUP($A17,'PP DS Query'!$C$1:$R$1005,8,FALSE),0)</f>
        <v>69969483.670000002</v>
      </c>
      <c r="I17" s="525">
        <f>IFERROR(VLOOKUP($A17,'PP DS Query'!$C$1:$R$1005,9,FALSE),0)</f>
        <v>39.288952449999996</v>
      </c>
      <c r="J17" s="443">
        <f>IFERROR(VLOOKUP($A17,'PP DS Query'!$C$1:$R$1005,10,FALSE),0)</f>
        <v>225777112.71000001</v>
      </c>
      <c r="K17" s="525">
        <f>IFERROR(VLOOKUP($A17,'PP DS Query'!$C$1:$R$1005,11,FALSE),0)</f>
        <v>27.23569285</v>
      </c>
      <c r="L17" s="443">
        <f>IFERROR(VLOOKUP($A17,'PP DS Query'!$C$1:$R$1005,12,FALSE),0)</f>
        <v>156512090.83000001</v>
      </c>
      <c r="M17" s="445">
        <f>IFERROR(VLOOKUP($A17,'PP DS Query'!$C$1:$R$1005,13,FALSE),0)</f>
        <v>0.31357422000000001</v>
      </c>
      <c r="N17" s="443">
        <f>IFERROR(VLOOKUP($A17,'PP DS Query'!$C$1:$R$1005,14,FALSE),0)</f>
        <v>1801979.37</v>
      </c>
      <c r="O17" s="446">
        <f>IFERROR(VLOOKUP($A17,'PP DS Query'!$C$1:$R$1005,4,FALSE),0)</f>
        <v>-0.02</v>
      </c>
      <c r="P17" s="443">
        <f>-IFERROR(VLOOKUP($A17,'PP DS Query'!$C$1:$R$1005,15,FALSE),0)</f>
        <v>114931.6</v>
      </c>
      <c r="Q17" s="443">
        <f>IFERROR(VLOOKUP($A17,'PP DS Query'!$C$1:$R$1005,16,FALSE),0)</f>
        <v>1682957.94</v>
      </c>
      <c r="R17" s="48"/>
      <c r="U17" s="473">
        <f>SUM(U13:U16)</f>
        <v>0</v>
      </c>
      <c r="V17" s="473">
        <f>SUM(V13:V16)</f>
        <v>-5746580.1100000003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1288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663</v>
      </c>
      <c r="B20" s="499">
        <f>IFERROR(VLOOKUP($A20,'PP DS Query'!$C$1:$R$1005,5,FALSE),0)</f>
        <v>2047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1376668.38</v>
      </c>
      <c r="G20" s="523">
        <f>IFERROR(VLOOKUP($A20,'PP DS Query'!$C$1:$R$1005,7,FALSE),0)</f>
        <v>12.34799102</v>
      </c>
      <c r="H20" s="358">
        <f>IFERROR(VLOOKUP($A20,'PP DS Query'!$C$1:$R$1005,8,FALSE),0)</f>
        <v>16999088.789999999</v>
      </c>
      <c r="I20" s="523">
        <f>IFERROR(VLOOKUP($A20,'PP DS Query'!$C$1:$R$1005,9,FALSE),0)</f>
        <v>39.78</v>
      </c>
      <c r="J20" s="358">
        <f>IFERROR(VLOOKUP($A20,'PP DS Query'!$C$1:$R$1005,10,FALSE),0)</f>
        <v>54763868.159999996</v>
      </c>
      <c r="K20" s="523">
        <f>IFERROR(VLOOKUP($A20,'PP DS Query'!$C$1:$R$1005,11,FALSE),0)</f>
        <v>27.5</v>
      </c>
      <c r="L20" s="358">
        <f>IFERROR(VLOOKUP($A20,'PP DS Query'!$C$1:$R$1005,12,FALSE),0)</f>
        <v>37858380.450000003</v>
      </c>
      <c r="M20" s="19">
        <f>IFERROR(VLOOKUP($A20,'PP DS Query'!$C$1:$R$1005,13,FALSE),0)</f>
        <v>0.32420601999999998</v>
      </c>
      <c r="N20" s="358">
        <f>IFERROR(VLOOKUP($A20,'PP DS Query'!$C$1:$R$1005,14,FALSE),0)</f>
        <v>446324.17</v>
      </c>
      <c r="O20" s="56">
        <f>IFERROR(VLOOKUP($A20,'PP DS Query'!$C$1:$R$1005,4,FALSE),0)</f>
        <v>-0.05</v>
      </c>
      <c r="P20" s="358">
        <f>-IFERROR(VLOOKUP($A20,'PP DS Query'!$C$1:$R$1005,15,FALSE),0)</f>
        <v>68833.42</v>
      </c>
      <c r="Q20" s="358">
        <f>IFERROR(VLOOKUP($A20,'PP DS Query'!$C$1:$R$1005,16,FALSE),0)</f>
        <v>311344.49</v>
      </c>
      <c r="R20" s="48"/>
      <c r="S20" s="472">
        <f>IFERROR(ROUND(LEFT(A20,7)*100,0),0)</f>
        <v>34285</v>
      </c>
      <c r="T20" s="472" t="s">
        <v>962</v>
      </c>
      <c r="U20" s="474">
        <f>IFERROR(VLOOKUP($S20,#REF!,6,FALSE),0)</f>
        <v>0</v>
      </c>
      <c r="V20" s="473">
        <f>U20-F20</f>
        <v>-1376668.38</v>
      </c>
    </row>
    <row r="21" spans="1:22" ht="15.95" customHeight="1" x14ac:dyDescent="0.2">
      <c r="A21" s="49" t="s">
        <v>664</v>
      </c>
      <c r="B21" s="499">
        <f>IFERROR(VLOOKUP($A21,'PP DS Query'!$C$1:$R$1005,5,FALSE),0)</f>
        <v>0</v>
      </c>
      <c r="C21" s="33">
        <f>IFERROR(VLOOKUP($A21,'PP DS Query'!$C$1:$R$1005,3,FALSE),0)</f>
        <v>0</v>
      </c>
      <c r="D21" s="34" t="s">
        <v>22</v>
      </c>
      <c r="E21" s="360">
        <f>IFERROR(VLOOKUP($A21,'PP DS Query'!$C$1:$R$1005,2,FALSE),0)</f>
        <v>0</v>
      </c>
      <c r="F21" s="358">
        <f>IFERROR(VLOOKUP($A21,'PP DS Query'!$C$1:$R$1005,6,FALSE),0)</f>
        <v>0</v>
      </c>
      <c r="G21" s="523">
        <f>IFERROR(VLOOKUP($A21,'PP DS Query'!$C$1:$R$1005,7,FALSE),0)</f>
        <v>0</v>
      </c>
      <c r="H21" s="358">
        <f>IFERROR(VLOOKUP($A21,'PP DS Query'!$C$1:$R$1005,8,FALSE),0)</f>
        <v>0</v>
      </c>
      <c r="I21" s="523">
        <f>IFERROR(VLOOKUP($A21,'PP DS Query'!$C$1:$R$1005,9,FALSE),0)</f>
        <v>0</v>
      </c>
      <c r="J21" s="358">
        <f>IFERROR(VLOOKUP($A21,'PP DS Query'!$C$1:$R$1005,10,FALSE),0)</f>
        <v>0</v>
      </c>
      <c r="K21" s="523">
        <f>IFERROR(VLOOKUP($A21,'PP DS Query'!$C$1:$R$1005,11,FALSE),0)</f>
        <v>0</v>
      </c>
      <c r="L21" s="358">
        <f>IFERROR(VLOOKUP($A21,'PP DS Query'!$C$1:$R$1005,12,FALSE),0)</f>
        <v>0</v>
      </c>
      <c r="M21" s="19">
        <f>IFERROR(VLOOKUP($A21,'PP DS Query'!$C$1:$R$1005,13,FALSE),0)</f>
        <v>0</v>
      </c>
      <c r="N21" s="358">
        <f>IFERROR(VLOOKUP($A21,'PP DS Query'!$C$1:$R$1005,14,FALSE),0)</f>
        <v>0</v>
      </c>
      <c r="O21" s="56">
        <f>IFERROR(VLOOKUP($A21,'PP DS Query'!$C$1:$R$1005,4,FALSE),0)</f>
        <v>0</v>
      </c>
      <c r="P21" s="358">
        <f>-IFERROR(VLOOKUP($A21,'PP DS Query'!$C$1:$R$1005,15,FALSE),0)</f>
        <v>0</v>
      </c>
      <c r="Q21" s="358">
        <f>IFERROR(VLOOKUP($A21,'PP DS Query'!$C$1:$R$1005,16,FALSE),0)</f>
        <v>0</v>
      </c>
      <c r="R21" s="48"/>
      <c r="S21" s="472">
        <f t="shared" ref="S21:S23" si="2">IFERROR(ROUND(LEFT(A21,7)*100,0),0)</f>
        <v>34285</v>
      </c>
      <c r="T21" s="472" t="s">
        <v>963</v>
      </c>
      <c r="U21" s="474">
        <f>IFERROR(VLOOKUP($S21,#REF!,7,FALSE),0)</f>
        <v>0</v>
      </c>
      <c r="V21" s="473">
        <f>U21-F21</f>
        <v>0</v>
      </c>
    </row>
    <row r="22" spans="1:22" s="40" customFormat="1" ht="15.95" customHeight="1" x14ac:dyDescent="0.2">
      <c r="A22" s="60" t="s">
        <v>665</v>
      </c>
      <c r="B22" s="499">
        <f>IFERROR(VLOOKUP($A22,'PP DS Query'!$C$1:$R$1005,5,FALSE),0)</f>
        <v>2047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S4</v>
      </c>
      <c r="F22" s="358">
        <f>IFERROR(VLOOKUP($A22,'PP DS Query'!$C$1:$R$1005,6,FALSE),0)</f>
        <v>823381.24</v>
      </c>
      <c r="G22" s="523">
        <f>IFERROR(VLOOKUP($A22,'PP DS Query'!$C$1:$R$1005,7,FALSE),0)</f>
        <v>9.2359193699999995</v>
      </c>
      <c r="H22" s="358">
        <f>IFERROR(VLOOKUP($A22,'PP DS Query'!$C$1:$R$1005,8,FALSE),0)</f>
        <v>7604682.7400000002</v>
      </c>
      <c r="I22" s="523">
        <f>IFERROR(VLOOKUP($A22,'PP DS Query'!$C$1:$R$1005,9,FALSE),0)</f>
        <v>20</v>
      </c>
      <c r="J22" s="358">
        <f>IFERROR(VLOOKUP($A22,'PP DS Query'!$C$1:$R$1005,10,FALSE),0)</f>
        <v>16467624.800000001</v>
      </c>
      <c r="K22" s="523">
        <f>IFERROR(VLOOKUP($A22,'PP DS Query'!$C$1:$R$1005,11,FALSE),0)</f>
        <v>10.834172000000001</v>
      </c>
      <c r="L22" s="358">
        <f>IFERROR(VLOOKUP($A22,'PP DS Query'!$C$1:$R$1005,12,FALSE),0)</f>
        <v>8920653.9800000004</v>
      </c>
      <c r="M22" s="19">
        <f>IFERROR(VLOOKUP($A22,'PP DS Query'!$C$1:$R$1005,13,FALSE),0)</f>
        <v>0.48120594999999999</v>
      </c>
      <c r="N22" s="358">
        <f>IFERROR(VLOOKUP($A22,'PP DS Query'!$C$1:$R$1005,14,FALSE),0)</f>
        <v>396215.95</v>
      </c>
      <c r="O22" s="56">
        <f>IFERROR(VLOOKUP($A22,'PP DS Query'!$C$1:$R$1005,4,FALSE),0)</f>
        <v>-0.05</v>
      </c>
      <c r="P22" s="358">
        <f>-IFERROR(VLOOKUP($A22,'PP DS Query'!$C$1:$R$1005,15,FALSE),0)</f>
        <v>41169.06</v>
      </c>
      <c r="Q22" s="358">
        <f>IFERROR(VLOOKUP($A22,'PP DS Query'!$C$1:$R$1005,16,FALSE),0)</f>
        <v>276390.27</v>
      </c>
      <c r="R22" s="48"/>
      <c r="S22" s="472">
        <f t="shared" si="2"/>
        <v>34285</v>
      </c>
      <c r="T22" s="472" t="s">
        <v>964</v>
      </c>
      <c r="U22" s="474">
        <f>IFERROR(VLOOKUP($S22,#REF!,8,FALSE),0)</f>
        <v>0</v>
      </c>
      <c r="V22" s="473">
        <f t="shared" ref="V22:V23" si="3">U22-F22</f>
        <v>-823381.24</v>
      </c>
    </row>
    <row r="23" spans="1:22" ht="15.95" customHeight="1" thickBot="1" x14ac:dyDescent="0.25">
      <c r="A23" s="398" t="s">
        <v>888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34285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666</v>
      </c>
      <c r="B24" s="499">
        <f>IFERROR(VLOOKUP($A24,'PP DS Query'!$C$1:$R$1005,5,FALSE),0)</f>
        <v>2047</v>
      </c>
      <c r="C24" s="33"/>
      <c r="D24" s="34"/>
      <c r="E24" s="15"/>
      <c r="F24" s="443">
        <f>IFERROR(VLOOKUP($A24,'PP DS Query'!$C$1:$R$1005,6,FALSE),0)</f>
        <v>2200049.62</v>
      </c>
      <c r="G24" s="525">
        <f>IFERROR(VLOOKUP($A24,'PP DS Query'!$C$1:$R$1005,7,FALSE),0)</f>
        <v>11.183280279832962</v>
      </c>
      <c r="H24" s="443">
        <f>IFERROR(VLOOKUP($A24,'PP DS Query'!$C$1:$R$1005,8,FALSE),0)</f>
        <v>24603771.530000001</v>
      </c>
      <c r="I24" s="525">
        <f>IFERROR(VLOOKUP($A24,'PP DS Query'!$C$1:$R$1005,9,FALSE),0)</f>
        <v>32.377221091949728</v>
      </c>
      <c r="J24" s="443">
        <f>IFERROR(VLOOKUP($A24,'PP DS Query'!$C$1:$R$1005,10,FALSE),0)</f>
        <v>71231492.959999993</v>
      </c>
      <c r="K24" s="525">
        <f>IFERROR(VLOOKUP($A24,'PP DS Query'!$C$1:$R$1005,11,FALSE),0)</f>
        <v>21.262717897244521</v>
      </c>
      <c r="L24" s="443">
        <f>IFERROR(VLOOKUP($A24,'PP DS Query'!$C$1:$R$1005,12,FALSE),0)</f>
        <v>46779034.430000007</v>
      </c>
      <c r="M24" s="445">
        <f>IFERROR(VLOOKUP($A24,'PP DS Query'!$C$1:$R$1005,13,FALSE),0)</f>
        <v>0.38296414423598318</v>
      </c>
      <c r="N24" s="443">
        <f>IFERROR(VLOOKUP($A24,'PP DS Query'!$C$1:$R$1005,14,FALSE),0)</f>
        <v>842540.12</v>
      </c>
      <c r="O24" s="446">
        <f>IFERROR(VLOOKUP($A24,'PP DS Query'!$C$1:$R$1005,4,FALSE),0)</f>
        <v>-0.05</v>
      </c>
      <c r="P24" s="443">
        <f>-IFERROR(VLOOKUP($A24,'PP DS Query'!$C$1:$R$1005,15,FALSE),0)</f>
        <v>110002.48</v>
      </c>
      <c r="Q24" s="443">
        <f>IFERROR(VLOOKUP($A24,'PP DS Query'!$C$1:$R$1005,16,FALSE),0)</f>
        <v>587734.76</v>
      </c>
      <c r="R24" s="48"/>
      <c r="U24" s="473">
        <f>SUM(U20:U23)</f>
        <v>0</v>
      </c>
      <c r="V24" s="473">
        <f>SUM(V20:V23)</f>
        <v>-2200049.62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1289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689</v>
      </c>
      <c r="B27" s="499">
        <f>IFERROR(VLOOKUP($A27,'PP DS Query'!$C$1:$R$1005,5,FALSE),0)</f>
        <v>2047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3745635.27</v>
      </c>
      <c r="G27" s="523">
        <f>IFERROR(VLOOKUP($A27,'PP DS Query'!$C$1:$R$1005,7,FALSE),0)</f>
        <v>12.5</v>
      </c>
      <c r="H27" s="358">
        <f>IFERROR(VLOOKUP($A27,'PP DS Query'!$C$1:$R$1005,8,FALSE),0)</f>
        <v>46820440.880000003</v>
      </c>
      <c r="I27" s="523">
        <f>IFERROR(VLOOKUP($A27,'PP DS Query'!$C$1:$R$1005,9,FALSE),0)</f>
        <v>40</v>
      </c>
      <c r="J27" s="358">
        <f>IFERROR(VLOOKUP($A27,'PP DS Query'!$C$1:$R$1005,10,FALSE),0)</f>
        <v>149825410.80000001</v>
      </c>
      <c r="K27" s="523">
        <f>IFERROR(VLOOKUP($A27,'PP DS Query'!$C$1:$R$1005,11,FALSE),0)</f>
        <v>27.5</v>
      </c>
      <c r="L27" s="358">
        <f>IFERROR(VLOOKUP($A27,'PP DS Query'!$C$1:$R$1005,12,FALSE),0)</f>
        <v>103004969.93000001</v>
      </c>
      <c r="M27" s="19">
        <f>IFERROR(VLOOKUP($A27,'PP DS Query'!$C$1:$R$1005,13,FALSE),0)</f>
        <v>0.33437499999999998</v>
      </c>
      <c r="N27" s="358">
        <f>IFERROR(VLOOKUP($A27,'PP DS Query'!$C$1:$R$1005,14,FALSE),0)</f>
        <v>1252446.79</v>
      </c>
      <c r="O27" s="56">
        <f>IFERROR(VLOOKUP($A27,'PP DS Query'!$C$1:$R$1005,4,FALSE),0)</f>
        <v>-7.0000000000000007E-2</v>
      </c>
      <c r="P27" s="358">
        <f>-IFERROR(VLOOKUP($A27,'PP DS Query'!$C$1:$R$1005,15,FALSE),0)</f>
        <v>262194.46999999997</v>
      </c>
      <c r="Q27" s="358">
        <f>IFERROR(VLOOKUP($A27,'PP DS Query'!$C$1:$R$1005,16,FALSE),0)</f>
        <v>314058.33</v>
      </c>
      <c r="R27" s="48"/>
      <c r="S27" s="472">
        <f>IFERROR(ROUND(LEFT(A27,7)*100,0),0)</f>
        <v>34385</v>
      </c>
      <c r="T27" s="472" t="s">
        <v>962</v>
      </c>
      <c r="U27" s="474">
        <f>IFERROR(VLOOKUP($S27,#REF!,6,FALSE),0)</f>
        <v>0</v>
      </c>
      <c r="V27" s="473">
        <f>U27-F27</f>
        <v>-3745635.27</v>
      </c>
    </row>
    <row r="28" spans="1:22" ht="15.95" customHeight="1" x14ac:dyDescent="0.2">
      <c r="A28" s="49" t="s">
        <v>690</v>
      </c>
      <c r="B28" s="499">
        <f>IFERROR(VLOOKUP($A28,'PP DS Query'!$C$1:$R$1005,5,FALSE),0)</f>
        <v>2047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14933841.109999999</v>
      </c>
      <c r="G28" s="523">
        <f>IFERROR(VLOOKUP($A28,'PP DS Query'!$C$1:$R$1005,7,FALSE),0)</f>
        <v>11.62083906</v>
      </c>
      <c r="H28" s="358">
        <f>IFERROR(VLOOKUP($A28,'PP DS Query'!$C$1:$R$1005,8,FALSE),0)</f>
        <v>173543764.08000001</v>
      </c>
      <c r="I28" s="523">
        <f>IFERROR(VLOOKUP($A28,'PP DS Query'!$C$1:$R$1005,9,FALSE),0)</f>
        <v>29.96</v>
      </c>
      <c r="J28" s="358">
        <f>IFERROR(VLOOKUP($A28,'PP DS Query'!$C$1:$R$1005,10,FALSE),0)</f>
        <v>447417879.66000003</v>
      </c>
      <c r="K28" s="523">
        <f>IFERROR(VLOOKUP($A28,'PP DS Query'!$C$1:$R$1005,11,FALSE),0)</f>
        <v>18.253336999999998</v>
      </c>
      <c r="L28" s="358">
        <f>IFERROR(VLOOKUP($A28,'PP DS Query'!$C$1:$R$1005,12,FALSE),0)</f>
        <v>272592434.49000001</v>
      </c>
      <c r="M28" s="19">
        <f>IFERROR(VLOOKUP($A28,'PP DS Query'!$C$1:$R$1005,13,FALSE),0)</f>
        <v>0.41799027999999999</v>
      </c>
      <c r="N28" s="358">
        <f>IFERROR(VLOOKUP($A28,'PP DS Query'!$C$1:$R$1005,14,FALSE),0)</f>
        <v>6242200.4400000004</v>
      </c>
      <c r="O28" s="56">
        <f>IFERROR(VLOOKUP($A28,'PP DS Query'!$C$1:$R$1005,4,FALSE),0)</f>
        <v>-7.0000000000000007E-2</v>
      </c>
      <c r="P28" s="358">
        <f>-IFERROR(VLOOKUP($A28,'PP DS Query'!$C$1:$R$1005,15,FALSE),0)</f>
        <v>1045368.88</v>
      </c>
      <c r="Q28" s="358">
        <f>IFERROR(VLOOKUP($A28,'PP DS Query'!$C$1:$R$1005,16,FALSE),0)</f>
        <v>1565268.15</v>
      </c>
      <c r="R28" s="48"/>
      <c r="S28" s="472">
        <f t="shared" ref="S28:S30" si="4">IFERROR(ROUND(LEFT(A28,7)*100,0),0)</f>
        <v>34385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-14933841.109999999</v>
      </c>
    </row>
    <row r="29" spans="1:22" s="40" customFormat="1" ht="15.95" customHeight="1" x14ac:dyDescent="0.2">
      <c r="A29" s="60" t="s">
        <v>691</v>
      </c>
      <c r="B29" s="499">
        <f>IFERROR(VLOOKUP($A29,'PP DS Query'!$C$1:$R$1005,5,FALSE),0)</f>
        <v>2047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995303.71</v>
      </c>
      <c r="G29" s="523">
        <f>IFERROR(VLOOKUP($A29,'PP DS Query'!$C$1:$R$1005,7,FALSE),0)</f>
        <v>12.5</v>
      </c>
      <c r="H29" s="358">
        <f>IFERROR(VLOOKUP($A29,'PP DS Query'!$C$1:$R$1005,8,FALSE),0)</f>
        <v>12441296.380000001</v>
      </c>
      <c r="I29" s="523">
        <f>IFERROR(VLOOKUP($A29,'PP DS Query'!$C$1:$R$1005,9,FALSE),0)</f>
        <v>20</v>
      </c>
      <c r="J29" s="358">
        <f>IFERROR(VLOOKUP($A29,'PP DS Query'!$C$1:$R$1005,10,FALSE),0)</f>
        <v>19906074.199999999</v>
      </c>
      <c r="K29" s="523">
        <f>IFERROR(VLOOKUP($A29,'PP DS Query'!$C$1:$R$1005,11,FALSE),0)</f>
        <v>8.1383229999999998</v>
      </c>
      <c r="L29" s="358">
        <f>IFERROR(VLOOKUP($A29,'PP DS Query'!$C$1:$R$1005,12,FALSE),0)</f>
        <v>8100103.0800000001</v>
      </c>
      <c r="M29" s="19">
        <f>IFERROR(VLOOKUP($A29,'PP DS Query'!$C$1:$R$1005,13,FALSE),0)</f>
        <v>0.63459973000000003</v>
      </c>
      <c r="N29" s="358">
        <f>IFERROR(VLOOKUP($A29,'PP DS Query'!$C$1:$R$1005,14,FALSE),0)</f>
        <v>631619.47</v>
      </c>
      <c r="O29" s="56">
        <f>IFERROR(VLOOKUP($A29,'PP DS Query'!$C$1:$R$1005,4,FALSE),0)</f>
        <v>-7.0000000000000007E-2</v>
      </c>
      <c r="P29" s="358">
        <f>-IFERROR(VLOOKUP($A29,'PP DS Query'!$C$1:$R$1005,15,FALSE),0)</f>
        <v>69671.259999999995</v>
      </c>
      <c r="Q29" s="358">
        <f>IFERROR(VLOOKUP($A29,'PP DS Query'!$C$1:$R$1005,16,FALSE),0)</f>
        <v>158382.26999999999</v>
      </c>
      <c r="R29" s="48"/>
      <c r="S29" s="472">
        <f t="shared" si="4"/>
        <v>34385</v>
      </c>
      <c r="T29" s="472" t="s">
        <v>964</v>
      </c>
      <c r="U29" s="474">
        <f>IFERROR(VLOOKUP($S29,#REF!,8,FALSE),0)</f>
        <v>0</v>
      </c>
      <c r="V29" s="473">
        <f t="shared" si="5"/>
        <v>-995303.71</v>
      </c>
    </row>
    <row r="30" spans="1:22" ht="15.95" customHeight="1" thickBot="1" x14ac:dyDescent="0.25">
      <c r="A30" s="398" t="s">
        <v>889</v>
      </c>
      <c r="B30" s="499">
        <f>IFERROR(VLOOKUP($A30,'PP DS Query'!$C$1:$R$1005,5,FALSE),0)</f>
        <v>2047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424861.6</v>
      </c>
      <c r="G30" s="524">
        <f>IFERROR(VLOOKUP($A30,'PP DS Query'!$C$1:$R$1005,7,FALSE),0)</f>
        <v>3.5</v>
      </c>
      <c r="H30" s="250">
        <f>IFERROR(VLOOKUP($A30,'PP DS Query'!$C$1:$R$1005,8,FALSE),0)</f>
        <v>1487015.6</v>
      </c>
      <c r="I30" s="524">
        <f>IFERROR(VLOOKUP($A30,'PP DS Query'!$C$1:$R$1005,9,FALSE),0)</f>
        <v>12</v>
      </c>
      <c r="J30" s="250">
        <f>IFERROR(VLOOKUP($A30,'PP DS Query'!$C$1:$R$1005,10,FALSE),0)</f>
        <v>5098339.2</v>
      </c>
      <c r="K30" s="524">
        <f>IFERROR(VLOOKUP($A30,'PP DS Query'!$C$1:$R$1005,11,FALSE),0)</f>
        <v>8.5</v>
      </c>
      <c r="L30" s="250">
        <f>IFERROR(VLOOKUP($A30,'PP DS Query'!$C$1:$R$1005,12,FALSE),0)</f>
        <v>3611323.6</v>
      </c>
      <c r="M30" s="21">
        <f>IFERROR(VLOOKUP($A30,'PP DS Query'!$C$1:$R$1005,13,FALSE),0)</f>
        <v>0.31208332</v>
      </c>
      <c r="N30" s="250">
        <f>IFERROR(VLOOKUP($A30,'PP DS Query'!$C$1:$R$1005,14,FALSE),0)</f>
        <v>132592.22</v>
      </c>
      <c r="O30" s="57">
        <f>IFERROR(VLOOKUP($A30,'PP DS Query'!$C$1:$R$1005,4,FALSE),0)</f>
        <v>-7.0000000000000007E-2</v>
      </c>
      <c r="P30" s="250">
        <f>-IFERROR(VLOOKUP($A30,'PP DS Query'!$C$1:$R$1005,15,FALSE),0)</f>
        <v>29740.31</v>
      </c>
      <c r="Q30" s="250">
        <f>IFERROR(VLOOKUP($A30,'PP DS Query'!$C$1:$R$1005,16,FALSE),0)</f>
        <v>33248.269999999997</v>
      </c>
      <c r="R30" s="48"/>
      <c r="S30" s="472">
        <f t="shared" si="4"/>
        <v>34385</v>
      </c>
      <c r="T30" s="472" t="s">
        <v>961</v>
      </c>
      <c r="U30" s="475">
        <f>IFERROR(VLOOKUP($S30,#REF!,9,FALSE),0)</f>
        <v>0</v>
      </c>
      <c r="V30" s="476">
        <f t="shared" si="5"/>
        <v>-424861.6</v>
      </c>
    </row>
    <row r="31" spans="1:22" ht="15.95" customHeight="1" x14ac:dyDescent="0.2">
      <c r="A31" s="49" t="s">
        <v>692</v>
      </c>
      <c r="B31" s="499">
        <f>IFERROR(VLOOKUP($A31,'PP DS Query'!$C$1:$R$1005,5,FALSE),0)</f>
        <v>2047</v>
      </c>
      <c r="C31" s="33"/>
      <c r="D31" s="34"/>
      <c r="E31" s="15"/>
      <c r="F31" s="443">
        <f>IFERROR(VLOOKUP($A31,'PP DS Query'!$C$1:$R$1005,6,FALSE),0)</f>
        <v>20099641.690000001</v>
      </c>
      <c r="G31" s="525">
        <f>IFERROR(VLOOKUP($A31,'PP DS Query'!$C$1:$R$1005,7,FALSE),0)</f>
        <v>11.65655192</v>
      </c>
      <c r="H31" s="443">
        <f>IFERROR(VLOOKUP($A31,'PP DS Query'!$C$1:$R$1005,8,FALSE),0)</f>
        <v>234292516.93000001</v>
      </c>
      <c r="I31" s="525">
        <f>IFERROR(VLOOKUP($A31,'PP DS Query'!$C$1:$R$1005,9,FALSE),0)</f>
        <v>30.958149079999998</v>
      </c>
      <c r="J31" s="443">
        <f>IFERROR(VLOOKUP($A31,'PP DS Query'!$C$1:$R$1005,10,FALSE),0)</f>
        <v>622247703.86000001</v>
      </c>
      <c r="K31" s="525">
        <f>IFERROR(VLOOKUP($A31,'PP DS Query'!$C$1:$R$1005,11,FALSE),0)</f>
        <v>19.26943958</v>
      </c>
      <c r="L31" s="443">
        <f>IFERROR(VLOOKUP($A31,'PP DS Query'!$C$1:$R$1005,12,FALSE),0)</f>
        <v>387308831.08999997</v>
      </c>
      <c r="M31" s="445">
        <f>IFERROR(VLOOKUP($A31,'PP DS Query'!$C$1:$R$1005,13,FALSE),0)</f>
        <v>0.41089583000000002</v>
      </c>
      <c r="N31" s="443">
        <f>IFERROR(VLOOKUP($A31,'PP DS Query'!$C$1:$R$1005,14,FALSE),0)</f>
        <v>8258858.9199999999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1406974.92</v>
      </c>
      <c r="Q31" s="443">
        <f>IFERROR(VLOOKUP($A31,'PP DS Query'!$C$1:$R$1005,16,FALSE),0)</f>
        <v>2070957.02</v>
      </c>
      <c r="R31" s="48"/>
      <c r="U31" s="473">
        <f>SUM(U27:U30)</f>
        <v>0</v>
      </c>
      <c r="V31" s="473">
        <f>SUM(V27:V30)</f>
        <v>-20099641.690000001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1290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713</v>
      </c>
      <c r="B34" s="499">
        <f>IFERROR(VLOOKUP($A34,'PP DS Query'!$C$1:$R$1005,5,FALSE),0)</f>
        <v>2047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2863099.86</v>
      </c>
      <c r="G34" s="523">
        <f>IFERROR(VLOOKUP($A34,'PP DS Query'!$C$1:$R$1005,7,FALSE),0)</f>
        <v>12.5</v>
      </c>
      <c r="H34" s="358">
        <f>IFERROR(VLOOKUP($A34,'PP DS Query'!$C$1:$R$1005,8,FALSE),0)</f>
        <v>35788748.25</v>
      </c>
      <c r="I34" s="523">
        <f>IFERROR(VLOOKUP($A34,'PP DS Query'!$C$1:$R$1005,9,FALSE),0)</f>
        <v>40</v>
      </c>
      <c r="J34" s="358">
        <f>IFERROR(VLOOKUP($A34,'PP DS Query'!$C$1:$R$1005,10,FALSE),0)</f>
        <v>114523994.40000001</v>
      </c>
      <c r="K34" s="523">
        <f>IFERROR(VLOOKUP($A34,'PP DS Query'!$C$1:$R$1005,11,FALSE),0)</f>
        <v>27.5</v>
      </c>
      <c r="L34" s="358">
        <f>IFERROR(VLOOKUP($A34,'PP DS Query'!$C$1:$R$1005,12,FALSE),0)</f>
        <v>78735246.150000006</v>
      </c>
      <c r="M34" s="19">
        <f>IFERROR(VLOOKUP($A34,'PP DS Query'!$C$1:$R$1005,13,FALSE),0)</f>
        <v>0.328125</v>
      </c>
      <c r="N34" s="358">
        <f>IFERROR(VLOOKUP($A34,'PP DS Query'!$C$1:$R$1005,14,FALSE),0)</f>
        <v>939454.64</v>
      </c>
      <c r="O34" s="56">
        <f>IFERROR(VLOOKUP($A34,'PP DS Query'!$C$1:$R$1005,4,FALSE),0)</f>
        <v>-0.05</v>
      </c>
      <c r="P34" s="358">
        <f>-IFERROR(VLOOKUP($A34,'PP DS Query'!$C$1:$R$1005,15,FALSE),0)</f>
        <v>143154.99</v>
      </c>
      <c r="Q34" s="358">
        <f>IFERROR(VLOOKUP($A34,'PP DS Query'!$C$1:$R$1005,16,FALSE),0)</f>
        <v>1157820</v>
      </c>
      <c r="R34" s="48"/>
      <c r="S34" s="472">
        <f>IFERROR(ROUND(LEFT(A34,7)*100,0),0)</f>
        <v>34585</v>
      </c>
      <c r="T34" s="472" t="s">
        <v>962</v>
      </c>
      <c r="U34" s="474">
        <f>IFERROR(VLOOKUP($S34,#REF!,6,FALSE),0)</f>
        <v>0</v>
      </c>
      <c r="V34" s="473">
        <f>U34-F34</f>
        <v>-2863099.86</v>
      </c>
    </row>
    <row r="35" spans="1:22" ht="15.95" customHeight="1" x14ac:dyDescent="0.2">
      <c r="A35" s="49" t="s">
        <v>714</v>
      </c>
      <c r="B35" s="499">
        <f>IFERROR(VLOOKUP($A35,'PP DS Query'!$C$1:$R$1005,5,FALSE),0)</f>
        <v>2047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2375361.9300000002</v>
      </c>
      <c r="G35" s="523">
        <f>IFERROR(VLOOKUP($A35,'PP DS Query'!$C$1:$R$1005,7,FALSE),0)</f>
        <v>12.24039514</v>
      </c>
      <c r="H35" s="358">
        <f>IFERROR(VLOOKUP($A35,'PP DS Query'!$C$1:$R$1005,8,FALSE),0)</f>
        <v>29075368.629999999</v>
      </c>
      <c r="I35" s="523">
        <f>IFERROR(VLOOKUP($A35,'PP DS Query'!$C$1:$R$1005,9,FALSE),0)</f>
        <v>29.95</v>
      </c>
      <c r="J35" s="358">
        <f>IFERROR(VLOOKUP($A35,'PP DS Query'!$C$1:$R$1005,10,FALSE),0)</f>
        <v>71142089.799999997</v>
      </c>
      <c r="K35" s="523">
        <f>IFERROR(VLOOKUP($A35,'PP DS Query'!$C$1:$R$1005,11,FALSE),0)</f>
        <v>17.676995999999999</v>
      </c>
      <c r="L35" s="358">
        <f>IFERROR(VLOOKUP($A35,'PP DS Query'!$C$1:$R$1005,12,FALSE),0)</f>
        <v>41989263.340000004</v>
      </c>
      <c r="M35" s="19">
        <f>IFERROR(VLOOKUP($A35,'PP DS Query'!$C$1:$R$1005,13,FALSE),0)</f>
        <v>0.43030534999999998</v>
      </c>
      <c r="N35" s="358">
        <f>IFERROR(VLOOKUP($A35,'PP DS Query'!$C$1:$R$1005,14,FALSE),0)</f>
        <v>1022130.94</v>
      </c>
      <c r="O35" s="56">
        <f>IFERROR(VLOOKUP($A35,'PP DS Query'!$C$1:$R$1005,4,FALSE),0)</f>
        <v>-0.05</v>
      </c>
      <c r="P35" s="358">
        <f>-IFERROR(VLOOKUP($A35,'PP DS Query'!$C$1:$R$1005,15,FALSE),0)</f>
        <v>118768.1</v>
      </c>
      <c r="Q35" s="358">
        <f>IFERROR(VLOOKUP($A35,'PP DS Query'!$C$1:$R$1005,16,FALSE),0)</f>
        <v>1259713.45</v>
      </c>
      <c r="R35" s="48"/>
      <c r="S35" s="472">
        <f t="shared" ref="S35:S37" si="6">IFERROR(ROUND(LEFT(A35,7)*100,0),0)</f>
        <v>34585</v>
      </c>
      <c r="T35" s="472" t="s">
        <v>963</v>
      </c>
      <c r="U35" s="474">
        <f>IFERROR(VLOOKUP($S35,#REF!,7,FALSE),0)</f>
        <v>0</v>
      </c>
      <c r="V35" s="473">
        <f t="shared" ref="V35:V37" si="7">U35-F35</f>
        <v>-2375361.9300000002</v>
      </c>
    </row>
    <row r="36" spans="1:22" ht="15.95" customHeight="1" x14ac:dyDescent="0.2">
      <c r="A36" s="49" t="s">
        <v>715</v>
      </c>
      <c r="B36" s="499">
        <f>IFERROR(VLOOKUP($A36,'PP DS Query'!$C$1:$R$1005,5,FALSE),0)</f>
        <v>2047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226593.11</v>
      </c>
      <c r="G36" s="523">
        <f>IFERROR(VLOOKUP($A36,'PP DS Query'!$C$1:$R$1005,7,FALSE),0)</f>
        <v>11.283844220000001</v>
      </c>
      <c r="H36" s="358">
        <f>IFERROR(VLOOKUP($A36,'PP DS Query'!$C$1:$R$1005,8,FALSE),0)</f>
        <v>2556841.36</v>
      </c>
      <c r="I36" s="523">
        <f>IFERROR(VLOOKUP($A36,'PP DS Query'!$C$1:$R$1005,9,FALSE),0)</f>
        <v>20</v>
      </c>
      <c r="J36" s="358">
        <f>IFERROR(VLOOKUP($A36,'PP DS Query'!$C$1:$R$1005,10,FALSE),0)</f>
        <v>4531862.2</v>
      </c>
      <c r="K36" s="523">
        <f>IFERROR(VLOOKUP($A36,'PP DS Query'!$C$1:$R$1005,11,FALSE),0)</f>
        <v>9.2757260000000006</v>
      </c>
      <c r="L36" s="358">
        <f>IFERROR(VLOOKUP($A36,'PP DS Query'!$C$1:$R$1005,12,FALSE),0)</f>
        <v>2101815.6</v>
      </c>
      <c r="M36" s="19">
        <f>IFERROR(VLOOKUP($A36,'PP DS Query'!$C$1:$R$1005,13,FALSE),0)</f>
        <v>0.56302439999999998</v>
      </c>
      <c r="N36" s="358">
        <f>IFERROR(VLOOKUP($A36,'PP DS Query'!$C$1:$R$1005,14,FALSE),0)</f>
        <v>127577.45</v>
      </c>
      <c r="O36" s="56">
        <f>IFERROR(VLOOKUP($A36,'PP DS Query'!$C$1:$R$1005,4,FALSE),0)</f>
        <v>-0.05</v>
      </c>
      <c r="P36" s="358">
        <f>-IFERROR(VLOOKUP($A36,'PP DS Query'!$C$1:$R$1005,15,FALSE),0)</f>
        <v>11329.66</v>
      </c>
      <c r="Q36" s="358">
        <f>IFERROR(VLOOKUP($A36,'PP DS Query'!$C$1:$R$1005,16,FALSE),0)</f>
        <v>157231.35999999999</v>
      </c>
      <c r="R36" s="48"/>
      <c r="S36" s="472">
        <f t="shared" si="6"/>
        <v>34585</v>
      </c>
      <c r="T36" s="472" t="s">
        <v>964</v>
      </c>
      <c r="U36" s="474">
        <f>IFERROR(VLOOKUP($S36,#REF!,8,FALSE),0)</f>
        <v>0</v>
      </c>
      <c r="V36" s="473">
        <f t="shared" si="7"/>
        <v>-226593.11</v>
      </c>
    </row>
    <row r="37" spans="1:22" ht="15.95" customHeight="1" thickBot="1" x14ac:dyDescent="0.25">
      <c r="A37" s="396" t="s">
        <v>890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34585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716</v>
      </c>
      <c r="B38" s="499">
        <f>IFERROR(VLOOKUP($A38,'PP DS Query'!$C$1:$R$1005,5,FALSE),0)</f>
        <v>2047</v>
      </c>
      <c r="C38" s="33"/>
      <c r="D38" s="34"/>
      <c r="E38" s="15"/>
      <c r="F38" s="443">
        <f>IFERROR(VLOOKUP($A38,'PP DS Query'!$C$1:$R$1005,6,FALSE),0)</f>
        <v>5465054.9000000004</v>
      </c>
      <c r="G38" s="525">
        <f>IFERROR(VLOOKUP($A38,'PP DS Query'!$C$1:$R$1005,7,FALSE),0)</f>
        <v>12.336739420000001</v>
      </c>
      <c r="H38" s="443">
        <f>IFERROR(VLOOKUP($A38,'PP DS Query'!$C$1:$R$1005,8,FALSE),0)</f>
        <v>67420958.230000004</v>
      </c>
      <c r="I38" s="525">
        <f>IFERROR(VLOOKUP($A38,'PP DS Query'!$C$1:$R$1005,9,FALSE),0)</f>
        <v>34.802568299999997</v>
      </c>
      <c r="J38" s="443">
        <f>IFERROR(VLOOKUP($A38,'PP DS Query'!$C$1:$R$1005,10,FALSE),0)</f>
        <v>190197946.40000001</v>
      </c>
      <c r="K38" s="525">
        <f>IFERROR(VLOOKUP($A38,'PP DS Query'!$C$1:$R$1005,11,FALSE),0)</f>
        <v>22.474856580000001</v>
      </c>
      <c r="L38" s="443">
        <f>IFERROR(VLOOKUP($A38,'PP DS Query'!$C$1:$R$1005,12,FALSE),0)</f>
        <v>122826325.09</v>
      </c>
      <c r="M38" s="445">
        <f>IFERROR(VLOOKUP($A38,'PP DS Query'!$C$1:$R$1005,13,FALSE),0)</f>
        <v>0.38227667999999998</v>
      </c>
      <c r="N38" s="443">
        <f>IFERROR(VLOOKUP($A38,'PP DS Query'!$C$1:$R$1005,14,FALSE),0)</f>
        <v>2089163.03</v>
      </c>
      <c r="O38" s="446">
        <f>IFERROR(VLOOKUP($A38,'PP DS Query'!$C$1:$R$1005,4,FALSE),0)</f>
        <v>-0.05</v>
      </c>
      <c r="P38" s="443">
        <f>-IFERROR(VLOOKUP($A38,'PP DS Query'!$C$1:$R$1005,15,FALSE),0)</f>
        <v>273252.75</v>
      </c>
      <c r="Q38" s="443">
        <f>IFERROR(VLOOKUP($A38,'PP DS Query'!$C$1:$R$1005,16,FALSE),0)</f>
        <v>2574764.81</v>
      </c>
      <c r="R38" s="48"/>
      <c r="U38" s="473">
        <f>SUM(U34:U37)</f>
        <v>0</v>
      </c>
      <c r="V38" s="473">
        <f>SUM(V34:V37)</f>
        <v>-5465054.9000000004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1291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1019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523">
        <f>IFERROR(VLOOKUP($A41,'PP DS Query'!$C$1:$R$1005,7,FALSE),0)</f>
        <v>0</v>
      </c>
      <c r="H41" s="358">
        <f>IFERROR(VLOOKUP($A41,'PP DS Query'!$C$1:$R$1005,8,FALSE),0)</f>
        <v>0</v>
      </c>
      <c r="I41" s="523">
        <f>IFERROR(VLOOKUP($A41,'PP DS Query'!$C$1:$R$1005,9,FALSE),0)</f>
        <v>0</v>
      </c>
      <c r="J41" s="358">
        <f>IFERROR(VLOOKUP($A41,'PP DS Query'!$C$1:$R$1005,10,FALSE),0)</f>
        <v>0</v>
      </c>
      <c r="K41" s="523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34685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49" t="s">
        <v>1016</v>
      </c>
      <c r="B42" s="499">
        <f>IFERROR(VLOOKUP($A42,'PP DS Query'!$C$1:$R$1005,5,FALSE),0)</f>
        <v>0</v>
      </c>
      <c r="C42" s="33">
        <f>IFERROR(VLOOKUP($A42,'PP DS Query'!$C$1:$R$1005,3,FALSE),0)</f>
        <v>0</v>
      </c>
      <c r="D42" s="34" t="s">
        <v>22</v>
      </c>
      <c r="E42" s="360">
        <f>IFERROR(VLOOKUP($A42,'PP DS Query'!$C$1:$R$1005,2,FALSE),0)</f>
        <v>0</v>
      </c>
      <c r="F42" s="358">
        <f>IFERROR(VLOOKUP($A42,'PP DS Query'!$C$1:$R$1005,6,FALSE),0)</f>
        <v>0</v>
      </c>
      <c r="G42" s="523">
        <f>IFERROR(VLOOKUP($A42,'PP DS Query'!$C$1:$R$1005,7,FALSE),0)</f>
        <v>0</v>
      </c>
      <c r="H42" s="358">
        <f>IFERROR(VLOOKUP($A42,'PP DS Query'!$C$1:$R$1005,8,FALSE),0)</f>
        <v>0</v>
      </c>
      <c r="I42" s="523">
        <f>IFERROR(VLOOKUP($A42,'PP DS Query'!$C$1:$R$1005,9,FALSE),0)</f>
        <v>0</v>
      </c>
      <c r="J42" s="358">
        <f>IFERROR(VLOOKUP($A42,'PP DS Query'!$C$1:$R$1005,10,FALSE),0)</f>
        <v>0</v>
      </c>
      <c r="K42" s="523">
        <f>IFERROR(VLOOKUP($A42,'PP DS Query'!$C$1:$R$1005,11,FALSE),0)</f>
        <v>0</v>
      </c>
      <c r="L42" s="358">
        <f>IFERROR(VLOOKUP($A42,'PP DS Query'!$C$1:$R$1005,12,FALSE),0)</f>
        <v>0</v>
      </c>
      <c r="M42" s="19">
        <f>IFERROR(VLOOKUP($A42,'PP DS Query'!$C$1:$R$1005,13,FALSE),0)</f>
        <v>0</v>
      </c>
      <c r="N42" s="358">
        <f>IFERROR(VLOOKUP($A42,'PP DS Query'!$C$1:$R$1005,14,FALSE),0)</f>
        <v>0</v>
      </c>
      <c r="O42" s="56">
        <f>IFERROR(VLOOKUP($A42,'PP DS Query'!$C$1:$R$1005,4,FALSE),0)</f>
        <v>0</v>
      </c>
      <c r="P42" s="358">
        <f>-IFERROR(VLOOKUP($A42,'PP DS Query'!$C$1:$R$1005,15,FALSE),0)</f>
        <v>0</v>
      </c>
      <c r="Q42" s="358">
        <f>IFERROR(VLOOKUP($A42,'PP DS Query'!$C$1:$R$1005,16,FALSE),0)</f>
        <v>0</v>
      </c>
      <c r="R42" s="48"/>
      <c r="S42" s="472">
        <f t="shared" ref="S42:S44" si="8">IFERROR(ROUND(LEFT(A42,7)*100,0),0)</f>
        <v>34685</v>
      </c>
      <c r="T42" s="472" t="s">
        <v>963</v>
      </c>
      <c r="U42" s="474">
        <f>IFERROR(VLOOKUP($S42,#REF!,7,FALSE),0)</f>
        <v>0</v>
      </c>
      <c r="V42" s="473">
        <f t="shared" ref="V42:V44" si="9">U42-F42</f>
        <v>0</v>
      </c>
    </row>
    <row r="43" spans="1:22" ht="15.95" customHeight="1" x14ac:dyDescent="0.2">
      <c r="A43" s="396" t="s">
        <v>1017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34685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1018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34685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1086</v>
      </c>
      <c r="B45" s="499">
        <f>IFERROR(VLOOKUP($A45,'PP DS Query'!$C$1:$R$1005,5,FALSE),0)</f>
        <v>0</v>
      </c>
      <c r="C45" s="33"/>
      <c r="D45" s="34"/>
      <c r="E45" s="15"/>
      <c r="F45" s="443">
        <f>IFERROR(VLOOKUP($A45,'PP DS Query'!$C$1:$R$1005,6,FALSE),0)</f>
        <v>0</v>
      </c>
      <c r="G45" s="525">
        <f>IFERROR(VLOOKUP($A45,'PP DS Query'!$C$1:$R$1005,7,FALSE),0)</f>
        <v>0</v>
      </c>
      <c r="H45" s="443">
        <f>IFERROR(VLOOKUP($A45,'PP DS Query'!$C$1:$R$1005,8,FALSE),0)</f>
        <v>0</v>
      </c>
      <c r="I45" s="525">
        <f>IFERROR(VLOOKUP($A45,'PP DS Query'!$C$1:$R$1005,9,FALSE),0)</f>
        <v>0</v>
      </c>
      <c r="J45" s="443">
        <f>IFERROR(VLOOKUP($A45,'PP DS Query'!$C$1:$R$1005,10,FALSE),0)</f>
        <v>0</v>
      </c>
      <c r="K45" s="525">
        <f>IFERROR(VLOOKUP($A45,'PP DS Query'!$C$1:$R$1005,11,FALSE),0)</f>
        <v>0</v>
      </c>
      <c r="L45" s="443">
        <f>IFERROR(VLOOKUP($A45,'PP DS Query'!$C$1:$R$1005,12,FALSE),0)</f>
        <v>0</v>
      </c>
      <c r="M45" s="445">
        <f>IFERROR(VLOOKUP($A45,'PP DS Query'!$C$1:$R$1005,13,FALSE),0)</f>
        <v>0</v>
      </c>
      <c r="N45" s="443">
        <f>IFERROR(VLOOKUP($A45,'PP DS Query'!$C$1:$R$1005,14,FALSE),0)</f>
        <v>0</v>
      </c>
      <c r="O45" s="446">
        <f>IFERROR(VLOOKUP($A45,'PP DS Query'!$C$1:$R$1005,4,FALSE),0)</f>
        <v>0</v>
      </c>
      <c r="P45" s="443">
        <f>-IFERROR(VLOOKUP($A45,'PP DS Query'!$C$1:$R$1005,15,FALSE),0)</f>
        <v>0</v>
      </c>
      <c r="Q45" s="443">
        <f>IFERROR(VLOOKUP($A45,'PP DS Query'!$C$1:$R$1005,16,FALSE),0)</f>
        <v>0</v>
      </c>
      <c r="R45" s="48"/>
      <c r="U45" s="473">
        <f>SUM(U41:U44)</f>
        <v>0</v>
      </c>
      <c r="V45" s="473">
        <f>SUM(V41:V44)</f>
        <v>0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Unit #5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13580760.889999999</v>
      </c>
      <c r="G49" s="523">
        <f>IF($F49=0,0,H49/$F49)</f>
        <v>12.347428749995467</v>
      </c>
      <c r="H49" s="358">
        <f t="shared" ref="H49:H52" si="10">H13+H20+H27+H34+H41</f>
        <v>167687477.46000001</v>
      </c>
      <c r="I49" s="523">
        <f>IF($F49=0,0,J49/$F49)</f>
        <v>39.788175975315333</v>
      </c>
      <c r="J49" s="358">
        <f>J13+J20+J27+J34+J41</f>
        <v>540353704.17000008</v>
      </c>
      <c r="K49" s="523">
        <f>IF($F49=0,0,L49/$F49)</f>
        <v>27.500000000368171</v>
      </c>
      <c r="L49" s="358">
        <f>L13+L20+L27+L34+L41</f>
        <v>373470924.48000002</v>
      </c>
      <c r="M49" s="19">
        <f>IF($F49=0,0,N49/$F49)</f>
        <v>0.3221991577233343</v>
      </c>
      <c r="N49" s="358">
        <f t="shared" ref="N49:P52" si="11">N13+N20+N27+N34+N41</f>
        <v>4375709.72</v>
      </c>
      <c r="O49" s="56">
        <f>-IF($F49=0,0,P49/$F49)</f>
        <v>-4.3155905235881087E-2</v>
      </c>
      <c r="P49" s="358">
        <f t="shared" si="11"/>
        <v>586090.03</v>
      </c>
      <c r="Q49" s="358">
        <f t="shared" ref="Q49" si="12">Q13+Q20+Q27+Q34+Q41</f>
        <v>3405945.4499999997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17460425.77</v>
      </c>
      <c r="G50" s="523">
        <f>IF($F50=0,0,H50/$F50)</f>
        <v>11.712739399023258</v>
      </c>
      <c r="H50" s="358">
        <f t="shared" si="10"/>
        <v>204509416.84</v>
      </c>
      <c r="I50" s="523">
        <f>IF($F50=0,0,J50/$F50)</f>
        <v>29.958986009308525</v>
      </c>
      <c r="J50" s="358">
        <f>J14+J21+J28+J35+J42</f>
        <v>523096651.36000001</v>
      </c>
      <c r="K50" s="523">
        <f>IF($F50=0,0,L50/$F50)</f>
        <v>18.168025504569357</v>
      </c>
      <c r="L50" s="358">
        <f>L14+L21+L28+L35+L42</f>
        <v>317221460.71000004</v>
      </c>
      <c r="M50" s="19">
        <f>IF($F50=0,0,N50/$F50)</f>
        <v>0.41973928508617353</v>
      </c>
      <c r="N50" s="358">
        <f t="shared" si="11"/>
        <v>7328826.6300000008</v>
      </c>
      <c r="O50" s="56">
        <f>-IF($F50=0,0,P50/$F50)</f>
        <v>-6.6846103604494181E-2</v>
      </c>
      <c r="P50" s="358">
        <f t="shared" si="11"/>
        <v>1167161.43</v>
      </c>
      <c r="Q50" s="358">
        <f t="shared" ref="Q50" si="13">Q14+Q21+Q28+Q35+Q42</f>
        <v>2885216.91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2045278.06</v>
      </c>
      <c r="G51" s="523">
        <f>IF($F51=0,0,H51/$F51)</f>
        <v>11.051221309243399</v>
      </c>
      <c r="H51" s="358">
        <f t="shared" si="10"/>
        <v>22602820.48</v>
      </c>
      <c r="I51" s="523">
        <f>IF($F51=0,0,J51/$F51)</f>
        <v>20</v>
      </c>
      <c r="J51" s="358">
        <f>J15+J22+J29+J36+J43</f>
        <v>40905561.200000003</v>
      </c>
      <c r="K51" s="523">
        <f>IF($F51=0,0,L51/$F51)</f>
        <v>9.3496200022797886</v>
      </c>
      <c r="L51" s="358">
        <f>L15+L22+L29+L36+L43</f>
        <v>19122572.660000004</v>
      </c>
      <c r="M51" s="19">
        <f>IF($F51=0,0,N51/$F51)</f>
        <v>0.56491725628739198</v>
      </c>
      <c r="N51" s="358">
        <f t="shared" si="11"/>
        <v>1155412.8699999999</v>
      </c>
      <c r="O51" s="56">
        <f>-IF($F51=0,0,P51/$F51)</f>
        <v>-5.9732699621292566E-2</v>
      </c>
      <c r="P51" s="358">
        <f t="shared" si="11"/>
        <v>122169.98</v>
      </c>
      <c r="Q51" s="358">
        <f t="shared" ref="Q51" si="14">Q15+Q22+Q29+Q36+Q43</f>
        <v>592003.9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424861.6</v>
      </c>
      <c r="G52" s="524">
        <f>IF($F52=0,0,H52/$F52)</f>
        <v>3.5000000000000004</v>
      </c>
      <c r="H52" s="250">
        <f t="shared" si="10"/>
        <v>1487015.6</v>
      </c>
      <c r="I52" s="524">
        <f>IF($F52=0,0,J52/$F52)</f>
        <v>12.000000000000002</v>
      </c>
      <c r="J52" s="250">
        <f>J16+J23+J30+J37+J44</f>
        <v>5098339.2</v>
      </c>
      <c r="K52" s="524">
        <f>IF($F52=0,0,L52/$F52)</f>
        <v>8.5</v>
      </c>
      <c r="L52" s="250">
        <f>L16+L23+L30+L37+L44</f>
        <v>3611323.6</v>
      </c>
      <c r="M52" s="21">
        <f>IF($F52=0,0,N52/$F52)</f>
        <v>0.3120833231339335</v>
      </c>
      <c r="N52" s="250">
        <f t="shared" si="11"/>
        <v>132592.22</v>
      </c>
      <c r="O52" s="57">
        <f>-IF($F52=0,0,P52/$F52)</f>
        <v>-6.9999995292584702E-2</v>
      </c>
      <c r="P52" s="250">
        <f t="shared" si="11"/>
        <v>29740.31</v>
      </c>
      <c r="Q52" s="250">
        <f t="shared" ref="Q52" si="15">Q16+Q23+Q30+Q37+Q44</f>
        <v>33248.269999999997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33511326.319999997</v>
      </c>
      <c r="G53" s="525">
        <f>IF($F53=0,0,H53/$F53)</f>
        <v>11.825456461969127</v>
      </c>
      <c r="H53" s="443">
        <f t="shared" ref="H53" si="16">SUM(H49:H52)</f>
        <v>396286730.38000005</v>
      </c>
      <c r="I53" s="525">
        <f>IF($F53=0,0,J53/$F53)</f>
        <v>33.106844096106791</v>
      </c>
      <c r="J53" s="443">
        <f>SUM(J49:J52)</f>
        <v>1109454255.9300001</v>
      </c>
      <c r="K53" s="525">
        <f>IF($F53=0,0,L53/$F53)</f>
        <v>21.28910908024007</v>
      </c>
      <c r="L53" s="443">
        <f>SUM(L49:L52)</f>
        <v>713426281.45000005</v>
      </c>
      <c r="M53" s="445">
        <f>IF($F53=0,0,N53/$F53)</f>
        <v>0.38770597486754449</v>
      </c>
      <c r="N53" s="443">
        <f t="shared" ref="N53:P53" si="17">SUM(N49:N52)</f>
        <v>12992541.440000001</v>
      </c>
      <c r="O53" s="446">
        <f>-IF($F53=0,0,P53/$F53)</f>
        <v>-5.6851278633605576E-2</v>
      </c>
      <c r="P53" s="443">
        <f t="shared" si="17"/>
        <v>1905161.75</v>
      </c>
      <c r="Q53" s="443">
        <f t="shared" ref="Q53" si="18">SUM(Q49:Q52)</f>
        <v>6916414.5299999993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74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34185</v>
      </c>
      <c r="F56" s="352">
        <f>IFERROR(VLOOKUP(E56,'2019 B-7'!C:P,14,FALSE),0)</f>
        <v>5746580.1099999994</v>
      </c>
      <c r="G56" s="353">
        <f>F56-F17</f>
        <v>0</v>
      </c>
      <c r="P56" s="260">
        <f>E56</f>
        <v>34185</v>
      </c>
      <c r="Q56" s="352">
        <f>IFERROR(VLOOKUP(P56,'2019 B-9'!C:R,16,FALSE),0)</f>
        <v>1682957.9399999981</v>
      </c>
      <c r="R56" s="353">
        <f>Q56-Q17</f>
        <v>-1.862645149230957E-9</v>
      </c>
    </row>
    <row r="57" spans="1:18" x14ac:dyDescent="0.2">
      <c r="E57" s="260">
        <v>34285</v>
      </c>
      <c r="F57" s="352">
        <f>IFERROR(VLOOKUP(E57,'2019 B-7'!C:P,14,FALSE),0)</f>
        <v>2200049.62</v>
      </c>
      <c r="G57" s="353">
        <f>F57-F24</f>
        <v>0</v>
      </c>
      <c r="P57" s="260">
        <f t="shared" ref="P57:P60" si="19">E57</f>
        <v>34285</v>
      </c>
      <c r="Q57" s="352">
        <f>IFERROR(VLOOKUP(P57,'2019 B-9'!C:R,16,FALSE),0)</f>
        <v>587734.75999999989</v>
      </c>
      <c r="R57" s="353">
        <f>Q57-Q24</f>
        <v>0</v>
      </c>
    </row>
    <row r="58" spans="1:18" x14ac:dyDescent="0.2">
      <c r="E58" s="260">
        <v>34385</v>
      </c>
      <c r="F58" s="352">
        <f>IFERROR(VLOOKUP(E58,'2019 B-7'!C:P,14,FALSE),0)</f>
        <v>20099641.689999998</v>
      </c>
      <c r="G58" s="353">
        <f>F58-F31</f>
        <v>0</v>
      </c>
      <c r="P58" s="260">
        <f t="shared" si="19"/>
        <v>34385</v>
      </c>
      <c r="Q58" s="352">
        <f>IFERROR(VLOOKUP(P58,'2019 B-9'!C:R,16,FALSE),0)</f>
        <v>2070957.0200000019</v>
      </c>
      <c r="R58" s="353">
        <f>Q58-Q31</f>
        <v>1.862645149230957E-9</v>
      </c>
    </row>
    <row r="59" spans="1:18" x14ac:dyDescent="0.2">
      <c r="E59" s="260">
        <v>34585</v>
      </c>
      <c r="F59" s="352">
        <f>IFERROR(VLOOKUP(E59,'2019 B-7'!C:P,14,FALSE),0)</f>
        <v>5465054.8999999994</v>
      </c>
      <c r="G59" s="353">
        <f>F59-F38</f>
        <v>0</v>
      </c>
      <c r="P59" s="260">
        <f t="shared" si="19"/>
        <v>34585</v>
      </c>
      <c r="Q59" s="352">
        <f>IFERROR(VLOOKUP(P59,'2019 B-9'!C:R,16,FALSE),0)</f>
        <v>2574764.810000001</v>
      </c>
      <c r="R59" s="353">
        <f>Q59-Q38</f>
        <v>0</v>
      </c>
    </row>
    <row r="60" spans="1:18" x14ac:dyDescent="0.2">
      <c r="E60" s="260">
        <v>34685</v>
      </c>
      <c r="F60" s="352">
        <f>IFERROR(VLOOKUP(E60,'2019 B-7'!C:P,14,FALSE),0)</f>
        <v>0</v>
      </c>
      <c r="G60" s="353">
        <f>F60-F45</f>
        <v>0</v>
      </c>
      <c r="P60" s="260">
        <f t="shared" si="19"/>
        <v>34685</v>
      </c>
      <c r="Q60" s="352">
        <f>IFERROR(VLOOKUP(P60,'2019 B-9'!C:R,16,FALSE),0)</f>
        <v>-7.0485839387401938E-12</v>
      </c>
      <c r="R60" s="353">
        <f>Q60-Q45</f>
        <v>-7.0485839387401938E-12</v>
      </c>
    </row>
    <row r="61" spans="1:18" ht="13.5" thickBot="1" x14ac:dyDescent="0.25">
      <c r="E61" s="349" t="s">
        <v>40</v>
      </c>
      <c r="F61" s="354">
        <f>SUM(F56:F60)</f>
        <v>33511326.319999997</v>
      </c>
      <c r="G61" s="354">
        <f>SUM(G56:G60)</f>
        <v>0</v>
      </c>
      <c r="P61" s="349" t="s">
        <v>40</v>
      </c>
      <c r="Q61" s="354">
        <f>SUM(Q56:Q60)</f>
        <v>6916414.5300000012</v>
      </c>
      <c r="R61" s="354">
        <f>SUM(R56:R60)</f>
        <v>-7.0485839387401938E-12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-7.0485839387401938E-12</v>
      </c>
    </row>
    <row r="63" spans="1:18" x14ac:dyDescent="0.2">
      <c r="E63" s="50"/>
      <c r="G63" s="18"/>
    </row>
    <row r="64" spans="1:18" x14ac:dyDescent="0.2">
      <c r="E64" s="50"/>
      <c r="G64" s="18"/>
    </row>
    <row r="65" spans="5:7" x14ac:dyDescent="0.2">
      <c r="E65" s="50"/>
      <c r="G65" s="18"/>
    </row>
    <row r="66" spans="5:7" x14ac:dyDescent="0.2">
      <c r="E66" s="50"/>
      <c r="G66" s="29"/>
    </row>
    <row r="67" spans="5:7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7030A0"/>
    <pageSetUpPr fitToPage="1"/>
  </sheetPr>
  <dimension ref="A1:K38"/>
  <sheetViews>
    <sheetView view="pageBreakPreview" zoomScale="112" zoomScaleNormal="100" zoomScaleSheetLayoutView="112" workbookViewId="0">
      <selection activeCell="E50" sqref="E50"/>
    </sheetView>
  </sheetViews>
  <sheetFormatPr defaultRowHeight="12.75" x14ac:dyDescent="0.2"/>
  <cols>
    <col min="1" max="1" width="23.85546875" customWidth="1"/>
    <col min="2" max="2" width="43.7109375" bestFit="1" customWidth="1"/>
    <col min="3" max="5" width="12.140625" customWidth="1"/>
    <col min="6" max="8" width="20.140625" customWidth="1"/>
    <col min="9" max="9" width="14.140625" customWidth="1"/>
    <col min="10" max="10" width="20.140625" customWidth="1"/>
    <col min="11" max="11" width="14.28515625" customWidth="1"/>
  </cols>
  <sheetData>
    <row r="1" spans="1:11" s="37" customFormat="1" ht="15.75" customHeight="1" x14ac:dyDescent="0.2">
      <c r="A1" s="49"/>
      <c r="B1" s="364" t="s">
        <v>0</v>
      </c>
      <c r="C1" s="365"/>
      <c r="D1" s="365"/>
      <c r="E1" s="365"/>
      <c r="F1" s="366"/>
      <c r="G1" s="366"/>
      <c r="H1" s="365"/>
      <c r="I1" s="366"/>
      <c r="J1" s="365"/>
      <c r="K1" s="366"/>
    </row>
    <row r="2" spans="1:11" s="37" customFormat="1" ht="15.75" customHeight="1" x14ac:dyDescent="0.2">
      <c r="A2" s="49"/>
      <c r="B2" s="364" t="s">
        <v>863</v>
      </c>
      <c r="C2" s="367"/>
      <c r="D2" s="367"/>
      <c r="E2" s="367"/>
      <c r="F2" s="368"/>
      <c r="G2" s="368"/>
      <c r="H2" s="367"/>
      <c r="I2" s="368"/>
      <c r="J2" s="367"/>
      <c r="K2" s="368"/>
    </row>
    <row r="3" spans="1:11" s="37" customFormat="1" ht="15.75" customHeight="1" x14ac:dyDescent="0.2">
      <c r="A3" s="49"/>
      <c r="B3" s="364" t="s">
        <v>864</v>
      </c>
      <c r="C3" s="367"/>
      <c r="D3" s="367"/>
      <c r="E3" s="367"/>
      <c r="F3" s="368"/>
      <c r="G3" s="368"/>
      <c r="H3" s="367"/>
      <c r="I3" s="368"/>
      <c r="J3" s="367"/>
      <c r="K3" s="368"/>
    </row>
    <row r="4" spans="1:11" s="37" customFormat="1" ht="15.75" customHeight="1" x14ac:dyDescent="0.2">
      <c r="A4" s="49"/>
      <c r="B4" s="369">
        <v>43830</v>
      </c>
      <c r="C4" s="367"/>
      <c r="D4" s="367"/>
      <c r="E4" s="367"/>
      <c r="F4" s="368"/>
      <c r="G4" s="368"/>
      <c r="H4" s="367"/>
      <c r="I4" s="368"/>
      <c r="J4" s="367"/>
      <c r="K4" s="368"/>
    </row>
    <row r="5" spans="1:11" ht="15.75" customHeight="1" x14ac:dyDescent="0.2">
      <c r="A5" s="49"/>
      <c r="B5" s="120"/>
      <c r="C5" s="120"/>
      <c r="D5" s="120"/>
      <c r="E5" s="120"/>
      <c r="F5" s="120"/>
      <c r="G5" s="120"/>
      <c r="H5" s="120"/>
      <c r="I5" s="120"/>
      <c r="J5" s="120"/>
      <c r="K5" s="120"/>
    </row>
    <row r="6" spans="1:11" ht="15.75" customHeight="1" x14ac:dyDescent="0.2">
      <c r="A6" s="49"/>
      <c r="B6" s="370" t="s">
        <v>1120</v>
      </c>
      <c r="C6" s="120"/>
      <c r="D6" s="120"/>
      <c r="E6" s="120"/>
      <c r="F6" s="120"/>
      <c r="G6" s="120"/>
      <c r="H6" s="120"/>
      <c r="I6" s="120"/>
      <c r="J6" s="120"/>
      <c r="K6" s="120"/>
    </row>
    <row r="7" spans="1:11" ht="15.75" customHeight="1" x14ac:dyDescent="0.2">
      <c r="A7" s="49"/>
      <c r="B7" s="372" t="s">
        <v>1303</v>
      </c>
      <c r="C7" s="120"/>
      <c r="D7" s="120"/>
      <c r="E7" s="120"/>
      <c r="F7" s="120"/>
      <c r="G7" s="120"/>
      <c r="H7" s="120"/>
      <c r="I7" s="120"/>
      <c r="J7" s="120"/>
      <c r="K7" s="120"/>
    </row>
    <row r="8" spans="1:11" ht="15.75" customHeight="1" x14ac:dyDescent="0.2">
      <c r="A8" s="49"/>
      <c r="B8" s="120"/>
      <c r="C8" s="371"/>
      <c r="D8" s="120"/>
      <c r="E8" s="120"/>
      <c r="F8" s="120"/>
      <c r="G8" s="120"/>
      <c r="H8" s="120"/>
      <c r="I8" s="77" t="s">
        <v>3</v>
      </c>
      <c r="J8" s="77" t="s">
        <v>49</v>
      </c>
      <c r="K8" s="77" t="s">
        <v>49</v>
      </c>
    </row>
    <row r="9" spans="1:11" ht="15.75" customHeight="1" x14ac:dyDescent="0.2">
      <c r="A9" s="49"/>
      <c r="B9" s="120"/>
      <c r="C9" s="77" t="s">
        <v>855</v>
      </c>
      <c r="D9" s="372"/>
      <c r="E9" s="77" t="s">
        <v>46</v>
      </c>
      <c r="F9" s="77" t="s">
        <v>7</v>
      </c>
      <c r="G9" s="77" t="s">
        <v>856</v>
      </c>
      <c r="H9" s="77" t="s">
        <v>17</v>
      </c>
      <c r="I9" s="371" t="s">
        <v>45</v>
      </c>
      <c r="J9" s="77" t="s">
        <v>6</v>
      </c>
      <c r="K9" s="77" t="s">
        <v>6</v>
      </c>
    </row>
    <row r="10" spans="1:11" ht="15.75" customHeight="1" thickBot="1" x14ac:dyDescent="0.25">
      <c r="A10" s="49"/>
      <c r="B10" s="120"/>
      <c r="C10" s="373" t="s">
        <v>865</v>
      </c>
      <c r="D10" s="373" t="s">
        <v>849</v>
      </c>
      <c r="E10" s="373" t="s">
        <v>54</v>
      </c>
      <c r="F10" s="373" t="s">
        <v>13</v>
      </c>
      <c r="G10" s="373" t="s">
        <v>9</v>
      </c>
      <c r="H10" s="373" t="s">
        <v>55</v>
      </c>
      <c r="I10" s="373" t="s">
        <v>10</v>
      </c>
      <c r="J10" s="373" t="s">
        <v>55</v>
      </c>
      <c r="K10" s="373" t="s">
        <v>24</v>
      </c>
    </row>
    <row r="11" spans="1:11" ht="15.75" customHeight="1" x14ac:dyDescent="0.2">
      <c r="A11" s="49"/>
      <c r="B11" s="120"/>
      <c r="C11" s="374" t="s">
        <v>136</v>
      </c>
      <c r="D11" s="374" t="s">
        <v>137</v>
      </c>
      <c r="E11" s="374" t="s">
        <v>138</v>
      </c>
      <c r="F11" s="374" t="s">
        <v>139</v>
      </c>
      <c r="G11" s="374" t="s">
        <v>140</v>
      </c>
      <c r="H11" s="374" t="s">
        <v>857</v>
      </c>
      <c r="I11" s="374" t="s">
        <v>142</v>
      </c>
      <c r="J11" s="374" t="s">
        <v>858</v>
      </c>
      <c r="K11" s="374" t="s">
        <v>859</v>
      </c>
    </row>
    <row r="12" spans="1:11" ht="15.75" customHeight="1" x14ac:dyDescent="0.2">
      <c r="A12" s="49"/>
      <c r="B12" s="120"/>
      <c r="C12" s="120"/>
      <c r="D12" s="372"/>
      <c r="E12" s="120"/>
      <c r="F12" s="120"/>
      <c r="G12" s="120"/>
      <c r="H12" s="120"/>
      <c r="I12" s="120"/>
      <c r="J12" s="375"/>
      <c r="K12" s="120"/>
    </row>
    <row r="13" spans="1:11" ht="15.75" customHeight="1" x14ac:dyDescent="0.2">
      <c r="A13" s="49"/>
      <c r="B13" s="376" t="s">
        <v>1292</v>
      </c>
      <c r="C13" s="389">
        <v>2057</v>
      </c>
      <c r="D13" s="391" t="s">
        <v>359</v>
      </c>
      <c r="E13" s="498">
        <v>-2</v>
      </c>
      <c r="F13" s="390">
        <v>13374554.049999999</v>
      </c>
      <c r="G13" s="390">
        <v>2447642.5100000002</v>
      </c>
      <c r="H13" s="151">
        <f>(100%-E13/100)*F13-G13</f>
        <v>11194402.620999999</v>
      </c>
      <c r="I13" s="521">
        <v>32</v>
      </c>
      <c r="J13" s="151">
        <f>H13/I13</f>
        <v>349825.08190624998</v>
      </c>
      <c r="K13" s="380">
        <f t="shared" ref="K13:K18" si="0">IF(F13=0,0,ROUND(J13/F13,3))</f>
        <v>2.5999999999999999E-2</v>
      </c>
    </row>
    <row r="14" spans="1:11" ht="15.75" customHeight="1" x14ac:dyDescent="0.2">
      <c r="A14" s="49"/>
      <c r="B14" s="377" t="s">
        <v>1293</v>
      </c>
      <c r="C14" s="389">
        <v>2057</v>
      </c>
      <c r="D14" s="391" t="s">
        <v>359</v>
      </c>
      <c r="E14" s="498">
        <v>-5</v>
      </c>
      <c r="F14" s="390">
        <v>213579047.27999994</v>
      </c>
      <c r="G14" s="390">
        <v>17071578.639999993</v>
      </c>
      <c r="H14" s="151">
        <f>(100%-E14/100)*F14-G14</f>
        <v>207186421.00399995</v>
      </c>
      <c r="I14" s="521">
        <v>32</v>
      </c>
      <c r="J14" s="151">
        <f>H14/I14</f>
        <v>6474575.6563749984</v>
      </c>
      <c r="K14" s="380">
        <f t="shared" si="0"/>
        <v>0.03</v>
      </c>
    </row>
    <row r="15" spans="1:11" ht="15.75" customHeight="1" x14ac:dyDescent="0.2">
      <c r="A15" s="49"/>
      <c r="B15" s="377" t="s">
        <v>1294</v>
      </c>
      <c r="C15" s="389">
        <v>2057</v>
      </c>
      <c r="D15" s="391" t="s">
        <v>359</v>
      </c>
      <c r="E15" s="498">
        <v>-7</v>
      </c>
      <c r="F15" s="390">
        <v>223541175.92999995</v>
      </c>
      <c r="G15" s="390">
        <v>17777814.090000004</v>
      </c>
      <c r="H15" s="151">
        <f>(100%-E15/100)*F15-G15</f>
        <v>221411244.15509996</v>
      </c>
      <c r="I15" s="521">
        <v>32</v>
      </c>
      <c r="J15" s="151">
        <f>H15/I15</f>
        <v>6919101.3798468737</v>
      </c>
      <c r="K15" s="380">
        <f t="shared" si="0"/>
        <v>3.1E-2</v>
      </c>
    </row>
    <row r="16" spans="1:11" ht="15.75" customHeight="1" x14ac:dyDescent="0.2">
      <c r="A16" s="49"/>
      <c r="B16" s="377" t="s">
        <v>1295</v>
      </c>
      <c r="C16" s="389">
        <v>2057</v>
      </c>
      <c r="D16" s="391" t="s">
        <v>359</v>
      </c>
      <c r="E16" s="498">
        <v>-5</v>
      </c>
      <c r="F16" s="390">
        <v>18335993.590000004</v>
      </c>
      <c r="G16" s="390">
        <v>1862512.3300000003</v>
      </c>
      <c r="H16" s="151">
        <f>(100%-E16/100)*F16-G16</f>
        <v>17390280.939500004</v>
      </c>
      <c r="I16" s="521">
        <v>32</v>
      </c>
      <c r="J16" s="151">
        <f>H16/I16</f>
        <v>543446.27935937513</v>
      </c>
      <c r="K16" s="380">
        <f t="shared" si="0"/>
        <v>0.03</v>
      </c>
    </row>
    <row r="17" spans="1:11" ht="15.75" customHeight="1" x14ac:dyDescent="0.2">
      <c r="A17" s="49"/>
      <c r="B17" s="377" t="s">
        <v>1296</v>
      </c>
      <c r="C17" s="389">
        <v>2057</v>
      </c>
      <c r="D17" s="391" t="s">
        <v>359</v>
      </c>
      <c r="E17" s="498">
        <v>-2</v>
      </c>
      <c r="F17" s="390">
        <v>141626.41</v>
      </c>
      <c r="G17" s="390">
        <v>9925.5400000000027</v>
      </c>
      <c r="H17" s="151">
        <f>(100%-E17/100)*F17-G17</f>
        <v>134533.3982</v>
      </c>
      <c r="I17" s="521">
        <v>32</v>
      </c>
      <c r="J17" s="151">
        <f>H17/I17</f>
        <v>4204.1686937499999</v>
      </c>
      <c r="K17" s="380">
        <f t="shared" si="0"/>
        <v>0.03</v>
      </c>
    </row>
    <row r="18" spans="1:11" ht="15.75" customHeight="1" thickBot="1" x14ac:dyDescent="0.25">
      <c r="A18" s="49"/>
      <c r="B18" s="378" t="s">
        <v>1305</v>
      </c>
      <c r="C18" s="120"/>
      <c r="D18" s="120"/>
      <c r="E18" s="528">
        <v>-6</v>
      </c>
      <c r="F18" s="379">
        <f>SUM(F13:F17)</f>
        <v>468972397.25999993</v>
      </c>
      <c r="G18" s="379">
        <f>SUM(G13:G17)</f>
        <v>39169473.109999992</v>
      </c>
      <c r="H18" s="379">
        <f>SUM(H13:H17)</f>
        <v>457316882.11779982</v>
      </c>
      <c r="I18" s="522">
        <f>(F13*I13+F14*I14+F15*I15+F16*I16+F17*I17)/F18</f>
        <v>32</v>
      </c>
      <c r="J18" s="379">
        <f>SUM(J13:J17)</f>
        <v>14291152.566181244</v>
      </c>
      <c r="K18" s="381">
        <f t="shared" si="0"/>
        <v>0.03</v>
      </c>
    </row>
    <row r="19" spans="1:11" ht="13.5" thickTop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</row>
    <row r="20" spans="1:11" ht="13.5" thickBot="1" x14ac:dyDescent="0.25">
      <c r="E20" s="350"/>
      <c r="F20" s="373" t="s">
        <v>846</v>
      </c>
      <c r="G20" s="392" t="s">
        <v>866</v>
      </c>
    </row>
    <row r="21" spans="1:11" x14ac:dyDescent="0.2">
      <c r="E21" s="382">
        <v>34186</v>
      </c>
      <c r="F21" s="352">
        <f>VLOOKUP(E21,'2019 B-7'!C:P,14,FALSE)</f>
        <v>13374554.049999999</v>
      </c>
      <c r="G21" s="362">
        <f>VLOOKUP(E21,'2019 B-9'!C:R,16,FALSE)</f>
        <v>2447642.5100000002</v>
      </c>
    </row>
    <row r="22" spans="1:11" x14ac:dyDescent="0.2">
      <c r="E22" s="382">
        <v>34286</v>
      </c>
      <c r="F22" s="352">
        <f>VLOOKUP(E22,'2019 B-7'!C:P,14,FALSE)</f>
        <v>213579047.27999994</v>
      </c>
      <c r="G22" s="362">
        <f>VLOOKUP(E22,'2019 B-9'!C:R,16,FALSE)</f>
        <v>17071578.639999993</v>
      </c>
    </row>
    <row r="23" spans="1:11" x14ac:dyDescent="0.2">
      <c r="E23" s="382">
        <v>34386</v>
      </c>
      <c r="F23" s="352">
        <f>VLOOKUP(E23,'2019 B-7'!C:P,14,FALSE)</f>
        <v>223541175.92999995</v>
      </c>
      <c r="G23" s="362">
        <f>VLOOKUP(E23,'2019 B-9'!C:R,16,FALSE)</f>
        <v>17777814.090000004</v>
      </c>
    </row>
    <row r="24" spans="1:11" x14ac:dyDescent="0.2">
      <c r="E24" s="382">
        <v>34586</v>
      </c>
      <c r="F24" s="352">
        <f>VLOOKUP(E24,'2019 B-7'!C:P,14,FALSE)</f>
        <v>18335993.590000004</v>
      </c>
      <c r="G24" s="362">
        <f>VLOOKUP(E24,'2019 B-9'!C:R,16,FALSE)</f>
        <v>1862512.3300000003</v>
      </c>
    </row>
    <row r="25" spans="1:11" x14ac:dyDescent="0.2">
      <c r="E25" s="382">
        <v>34686</v>
      </c>
      <c r="F25" s="352">
        <f>VLOOKUP(E25,'2019 B-7'!C:P,14,FALSE)</f>
        <v>141626.41</v>
      </c>
      <c r="G25" s="362">
        <f>VLOOKUP(E25,'2019 B-9'!C:R,16,FALSE)</f>
        <v>9925.5400000000027</v>
      </c>
    </row>
    <row r="26" spans="1:11" ht="13.5" thickBot="1" x14ac:dyDescent="0.25">
      <c r="F26" s="354">
        <f>SUM(F21:F25)</f>
        <v>468972397.25999993</v>
      </c>
      <c r="G26" s="354">
        <f>SUM(G21:G25)</f>
        <v>39169473.109999992</v>
      </c>
    </row>
    <row r="27" spans="1:11" ht="13.5" thickTop="1" x14ac:dyDescent="0.2">
      <c r="F27" s="353">
        <f>F26-F18</f>
        <v>0</v>
      </c>
      <c r="G27" s="353">
        <f>G26-G18</f>
        <v>0</v>
      </c>
    </row>
    <row r="29" spans="1:11" x14ac:dyDescent="0.2">
      <c r="E29" s="498"/>
    </row>
    <row r="30" spans="1:11" x14ac:dyDescent="0.2">
      <c r="E30" s="498"/>
    </row>
    <row r="31" spans="1:11" x14ac:dyDescent="0.2">
      <c r="E31" s="498"/>
    </row>
    <row r="32" spans="1:11" x14ac:dyDescent="0.2">
      <c r="E32" s="498"/>
    </row>
    <row r="33" spans="5:8" x14ac:dyDescent="0.2">
      <c r="E33" s="498"/>
    </row>
    <row r="34" spans="5:8" x14ac:dyDescent="0.2">
      <c r="F34" s="229"/>
      <c r="G34" s="229"/>
      <c r="H34" s="229"/>
    </row>
    <row r="35" spans="5:8" x14ac:dyDescent="0.2">
      <c r="F35" s="229"/>
      <c r="G35" s="229"/>
      <c r="H35" s="229"/>
    </row>
    <row r="36" spans="5:8" x14ac:dyDescent="0.2">
      <c r="F36" s="229"/>
      <c r="G36" s="229"/>
      <c r="H36" s="229"/>
    </row>
    <row r="38" spans="5:8" x14ac:dyDescent="0.2">
      <c r="H38" s="309"/>
    </row>
  </sheetData>
  <printOptions horizontalCentered="1"/>
  <pageMargins left="0.75" right="0.75" top="0.5" bottom="0.5" header="0" footer="0"/>
  <pageSetup scale="65" orientation="landscape" blackAndWhite="1" r:id="rId1"/>
  <headerFooter alignWithMargins="0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7030A0"/>
    <pageSetUpPr fitToPage="1"/>
  </sheetPr>
  <dimension ref="A1:K29"/>
  <sheetViews>
    <sheetView view="pageBreakPreview" zoomScale="112" zoomScaleNormal="100" zoomScaleSheetLayoutView="112" workbookViewId="0">
      <selection activeCell="R46" sqref="R46"/>
    </sheetView>
  </sheetViews>
  <sheetFormatPr defaultRowHeight="12.75" x14ac:dyDescent="0.2"/>
  <cols>
    <col min="1" max="1" width="23.85546875" customWidth="1"/>
    <col min="2" max="2" width="43.7109375" bestFit="1" customWidth="1"/>
    <col min="3" max="5" width="12.140625" customWidth="1"/>
    <col min="6" max="8" width="20.140625" customWidth="1"/>
    <col min="9" max="9" width="14.140625" customWidth="1"/>
    <col min="10" max="10" width="20.140625" customWidth="1"/>
    <col min="11" max="11" width="14.28515625" customWidth="1"/>
  </cols>
  <sheetData>
    <row r="1" spans="1:11" s="37" customFormat="1" ht="15.75" customHeight="1" x14ac:dyDescent="0.2">
      <c r="A1" s="49"/>
      <c r="B1" s="364" t="s">
        <v>0</v>
      </c>
      <c r="C1" s="365"/>
      <c r="D1" s="365"/>
      <c r="E1" s="365"/>
      <c r="F1" s="366"/>
      <c r="G1" s="366"/>
      <c r="H1" s="365"/>
      <c r="I1" s="366"/>
      <c r="J1" s="365"/>
      <c r="K1" s="366"/>
    </row>
    <row r="2" spans="1:11" s="37" customFormat="1" ht="15.75" customHeight="1" x14ac:dyDescent="0.2">
      <c r="A2" s="49"/>
      <c r="B2" s="364" t="s">
        <v>863</v>
      </c>
      <c r="C2" s="367"/>
      <c r="D2" s="367"/>
      <c r="E2" s="367"/>
      <c r="F2" s="368"/>
      <c r="G2" s="368"/>
      <c r="H2" s="367"/>
      <c r="I2" s="368"/>
      <c r="J2" s="367"/>
      <c r="K2" s="368"/>
    </row>
    <row r="3" spans="1:11" s="37" customFormat="1" ht="15.75" customHeight="1" x14ac:dyDescent="0.2">
      <c r="A3" s="49"/>
      <c r="B3" s="364" t="s">
        <v>864</v>
      </c>
      <c r="C3" s="367"/>
      <c r="D3" s="367"/>
      <c r="E3" s="367"/>
      <c r="F3" s="368"/>
      <c r="G3" s="368"/>
      <c r="H3" s="367"/>
      <c r="I3" s="368"/>
      <c r="J3" s="367"/>
      <c r="K3" s="368"/>
    </row>
    <row r="4" spans="1:11" s="37" customFormat="1" ht="15.75" customHeight="1" x14ac:dyDescent="0.2">
      <c r="A4" s="49"/>
      <c r="B4" s="369">
        <v>43830</v>
      </c>
      <c r="C4" s="367"/>
      <c r="D4" s="367"/>
      <c r="E4" s="367"/>
      <c r="F4" s="368"/>
      <c r="G4" s="368"/>
      <c r="H4" s="367"/>
      <c r="I4" s="368"/>
      <c r="J4" s="367"/>
      <c r="K4" s="368"/>
    </row>
    <row r="5" spans="1:11" ht="15.75" customHeight="1" x14ac:dyDescent="0.2">
      <c r="A5" s="49"/>
      <c r="B5" s="120"/>
      <c r="C5" s="120"/>
      <c r="D5" s="120"/>
      <c r="E5" s="120"/>
      <c r="F5" s="120"/>
      <c r="G5" s="120"/>
      <c r="H5" s="120"/>
      <c r="I5" s="120"/>
      <c r="J5" s="120"/>
      <c r="K5" s="120"/>
    </row>
    <row r="6" spans="1:11" ht="15.75" customHeight="1" x14ac:dyDescent="0.2">
      <c r="A6" s="49"/>
      <c r="B6" s="370" t="s">
        <v>851</v>
      </c>
      <c r="C6" s="120"/>
      <c r="D6" s="120"/>
      <c r="E6" s="120"/>
      <c r="F6" s="120"/>
      <c r="G6" s="120"/>
      <c r="H6" s="120"/>
      <c r="I6" s="120"/>
      <c r="J6" s="120"/>
      <c r="K6" s="120"/>
    </row>
    <row r="7" spans="1:11" ht="15.75" customHeight="1" x14ac:dyDescent="0.2">
      <c r="A7" s="49"/>
      <c r="B7" s="372" t="s">
        <v>1303</v>
      </c>
      <c r="C7" s="120"/>
      <c r="D7" s="120"/>
      <c r="E7" s="120"/>
      <c r="F7" s="120"/>
      <c r="G7" s="120"/>
      <c r="H7" s="120"/>
      <c r="I7" s="120"/>
      <c r="J7" s="120"/>
      <c r="K7" s="120"/>
    </row>
    <row r="8" spans="1:11" ht="15.75" customHeight="1" x14ac:dyDescent="0.2">
      <c r="A8" s="49"/>
      <c r="B8" s="120"/>
      <c r="C8" s="371"/>
      <c r="D8" s="120"/>
      <c r="E8" s="120"/>
      <c r="F8" s="120"/>
      <c r="G8" s="120"/>
      <c r="H8" s="120"/>
      <c r="I8" s="77" t="s">
        <v>3</v>
      </c>
      <c r="J8" s="77" t="s">
        <v>49</v>
      </c>
      <c r="K8" s="77" t="s">
        <v>49</v>
      </c>
    </row>
    <row r="9" spans="1:11" ht="15.75" customHeight="1" x14ac:dyDescent="0.2">
      <c r="A9" s="49"/>
      <c r="B9" s="120"/>
      <c r="C9" s="77" t="s">
        <v>855</v>
      </c>
      <c r="D9" s="372"/>
      <c r="E9" s="77" t="s">
        <v>46</v>
      </c>
      <c r="F9" s="77" t="s">
        <v>7</v>
      </c>
      <c r="G9" s="77" t="s">
        <v>856</v>
      </c>
      <c r="H9" s="77" t="s">
        <v>17</v>
      </c>
      <c r="I9" s="371" t="s">
        <v>45</v>
      </c>
      <c r="J9" s="77" t="s">
        <v>6</v>
      </c>
      <c r="K9" s="77" t="s">
        <v>6</v>
      </c>
    </row>
    <row r="10" spans="1:11" ht="15.75" customHeight="1" thickBot="1" x14ac:dyDescent="0.25">
      <c r="A10" s="49"/>
      <c r="B10" s="120"/>
      <c r="C10" s="373" t="s">
        <v>865</v>
      </c>
      <c r="D10" s="373" t="s">
        <v>849</v>
      </c>
      <c r="E10" s="373" t="s">
        <v>54</v>
      </c>
      <c r="F10" s="373" t="s">
        <v>13</v>
      </c>
      <c r="G10" s="373" t="s">
        <v>9</v>
      </c>
      <c r="H10" s="373" t="s">
        <v>55</v>
      </c>
      <c r="I10" s="373" t="s">
        <v>10</v>
      </c>
      <c r="J10" s="373" t="s">
        <v>55</v>
      </c>
      <c r="K10" s="373" t="s">
        <v>24</v>
      </c>
    </row>
    <row r="11" spans="1:11" ht="15.75" customHeight="1" x14ac:dyDescent="0.2">
      <c r="A11" s="49"/>
      <c r="B11" s="120"/>
      <c r="C11" s="374" t="s">
        <v>136</v>
      </c>
      <c r="D11" s="374" t="s">
        <v>137</v>
      </c>
      <c r="E11" s="374" t="s">
        <v>138</v>
      </c>
      <c r="F11" s="374" t="s">
        <v>139</v>
      </c>
      <c r="G11" s="374" t="s">
        <v>140</v>
      </c>
      <c r="H11" s="374" t="s">
        <v>857</v>
      </c>
      <c r="I11" s="374" t="s">
        <v>142</v>
      </c>
      <c r="J11" s="374" t="s">
        <v>858</v>
      </c>
      <c r="K11" s="374" t="s">
        <v>859</v>
      </c>
    </row>
    <row r="12" spans="1:11" ht="15.75" customHeight="1" x14ac:dyDescent="0.2">
      <c r="A12" s="49"/>
      <c r="B12" s="120"/>
      <c r="C12" s="120"/>
      <c r="D12" s="372"/>
      <c r="E12" s="120"/>
      <c r="F12" s="120"/>
      <c r="G12" s="120"/>
      <c r="H12" s="120"/>
      <c r="I12" s="120"/>
      <c r="J12" s="375"/>
      <c r="K12" s="120"/>
    </row>
    <row r="13" spans="1:11" ht="15.75" customHeight="1" x14ac:dyDescent="0.2">
      <c r="A13" s="49"/>
      <c r="B13" s="376" t="s">
        <v>1297</v>
      </c>
      <c r="C13" s="389">
        <v>2049</v>
      </c>
      <c r="D13" s="391" t="s">
        <v>359</v>
      </c>
      <c r="E13" s="498">
        <v>0</v>
      </c>
      <c r="F13" s="390">
        <v>176075355.94000003</v>
      </c>
      <c r="G13" s="390">
        <v>5959129.6600000001</v>
      </c>
      <c r="H13" s="151">
        <f>(100%-E13/100)*F13-G13</f>
        <v>170116226.28000003</v>
      </c>
      <c r="I13" s="521">
        <v>29</v>
      </c>
      <c r="J13" s="151">
        <f t="shared" ref="J13:J18" si="0">H13/I13</f>
        <v>5866076.7682758635</v>
      </c>
      <c r="K13" s="380">
        <f t="shared" ref="K13:K18" si="1">IF(F13=0,0,ROUND(J13/F13,3))</f>
        <v>3.3000000000000002E-2</v>
      </c>
    </row>
    <row r="14" spans="1:11" ht="15.75" customHeight="1" x14ac:dyDescent="0.2">
      <c r="A14" s="49"/>
      <c r="B14" s="377" t="s">
        <v>1298</v>
      </c>
      <c r="C14" s="389">
        <v>2049</v>
      </c>
      <c r="D14" s="391" t="s">
        <v>359</v>
      </c>
      <c r="E14" s="498">
        <v>0</v>
      </c>
      <c r="F14" s="390">
        <v>1E-3</v>
      </c>
      <c r="G14" s="390">
        <v>0</v>
      </c>
      <c r="H14" s="151">
        <f t="shared" ref="H14:H18" si="2">(100%-E14/100)*F14-G14</f>
        <v>1E-3</v>
      </c>
      <c r="I14" s="521">
        <v>30</v>
      </c>
      <c r="J14" s="151">
        <f t="shared" si="0"/>
        <v>3.3333333333333335E-5</v>
      </c>
      <c r="K14" s="380">
        <f t="shared" si="1"/>
        <v>3.3000000000000002E-2</v>
      </c>
    </row>
    <row r="15" spans="1:11" ht="15.75" customHeight="1" x14ac:dyDescent="0.2">
      <c r="A15" s="49"/>
      <c r="B15" s="377" t="s">
        <v>1299</v>
      </c>
      <c r="C15" s="389">
        <v>2049</v>
      </c>
      <c r="D15" s="391" t="s">
        <v>359</v>
      </c>
      <c r="E15" s="498">
        <v>0</v>
      </c>
      <c r="F15" s="390">
        <v>272856761.74000001</v>
      </c>
      <c r="G15" s="390">
        <v>11221756.060000001</v>
      </c>
      <c r="H15" s="151">
        <f t="shared" si="2"/>
        <v>261635005.68000001</v>
      </c>
      <c r="I15" s="521">
        <v>29</v>
      </c>
      <c r="J15" s="151">
        <f t="shared" si="0"/>
        <v>9021896.7475862075</v>
      </c>
      <c r="K15" s="380">
        <f t="shared" si="1"/>
        <v>3.3000000000000002E-2</v>
      </c>
    </row>
    <row r="16" spans="1:11" ht="15.75" customHeight="1" x14ac:dyDescent="0.2">
      <c r="A16" s="49"/>
      <c r="B16" s="377" t="s">
        <v>1300</v>
      </c>
      <c r="C16" s="389">
        <v>2049</v>
      </c>
      <c r="D16" s="391" t="s">
        <v>359</v>
      </c>
      <c r="E16" s="498">
        <v>0</v>
      </c>
      <c r="F16" s="390">
        <v>96257197.900000006</v>
      </c>
      <c r="G16" s="390">
        <v>3766749.69</v>
      </c>
      <c r="H16" s="151">
        <f t="shared" si="2"/>
        <v>92490448.210000008</v>
      </c>
      <c r="I16" s="521">
        <v>29</v>
      </c>
      <c r="J16" s="151">
        <f t="shared" si="0"/>
        <v>3189325.8003448281</v>
      </c>
      <c r="K16" s="380">
        <f t="shared" si="1"/>
        <v>3.3000000000000002E-2</v>
      </c>
    </row>
    <row r="17" spans="1:11" ht="15.75" customHeight="1" x14ac:dyDescent="0.2">
      <c r="A17" s="49"/>
      <c r="B17" s="377" t="s">
        <v>1301</v>
      </c>
      <c r="C17" s="389">
        <v>2049</v>
      </c>
      <c r="D17" s="391" t="s">
        <v>359</v>
      </c>
      <c r="E17" s="498">
        <v>0</v>
      </c>
      <c r="F17" s="390">
        <v>1E-3</v>
      </c>
      <c r="G17" s="390">
        <v>0</v>
      </c>
      <c r="H17" s="151">
        <f t="shared" si="2"/>
        <v>1E-3</v>
      </c>
      <c r="I17" s="521">
        <v>30</v>
      </c>
      <c r="J17" s="151">
        <f t="shared" si="0"/>
        <v>3.3333333333333335E-5</v>
      </c>
      <c r="K17" s="380">
        <f t="shared" si="1"/>
        <v>3.3000000000000002E-2</v>
      </c>
    </row>
    <row r="18" spans="1:11" ht="15.75" customHeight="1" x14ac:dyDescent="0.2">
      <c r="A18" s="49"/>
      <c r="B18" s="400" t="s">
        <v>1302</v>
      </c>
      <c r="C18" s="389">
        <v>2049</v>
      </c>
      <c r="D18" s="391" t="s">
        <v>359</v>
      </c>
      <c r="E18" s="498">
        <v>0</v>
      </c>
      <c r="F18" s="390">
        <v>1E-3</v>
      </c>
      <c r="G18" s="390">
        <v>0</v>
      </c>
      <c r="H18" s="151">
        <f t="shared" si="2"/>
        <v>1E-3</v>
      </c>
      <c r="I18" s="521">
        <v>10</v>
      </c>
      <c r="J18" s="151">
        <f t="shared" si="0"/>
        <v>1E-4</v>
      </c>
      <c r="K18" s="380">
        <f t="shared" si="1"/>
        <v>0.1</v>
      </c>
    </row>
    <row r="19" spans="1:11" ht="15.75" customHeight="1" thickBot="1" x14ac:dyDescent="0.25">
      <c r="A19" s="49"/>
      <c r="B19" s="378" t="s">
        <v>860</v>
      </c>
      <c r="C19" s="120"/>
      <c r="D19" s="120"/>
      <c r="E19" s="522">
        <v>0</v>
      </c>
      <c r="F19" s="379">
        <f>SUM(F13:F18)</f>
        <v>545189315.58300006</v>
      </c>
      <c r="G19" s="379">
        <f>SUM(G13:G18)</f>
        <v>20947635.41</v>
      </c>
      <c r="H19" s="379">
        <f>SUM(H13:H18)</f>
        <v>524241680.17299998</v>
      </c>
      <c r="I19" s="522">
        <f>(F13*I13+F14*I14+F15*I15+F16*I16+F17*I17+F18*I18)/F19</f>
        <v>28.999999999968818</v>
      </c>
      <c r="J19" s="379">
        <f>SUM(J13:J18)</f>
        <v>18077299.316373568</v>
      </c>
      <c r="K19" s="381">
        <f>IF(F19=0,0,ROUND(J19/F19,3))</f>
        <v>3.3000000000000002E-2</v>
      </c>
    </row>
    <row r="20" spans="1:11" ht="13.5" thickTop="1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</row>
    <row r="21" spans="1:11" ht="13.5" thickBot="1" x14ac:dyDescent="0.25">
      <c r="E21" s="350"/>
      <c r="F21" s="373" t="s">
        <v>846</v>
      </c>
      <c r="G21" s="392" t="s">
        <v>866</v>
      </c>
    </row>
    <row r="22" spans="1:11" x14ac:dyDescent="0.2">
      <c r="E22" s="382">
        <v>34199</v>
      </c>
      <c r="F22" s="352">
        <f>VLOOKUP(E22,'2019 B-7'!C:P,14,FALSE)</f>
        <v>176075355.94000003</v>
      </c>
      <c r="G22" s="362">
        <f>VLOOKUP(E22,'2019 B-9'!C:R,16,FALSE)</f>
        <v>5959129.6600000001</v>
      </c>
    </row>
    <row r="23" spans="1:11" x14ac:dyDescent="0.2">
      <c r="E23" s="382">
        <v>34299</v>
      </c>
      <c r="F23" s="352"/>
    </row>
    <row r="24" spans="1:11" x14ac:dyDescent="0.2">
      <c r="E24" s="382">
        <v>34399</v>
      </c>
      <c r="F24" s="352">
        <f>VLOOKUP(E24,'2019 B-7'!C:P,14,FALSE)</f>
        <v>272856761.74000001</v>
      </c>
      <c r="G24" s="362">
        <f>VLOOKUP(E24,'2019 B-9'!C:R,16,FALSE)</f>
        <v>11221756.060000001</v>
      </c>
    </row>
    <row r="25" spans="1:11" x14ac:dyDescent="0.2">
      <c r="E25" s="382">
        <v>34599</v>
      </c>
      <c r="F25" s="352">
        <f>VLOOKUP(E25,'2019 B-7'!C:P,14,FALSE)</f>
        <v>96257197.900000006</v>
      </c>
      <c r="G25" s="362">
        <f>VLOOKUP(E25,'2019 B-9'!C:R,16,FALSE)</f>
        <v>3766749.69</v>
      </c>
    </row>
    <row r="26" spans="1:11" x14ac:dyDescent="0.2">
      <c r="E26" s="382">
        <v>34699</v>
      </c>
      <c r="F26" s="352"/>
    </row>
    <row r="27" spans="1:11" x14ac:dyDescent="0.2">
      <c r="E27" s="382">
        <v>34899</v>
      </c>
      <c r="F27" s="352"/>
    </row>
    <row r="28" spans="1:11" ht="13.5" thickBot="1" x14ac:dyDescent="0.25">
      <c r="F28" s="354">
        <f>SUM(F22:F27)</f>
        <v>545189315.58000004</v>
      </c>
      <c r="G28" s="354">
        <f>SUM(G22:G27)</f>
        <v>20947635.41</v>
      </c>
    </row>
    <row r="29" spans="1:11" ht="13.5" thickTop="1" x14ac:dyDescent="0.2">
      <c r="F29" s="353">
        <f>F28-F19</f>
        <v>-3.0000209808349609E-3</v>
      </c>
      <c r="G29" s="353">
        <f>G28-G19</f>
        <v>0</v>
      </c>
    </row>
  </sheetData>
  <printOptions horizontalCentered="1"/>
  <pageMargins left="0.75" right="0.75" top="0.5" bottom="0.5" header="0" footer="0"/>
  <pageSetup scale="65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  <pageSetUpPr fitToPage="1"/>
  </sheetPr>
  <dimension ref="A1:V67"/>
  <sheetViews>
    <sheetView zoomScaleNormal="100" workbookViewId="0">
      <pane xSplit="4" ySplit="10" topLeftCell="H11" activePane="bottomRight" state="frozen"/>
      <selection activeCell="N52" sqref="N52"/>
      <selection pane="topRight" activeCell="N52" sqref="N52"/>
      <selection pane="bottomLeft" activeCell="N52" sqref="N52"/>
      <selection pane="bottomRight" activeCell="C15" sqref="C15"/>
    </sheetView>
  </sheetViews>
  <sheetFormatPr defaultColWidth="9.140625" defaultRowHeight="12.75" x14ac:dyDescent="0.2"/>
  <cols>
    <col min="1" max="1" width="35.57031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2" width="12.2851562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467" t="s">
        <v>1120</v>
      </c>
      <c r="D6" s="399"/>
      <c r="E6" s="468"/>
      <c r="G6" s="6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0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1292</v>
      </c>
      <c r="E12" s="50"/>
      <c r="P12" s="18"/>
      <c r="Q12" s="18"/>
      <c r="R12" s="48"/>
    </row>
    <row r="13" spans="1:22" ht="15.95" customHeight="1" x14ac:dyDescent="0.2">
      <c r="A13" s="396" t="s">
        <v>884</v>
      </c>
      <c r="B13" s="499">
        <f>IFERROR(VLOOKUP($A13,'PP DS Query'!$C$1:$R$1005,5,FALSE),0)</f>
        <v>0</v>
      </c>
      <c r="C13" s="33">
        <f>IFERROR(VLOOKUP($A13,'PP DS Query'!$C$1:$R$1005,3,FALSE),0)</f>
        <v>0</v>
      </c>
      <c r="D13" s="34" t="s">
        <v>22</v>
      </c>
      <c r="E13" s="360">
        <f>IFERROR(VLOOKUP($A13,'PP DS Query'!$C$1:$R$1005,2,FALSE),0)</f>
        <v>0</v>
      </c>
      <c r="F13" s="358">
        <f>IFERROR(VLOOKUP($A13,'PP DS Query'!$C$1:$R$1005,6,FALSE),0)</f>
        <v>0</v>
      </c>
      <c r="G13" s="22">
        <f>IFERROR(VLOOKUP($A13,'PP DS Query'!$C$1:$R$1005,7,FALSE),0)</f>
        <v>0</v>
      </c>
      <c r="H13" s="358">
        <f>IFERROR(VLOOKUP($A13,'PP DS Query'!$C$1:$R$1005,8,FALSE),0)</f>
        <v>0</v>
      </c>
      <c r="I13" s="22">
        <f>IFERROR(VLOOKUP($A13,'PP DS Query'!$C$1:$R$1005,9,FALSE),0)</f>
        <v>0</v>
      </c>
      <c r="J13" s="358">
        <f>IFERROR(VLOOKUP($A13,'PP DS Query'!$C$1:$R$1005,10,FALSE),0)</f>
        <v>0</v>
      </c>
      <c r="K13" s="22">
        <f>IFERROR(VLOOKUP($A13,'PP DS Query'!$C$1:$R$1005,11,FALSE),0)</f>
        <v>0</v>
      </c>
      <c r="L13" s="358">
        <f>IFERROR(VLOOKUP($A13,'PP DS Query'!$C$1:$R$1005,12,FALSE),0)</f>
        <v>0</v>
      </c>
      <c r="M13" s="19">
        <f>IFERROR(VLOOKUP($A13,'PP DS Query'!$C$1:$R$1005,13,FALSE),0)</f>
        <v>0</v>
      </c>
      <c r="N13" s="358">
        <f>IFERROR(VLOOKUP($A13,'PP DS Query'!$C$1:$R$1005,14,FALSE),0)</f>
        <v>0</v>
      </c>
      <c r="O13" s="56">
        <f>IFERROR(VLOOKUP($A13,'PP DS Query'!$C$1:$R$1005,4,FALSE),0)</f>
        <v>0</v>
      </c>
      <c r="P13" s="358">
        <f>-IFERROR(VLOOKUP($A13,'PP DS Query'!$C$1:$R$1005,15,FALSE),0)</f>
        <v>0</v>
      </c>
      <c r="Q13" s="358">
        <f>IFERROR(VLOOKUP($A13,'PP DS Query'!$C$1:$R$1005,16,FALSE),0)</f>
        <v>0</v>
      </c>
      <c r="R13" s="48"/>
      <c r="S13" s="472">
        <f>IFERROR(ROUND(LEFT(A13,7)*100,0),0)</f>
        <v>34186</v>
      </c>
      <c r="T13" s="472" t="s">
        <v>962</v>
      </c>
      <c r="U13" s="474">
        <f>IFERROR(VLOOKUP($S13,#REF!,6,FALSE),0)</f>
        <v>0</v>
      </c>
      <c r="V13" s="473">
        <f>U13-F13</f>
        <v>0</v>
      </c>
    </row>
    <row r="14" spans="1:22" ht="15.95" customHeight="1" x14ac:dyDescent="0.2">
      <c r="A14" s="396" t="s">
        <v>885</v>
      </c>
      <c r="B14" s="499">
        <f>IFERROR(VLOOKUP($A14,'PP DS Query'!$C$1:$R$1005,5,FALSE),0)</f>
        <v>0</v>
      </c>
      <c r="C14" s="33">
        <f>IFERROR(VLOOKUP($A14,'PP DS Query'!$C$1:$R$1005,3,FALSE),0)</f>
        <v>0</v>
      </c>
      <c r="D14" s="34" t="s">
        <v>22</v>
      </c>
      <c r="E14" s="360">
        <f>IFERROR(VLOOKUP($A14,'PP DS Query'!$C$1:$R$1005,2,FALSE),0)</f>
        <v>0</v>
      </c>
      <c r="F14" s="358">
        <f>IFERROR(VLOOKUP($A14,'PP DS Query'!$C$1:$R$1005,6,FALSE),0)</f>
        <v>0</v>
      </c>
      <c r="G14" s="22">
        <f>IFERROR(VLOOKUP($A14,'PP DS Query'!$C$1:$R$1005,7,FALSE),0)</f>
        <v>0</v>
      </c>
      <c r="H14" s="358">
        <f>IFERROR(VLOOKUP($A14,'PP DS Query'!$C$1:$R$1005,8,FALSE),0)</f>
        <v>0</v>
      </c>
      <c r="I14" s="22">
        <f>IFERROR(VLOOKUP($A14,'PP DS Query'!$C$1:$R$1005,9,FALSE),0)</f>
        <v>0</v>
      </c>
      <c r="J14" s="358">
        <f>IFERROR(VLOOKUP($A14,'PP DS Query'!$C$1:$R$1005,10,FALSE),0)</f>
        <v>0</v>
      </c>
      <c r="K14" s="22">
        <f>IFERROR(VLOOKUP($A14,'PP DS Query'!$C$1:$R$1005,11,FALSE),0)</f>
        <v>0</v>
      </c>
      <c r="L14" s="358">
        <f>IFERROR(VLOOKUP($A14,'PP DS Query'!$C$1:$R$1005,12,FALSE),0)</f>
        <v>0</v>
      </c>
      <c r="M14" s="19">
        <f>IFERROR(VLOOKUP($A14,'PP DS Query'!$C$1:$R$1005,13,FALSE),0)</f>
        <v>0</v>
      </c>
      <c r="N14" s="358">
        <f>IFERROR(VLOOKUP($A14,'PP DS Query'!$C$1:$R$1005,14,FALSE),0)</f>
        <v>0</v>
      </c>
      <c r="O14" s="56">
        <f>IFERROR(VLOOKUP($A14,'PP DS Query'!$C$1:$R$1005,4,FALSE),0)</f>
        <v>0</v>
      </c>
      <c r="P14" s="358">
        <f>-IFERROR(VLOOKUP($A14,'PP DS Query'!$C$1:$R$1005,15,FALSE),0)</f>
        <v>0</v>
      </c>
      <c r="Q14" s="358">
        <f>IFERROR(VLOOKUP($A14,'PP DS Query'!$C$1:$R$1005,16,FALSE),0)</f>
        <v>0</v>
      </c>
      <c r="R14" s="48"/>
      <c r="S14" s="472">
        <f t="shared" ref="S14:S16" si="0">IFERROR(ROUND(LEFT(A14,7)*100,0),0)</f>
        <v>34186</v>
      </c>
      <c r="T14" s="472" t="s">
        <v>963</v>
      </c>
      <c r="U14" s="474">
        <f>IFERROR(VLOOKUP($S14,#REF!,7,FALSE),0)</f>
        <v>0</v>
      </c>
      <c r="V14" s="473">
        <f t="shared" ref="V14:V16" si="1">U14-F14</f>
        <v>0</v>
      </c>
    </row>
    <row r="15" spans="1:22" ht="15.95" customHeight="1" x14ac:dyDescent="0.2">
      <c r="A15" s="396" t="s">
        <v>886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22">
        <f>IFERROR(VLOOKUP($A15,'PP DS Query'!$C$1:$R$1005,7,FALSE),0)</f>
        <v>0</v>
      </c>
      <c r="H15" s="358">
        <f>IFERROR(VLOOKUP($A15,'PP DS Query'!$C$1:$R$1005,8,FALSE),0)</f>
        <v>0</v>
      </c>
      <c r="I15" s="22">
        <f>IFERROR(VLOOKUP($A15,'PP DS Query'!$C$1:$R$1005,9,FALSE),0)</f>
        <v>0</v>
      </c>
      <c r="J15" s="358">
        <f>IFERROR(VLOOKUP($A15,'PP DS Query'!$C$1:$R$1005,10,FALSE),0)</f>
        <v>0</v>
      </c>
      <c r="K15" s="22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34186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887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20">
        <f>IFERROR(VLOOKUP($A16,'PP DS Query'!$C$1:$R$1005,7,FALSE),0)</f>
        <v>0</v>
      </c>
      <c r="H16" s="250">
        <f>IFERROR(VLOOKUP($A16,'PP DS Query'!$C$1:$R$1005,8,FALSE),0)</f>
        <v>0</v>
      </c>
      <c r="I16" s="20">
        <f>IFERROR(VLOOKUP($A16,'PP DS Query'!$C$1:$R$1005,9,FALSE),0)</f>
        <v>0</v>
      </c>
      <c r="J16" s="250">
        <f>IFERROR(VLOOKUP($A16,'PP DS Query'!$C$1:$R$1005,10,FALSE),0)</f>
        <v>0</v>
      </c>
      <c r="K16" s="20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34186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1081</v>
      </c>
      <c r="B17" s="499">
        <f>IFERROR(VLOOKUP($A17,'PP DS Query'!$C$1:$R$1005,5,FALSE),0)</f>
        <v>0</v>
      </c>
      <c r="C17" s="33"/>
      <c r="D17" s="34"/>
      <c r="E17" s="15"/>
      <c r="F17" s="443">
        <f>IFERROR(VLOOKUP($A17,'PP DS Query'!$C$1:$R$1005,6,FALSE),0)</f>
        <v>0</v>
      </c>
      <c r="G17" s="444">
        <f>IFERROR(VLOOKUP($A17,'PP DS Query'!$C$1:$R$1005,7,FALSE),0)</f>
        <v>0</v>
      </c>
      <c r="H17" s="443">
        <f>IFERROR(VLOOKUP($A17,'PP DS Query'!$C$1:$R$1005,8,FALSE),0)</f>
        <v>0</v>
      </c>
      <c r="I17" s="444">
        <f>IFERROR(VLOOKUP($A17,'PP DS Query'!$C$1:$R$1005,9,FALSE),0)</f>
        <v>0</v>
      </c>
      <c r="J17" s="443">
        <f>IFERROR(VLOOKUP($A17,'PP DS Query'!$C$1:$R$1005,10,FALSE),0)</f>
        <v>0</v>
      </c>
      <c r="K17" s="444">
        <f>IFERROR(VLOOKUP($A17,'PP DS Query'!$C$1:$R$1005,11,FALSE),0)</f>
        <v>0</v>
      </c>
      <c r="L17" s="443">
        <f>IFERROR(VLOOKUP($A17,'PP DS Query'!$C$1:$R$1005,12,FALSE),0)</f>
        <v>0</v>
      </c>
      <c r="M17" s="445">
        <f>IFERROR(VLOOKUP($A17,'PP DS Query'!$C$1:$R$1005,13,FALSE),0)</f>
        <v>0</v>
      </c>
      <c r="N17" s="443">
        <f>IFERROR(VLOOKUP($A17,'PP DS Query'!$C$1:$R$1005,14,FALSE),0)</f>
        <v>0</v>
      </c>
      <c r="O17" s="446">
        <f>IFERROR(VLOOKUP($A17,'PP DS Query'!$C$1:$R$1005,4,FALSE),0)</f>
        <v>0</v>
      </c>
      <c r="P17" s="443">
        <f>-IFERROR(VLOOKUP($A17,'PP DS Query'!$C$1:$R$1005,15,FALSE),0)</f>
        <v>0</v>
      </c>
      <c r="Q17" s="443">
        <f>IFERROR(VLOOKUP($A17,'PP DS Query'!$C$1:$R$1005,16,FALSE),0)</f>
        <v>0</v>
      </c>
      <c r="R17" s="48"/>
      <c r="U17" s="473">
        <f>SUM(U13:U16)</f>
        <v>0</v>
      </c>
      <c r="V17" s="473">
        <f>SUM(V13:V16)</f>
        <v>0</v>
      </c>
    </row>
    <row r="18" spans="1:22" ht="15.95" customHeight="1" x14ac:dyDescent="0.2">
      <c r="A18" s="49"/>
      <c r="B18" s="49"/>
      <c r="C18" s="15"/>
      <c r="E18" s="360"/>
      <c r="G18" s="22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1293</v>
      </c>
      <c r="E19" s="360"/>
      <c r="G19" s="22"/>
      <c r="O19" s="59"/>
      <c r="P19" s="18"/>
      <c r="Q19" s="18"/>
      <c r="R19" s="48"/>
    </row>
    <row r="20" spans="1:22" ht="15.95" customHeight="1" x14ac:dyDescent="0.2">
      <c r="A20" s="397" t="s">
        <v>880</v>
      </c>
      <c r="B20" s="499">
        <f>IFERROR(VLOOKUP($A20,'PP DS Query'!$C$1:$R$1005,5,FALSE),0)</f>
        <v>2047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120732186.75</v>
      </c>
      <c r="G20" s="22">
        <f>IFERROR(VLOOKUP($A20,'PP DS Query'!$C$1:$R$1005,7,FALSE),0)</f>
        <v>2.5</v>
      </c>
      <c r="H20" s="358">
        <f>IFERROR(VLOOKUP($A20,'PP DS Query'!$C$1:$R$1005,8,FALSE),0)</f>
        <v>301830466.88</v>
      </c>
      <c r="I20" s="22">
        <f>IFERROR(VLOOKUP($A20,'PP DS Query'!$C$1:$R$1005,9,FALSE),0)</f>
        <v>30</v>
      </c>
      <c r="J20" s="358">
        <f>IFERROR(VLOOKUP($A20,'PP DS Query'!$C$1:$R$1005,10,FALSE),0)</f>
        <v>3621965602.5</v>
      </c>
      <c r="K20" s="22">
        <f>IFERROR(VLOOKUP($A20,'PP DS Query'!$C$1:$R$1005,11,FALSE),0)</f>
        <v>27.5</v>
      </c>
      <c r="L20" s="358">
        <f>IFERROR(VLOOKUP($A20,'PP DS Query'!$C$1:$R$1005,12,FALSE),0)</f>
        <v>3320135135.6300001</v>
      </c>
      <c r="M20" s="19">
        <f>IFERROR(VLOOKUP($A20,'PP DS Query'!$C$1:$R$1005,13,FALSE),0)</f>
        <v>8.7499999999999994E-2</v>
      </c>
      <c r="N20" s="358">
        <f>IFERROR(VLOOKUP($A20,'PP DS Query'!$C$1:$R$1005,14,FALSE),0)</f>
        <v>10564066.34</v>
      </c>
      <c r="O20" s="56">
        <f>IFERROR(VLOOKUP($A20,'PP DS Query'!$C$1:$R$1005,4,FALSE),0)</f>
        <v>-0.05</v>
      </c>
      <c r="P20" s="358">
        <f>-IFERROR(VLOOKUP($A20,'PP DS Query'!$C$1:$R$1005,15,FALSE),0)</f>
        <v>6036609.3399999999</v>
      </c>
      <c r="Q20" s="358">
        <f>IFERROR(VLOOKUP($A20,'PP DS Query'!$C$1:$R$1005,16,FALSE),0)</f>
        <v>8897861.4000000004</v>
      </c>
      <c r="R20" s="48"/>
      <c r="S20" s="472">
        <f>IFERROR(ROUND(LEFT(A20,7)*100,0),0)</f>
        <v>34286</v>
      </c>
      <c r="T20" s="472" t="s">
        <v>962</v>
      </c>
      <c r="U20" s="474">
        <f>IFERROR(VLOOKUP($S20,#REF!,6,FALSE),0)</f>
        <v>0</v>
      </c>
      <c r="V20" s="473">
        <f>U20-F20</f>
        <v>-120732186.75</v>
      </c>
    </row>
    <row r="21" spans="1:22" ht="15.95" customHeight="1" x14ac:dyDescent="0.2">
      <c r="A21" s="396" t="s">
        <v>881</v>
      </c>
      <c r="B21" s="499">
        <f>IFERROR(VLOOKUP($A21,'PP DS Query'!$C$1:$R$1005,5,FALSE),0)</f>
        <v>2047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84848100.459999993</v>
      </c>
      <c r="G21" s="22">
        <f>IFERROR(VLOOKUP($A21,'PP DS Query'!$C$1:$R$1005,7,FALSE),0)</f>
        <v>2.4994218099999999</v>
      </c>
      <c r="H21" s="358">
        <f>IFERROR(VLOOKUP($A21,'PP DS Query'!$C$1:$R$1005,8,FALSE),0)</f>
        <v>212071192.91</v>
      </c>
      <c r="I21" s="22">
        <f>IFERROR(VLOOKUP($A21,'PP DS Query'!$C$1:$R$1005,9,FALSE),0)</f>
        <v>28.14</v>
      </c>
      <c r="J21" s="358">
        <f>IFERROR(VLOOKUP($A21,'PP DS Query'!$C$1:$R$1005,10,FALSE),0)</f>
        <v>2387625546.9400001</v>
      </c>
      <c r="K21" s="22">
        <f>IFERROR(VLOOKUP($A21,'PP DS Query'!$C$1:$R$1005,11,FALSE),0)</f>
        <v>25.406248000000001</v>
      </c>
      <c r="L21" s="358">
        <f>IFERROR(VLOOKUP($A21,'PP DS Query'!$C$1:$R$1005,12,FALSE),0)</f>
        <v>2155671882.6199999</v>
      </c>
      <c r="M21" s="19">
        <f>IFERROR(VLOOKUP($A21,'PP DS Query'!$C$1:$R$1005,13,FALSE),0)</f>
        <v>0.10188119</v>
      </c>
      <c r="N21" s="358">
        <f>IFERROR(VLOOKUP($A21,'PP DS Query'!$C$1:$R$1005,14,FALSE),0)</f>
        <v>8644425.5800000001</v>
      </c>
      <c r="O21" s="56">
        <f>IFERROR(VLOOKUP($A21,'PP DS Query'!$C$1:$R$1005,4,FALSE),0)</f>
        <v>-0.05</v>
      </c>
      <c r="P21" s="358">
        <f>-IFERROR(VLOOKUP($A21,'PP DS Query'!$C$1:$R$1005,15,FALSE),0)</f>
        <v>4242405.0199999996</v>
      </c>
      <c r="Q21" s="358">
        <f>IFERROR(VLOOKUP($A21,'PP DS Query'!$C$1:$R$1005,16,FALSE),0)</f>
        <v>7280993.7199999997</v>
      </c>
      <c r="R21" s="48"/>
      <c r="S21" s="472">
        <f t="shared" ref="S21:S23" si="2">IFERROR(ROUND(LEFT(A21,7)*100,0),0)</f>
        <v>34286</v>
      </c>
      <c r="T21" s="472" t="s">
        <v>963</v>
      </c>
      <c r="U21" s="474">
        <f>IFERROR(VLOOKUP($S21,#REF!,7,FALSE),0)</f>
        <v>0</v>
      </c>
      <c r="V21" s="473">
        <f t="shared" ref="V21:V23" si="3">U21-F21</f>
        <v>-84848100.459999993</v>
      </c>
    </row>
    <row r="22" spans="1:22" s="40" customFormat="1" ht="15.95" customHeight="1" x14ac:dyDescent="0.2">
      <c r="A22" s="396" t="s">
        <v>882</v>
      </c>
      <c r="B22" s="499">
        <f>IFERROR(VLOOKUP($A22,'PP DS Query'!$C$1:$R$1005,5,FALSE),0)</f>
        <v>2047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7998760.0700000003</v>
      </c>
      <c r="G22" s="22">
        <f>IFERROR(VLOOKUP($A22,'PP DS Query'!$C$1:$R$1005,7,FALSE),0)</f>
        <v>2.5</v>
      </c>
      <c r="H22" s="358">
        <f>IFERROR(VLOOKUP($A22,'PP DS Query'!$C$1:$R$1005,8,FALSE),0)</f>
        <v>19996900.18</v>
      </c>
      <c r="I22" s="22">
        <f>IFERROR(VLOOKUP($A22,'PP DS Query'!$C$1:$R$1005,9,FALSE),0)</f>
        <v>20</v>
      </c>
      <c r="J22" s="358">
        <f>IFERROR(VLOOKUP($A22,'PP DS Query'!$C$1:$R$1005,10,FALSE),0)</f>
        <v>159975201.40000001</v>
      </c>
      <c r="K22" s="22">
        <f>IFERROR(VLOOKUP($A22,'PP DS Query'!$C$1:$R$1005,11,FALSE),0)</f>
        <v>17.476051999999999</v>
      </c>
      <c r="L22" s="358">
        <f>IFERROR(VLOOKUP($A22,'PP DS Query'!$C$1:$R$1005,12,FALSE),0)</f>
        <v>139786746.91999999</v>
      </c>
      <c r="M22" s="19">
        <f>IFERROR(VLOOKUP($A22,'PP DS Query'!$C$1:$R$1005,13,FALSE),0)</f>
        <v>0.13250729999999999</v>
      </c>
      <c r="N22" s="358">
        <f>IFERROR(VLOOKUP($A22,'PP DS Query'!$C$1:$R$1005,14,FALSE),0)</f>
        <v>1059894.07</v>
      </c>
      <c r="O22" s="56">
        <f>IFERROR(VLOOKUP($A22,'PP DS Query'!$C$1:$R$1005,4,FALSE),0)</f>
        <v>-0.05</v>
      </c>
      <c r="P22" s="358">
        <f>-IFERROR(VLOOKUP($A22,'PP DS Query'!$C$1:$R$1005,15,FALSE),0)</f>
        <v>399938</v>
      </c>
      <c r="Q22" s="358">
        <f>IFERROR(VLOOKUP($A22,'PP DS Query'!$C$1:$R$1005,16,FALSE),0)</f>
        <v>892723.52</v>
      </c>
      <c r="R22" s="48"/>
      <c r="S22" s="472">
        <f t="shared" si="2"/>
        <v>34286</v>
      </c>
      <c r="T22" s="472" t="s">
        <v>964</v>
      </c>
      <c r="U22" s="474">
        <f>IFERROR(VLOOKUP($S22,#REF!,8,FALSE),0)</f>
        <v>0</v>
      </c>
      <c r="V22" s="473">
        <f t="shared" si="3"/>
        <v>-7998760.0700000003</v>
      </c>
    </row>
    <row r="23" spans="1:22" ht="15.95" customHeight="1" thickBot="1" x14ac:dyDescent="0.25">
      <c r="A23" s="396" t="s">
        <v>883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20">
        <f>IFERROR(VLOOKUP($A23,'PP DS Query'!$C$1:$R$1005,7,FALSE),0)</f>
        <v>0</v>
      </c>
      <c r="H23" s="250">
        <f>IFERROR(VLOOKUP($A23,'PP DS Query'!$C$1:$R$1005,8,FALSE),0)</f>
        <v>0</v>
      </c>
      <c r="I23" s="20">
        <f>IFERROR(VLOOKUP($A23,'PP DS Query'!$C$1:$R$1005,9,FALSE),0)</f>
        <v>0</v>
      </c>
      <c r="J23" s="250">
        <f>IFERROR(VLOOKUP($A23,'PP DS Query'!$C$1:$R$1005,10,FALSE),0)</f>
        <v>0</v>
      </c>
      <c r="K23" s="20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34286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1082</v>
      </c>
      <c r="B24" s="499">
        <f>IFERROR(VLOOKUP($A24,'PP DS Query'!$C$1:$R$1005,5,FALSE),0)</f>
        <v>2047</v>
      </c>
      <c r="C24" s="33"/>
      <c r="D24" s="34"/>
      <c r="E24" s="15"/>
      <c r="F24" s="443">
        <f>IFERROR(VLOOKUP($A24,'PP DS Query'!$C$1:$R$1005,6,FALSE),0)</f>
        <v>213579047.28</v>
      </c>
      <c r="G24" s="444">
        <f>IFERROR(VLOOKUP($A24,'PP DS Query'!$C$1:$R$1005,7,FALSE),0)</f>
        <v>2.4997702999999998</v>
      </c>
      <c r="H24" s="443">
        <f>IFERROR(VLOOKUP($A24,'PP DS Query'!$C$1:$R$1005,8,FALSE),0)</f>
        <v>533898559.95999998</v>
      </c>
      <c r="I24" s="444">
        <f>IFERROR(VLOOKUP($A24,'PP DS Query'!$C$1:$R$1005,9,FALSE),0)</f>
        <v>28.886571180000001</v>
      </c>
      <c r="J24" s="443">
        <f>IFERROR(VLOOKUP($A24,'PP DS Query'!$C$1:$R$1005,10,FALSE),0)</f>
        <v>6169566350.8400002</v>
      </c>
      <c r="K24" s="444">
        <f>IFERROR(VLOOKUP($A24,'PP DS Query'!$C$1:$R$1005,11,FALSE),0)</f>
        <v>26.292812130000002</v>
      </c>
      <c r="L24" s="443">
        <f>IFERROR(VLOOKUP($A24,'PP DS Query'!$C$1:$R$1005,12,FALSE),0)</f>
        <v>5615593765.1599998</v>
      </c>
      <c r="M24" s="445">
        <f>IFERROR(VLOOKUP($A24,'PP DS Query'!$C$1:$R$1005,13,FALSE),0)</f>
        <v>9.4898759999999999E-2</v>
      </c>
      <c r="N24" s="443">
        <f>IFERROR(VLOOKUP($A24,'PP DS Query'!$C$1:$R$1005,14,FALSE),0)</f>
        <v>20268385.989999998</v>
      </c>
      <c r="O24" s="446">
        <f>IFERROR(VLOOKUP($A24,'PP DS Query'!$C$1:$R$1005,4,FALSE),0)</f>
        <v>-0.05</v>
      </c>
      <c r="P24" s="443">
        <f>-IFERROR(VLOOKUP($A24,'PP DS Query'!$C$1:$R$1005,15,FALSE),0)</f>
        <v>10678952.359999999</v>
      </c>
      <c r="Q24" s="443">
        <f>IFERROR(VLOOKUP($A24,'PP DS Query'!$C$1:$R$1005,16,FALSE),0)</f>
        <v>17071578.640000001</v>
      </c>
      <c r="R24" s="48"/>
      <c r="U24" s="473">
        <f>SUM(U20:U23)</f>
        <v>0</v>
      </c>
      <c r="V24" s="473">
        <f>SUM(V20:V23)</f>
        <v>-213579047.27999997</v>
      </c>
    </row>
    <row r="25" spans="1:22" ht="15.95" customHeight="1" x14ac:dyDescent="0.2">
      <c r="A25" s="49"/>
      <c r="B25" s="49"/>
      <c r="C25" s="15"/>
      <c r="E25" s="360"/>
      <c r="G25" s="22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1294</v>
      </c>
      <c r="E26" s="360"/>
      <c r="G26" s="22"/>
      <c r="O26" s="59"/>
      <c r="P26" s="29"/>
      <c r="Q26" s="29"/>
      <c r="R26" s="48"/>
    </row>
    <row r="27" spans="1:22" ht="15.95" customHeight="1" x14ac:dyDescent="0.2">
      <c r="A27" s="397" t="s">
        <v>876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360">
        <f>IFERROR(VLOOKUP($A27,'PP DS Query'!$C$1:$R$1005,2,FALSE),0)</f>
        <v>0</v>
      </c>
      <c r="F27" s="358">
        <f>IFERROR(VLOOKUP($A27,'PP DS Query'!$C$1:$R$1005,6,FALSE),0)</f>
        <v>0</v>
      </c>
      <c r="G27" s="22">
        <f>IFERROR(VLOOKUP($A27,'PP DS Query'!$C$1:$R$1005,7,FALSE),0)</f>
        <v>0</v>
      </c>
      <c r="H27" s="358">
        <f>IFERROR(VLOOKUP($A27,'PP DS Query'!$C$1:$R$1005,8,FALSE),0)</f>
        <v>0</v>
      </c>
      <c r="I27" s="22">
        <f>IFERROR(VLOOKUP($A27,'PP DS Query'!$C$1:$R$1005,9,FALSE),0)</f>
        <v>0</v>
      </c>
      <c r="J27" s="358">
        <f>IFERROR(VLOOKUP($A27,'PP DS Query'!$C$1:$R$1005,10,FALSE),0)</f>
        <v>0</v>
      </c>
      <c r="K27" s="22">
        <f>IFERROR(VLOOKUP($A27,'PP DS Query'!$C$1:$R$1005,11,FALSE),0)</f>
        <v>0</v>
      </c>
      <c r="L27" s="358">
        <f>IFERROR(VLOOKUP($A27,'PP DS Query'!$C$1:$R$1005,12,FALSE),0)</f>
        <v>0</v>
      </c>
      <c r="M27" s="19">
        <f>IFERROR(VLOOKUP($A27,'PP DS Query'!$C$1:$R$1005,13,FALSE),0)</f>
        <v>0</v>
      </c>
      <c r="N27" s="358">
        <f>IFERROR(VLOOKUP($A27,'PP DS Query'!$C$1:$R$1005,14,FALSE),0)</f>
        <v>0</v>
      </c>
      <c r="O27" s="56">
        <f>IFERROR(VLOOKUP($A27,'PP DS Query'!$C$1:$R$1005,4,FALSE),0)</f>
        <v>0</v>
      </c>
      <c r="P27" s="358">
        <f>-IFERROR(VLOOKUP($A27,'PP DS Query'!$C$1:$R$1005,15,FALSE),0)</f>
        <v>0</v>
      </c>
      <c r="Q27" s="358">
        <f>IFERROR(VLOOKUP($A27,'PP DS Query'!$C$1:$R$1005,16,FALSE),0)</f>
        <v>0</v>
      </c>
      <c r="R27" s="48"/>
      <c r="S27" s="472">
        <f>IFERROR(ROUND(LEFT(A27,7)*100,0),0)</f>
        <v>34386</v>
      </c>
      <c r="T27" s="472" t="s">
        <v>962</v>
      </c>
      <c r="U27" s="474">
        <f>IFERROR(VLOOKUP($S27,#REF!,6,FALSE),0)</f>
        <v>0</v>
      </c>
      <c r="V27" s="473">
        <f>U27-F27</f>
        <v>0</v>
      </c>
    </row>
    <row r="28" spans="1:22" ht="15.95" customHeight="1" x14ac:dyDescent="0.2">
      <c r="A28" s="396" t="s">
        <v>877</v>
      </c>
      <c r="B28" s="499">
        <f>IFERROR(VLOOKUP($A28,'PP DS Query'!$C$1:$R$1005,5,FALSE),0)</f>
        <v>0</v>
      </c>
      <c r="C28" s="33">
        <f>IFERROR(VLOOKUP($A28,'PP DS Query'!$C$1:$R$1005,3,FALSE),0)</f>
        <v>0</v>
      </c>
      <c r="D28" s="34" t="s">
        <v>22</v>
      </c>
      <c r="E28" s="360">
        <f>IFERROR(VLOOKUP($A28,'PP DS Query'!$C$1:$R$1005,2,FALSE),0)</f>
        <v>0</v>
      </c>
      <c r="F28" s="358">
        <f>IFERROR(VLOOKUP($A28,'PP DS Query'!$C$1:$R$1005,6,FALSE),0)</f>
        <v>0</v>
      </c>
      <c r="G28" s="22">
        <f>IFERROR(VLOOKUP($A28,'PP DS Query'!$C$1:$R$1005,7,FALSE),0)</f>
        <v>0</v>
      </c>
      <c r="H28" s="358">
        <f>IFERROR(VLOOKUP($A28,'PP DS Query'!$C$1:$R$1005,8,FALSE),0)</f>
        <v>0</v>
      </c>
      <c r="I28" s="22">
        <f>IFERROR(VLOOKUP($A28,'PP DS Query'!$C$1:$R$1005,9,FALSE),0)</f>
        <v>0</v>
      </c>
      <c r="J28" s="358">
        <f>IFERROR(VLOOKUP($A28,'PP DS Query'!$C$1:$R$1005,10,FALSE),0)</f>
        <v>0</v>
      </c>
      <c r="K28" s="22">
        <f>IFERROR(VLOOKUP($A28,'PP DS Query'!$C$1:$R$1005,11,FALSE),0)</f>
        <v>0</v>
      </c>
      <c r="L28" s="358">
        <f>IFERROR(VLOOKUP($A28,'PP DS Query'!$C$1:$R$1005,12,FALSE),0)</f>
        <v>0</v>
      </c>
      <c r="M28" s="19">
        <f>IFERROR(VLOOKUP($A28,'PP DS Query'!$C$1:$R$1005,13,FALSE),0)</f>
        <v>0</v>
      </c>
      <c r="N28" s="358">
        <f>IFERROR(VLOOKUP($A28,'PP DS Query'!$C$1:$R$1005,14,FALSE),0)</f>
        <v>0</v>
      </c>
      <c r="O28" s="56">
        <f>IFERROR(VLOOKUP($A28,'PP DS Query'!$C$1:$R$1005,4,FALSE),0)</f>
        <v>0</v>
      </c>
      <c r="P28" s="358">
        <f>-IFERROR(VLOOKUP($A28,'PP DS Query'!$C$1:$R$1005,15,FALSE),0)</f>
        <v>0</v>
      </c>
      <c r="Q28" s="358">
        <f>IFERROR(VLOOKUP($A28,'PP DS Query'!$C$1:$R$1005,16,FALSE),0)</f>
        <v>0</v>
      </c>
      <c r="R28" s="48"/>
      <c r="S28" s="472">
        <f t="shared" ref="S28:S30" si="4">IFERROR(ROUND(LEFT(A28,7)*100,0),0)</f>
        <v>34386</v>
      </c>
      <c r="T28" s="472" t="s">
        <v>963</v>
      </c>
      <c r="U28" s="474">
        <f>IFERROR(VLOOKUP($S28,#REF!,7,FALSE),0)</f>
        <v>0</v>
      </c>
      <c r="V28" s="473">
        <f t="shared" ref="V28:V30" si="5">U28-F28</f>
        <v>0</v>
      </c>
    </row>
    <row r="29" spans="1:22" s="40" customFormat="1" ht="15.95" customHeight="1" x14ac:dyDescent="0.2">
      <c r="A29" s="396" t="s">
        <v>878</v>
      </c>
      <c r="B29" s="499">
        <f>IFERROR(VLOOKUP($A29,'PP DS Query'!$C$1:$R$1005,5,FALSE),0)</f>
        <v>0</v>
      </c>
      <c r="C29" s="33">
        <f>IFERROR(VLOOKUP($A29,'PP DS Query'!$C$1:$R$1005,3,FALSE),0)</f>
        <v>0</v>
      </c>
      <c r="D29" s="34" t="s">
        <v>22</v>
      </c>
      <c r="E29" s="360">
        <f>IFERROR(VLOOKUP($A29,'PP DS Query'!$C$1:$R$1005,2,FALSE),0)</f>
        <v>0</v>
      </c>
      <c r="F29" s="358">
        <f>IFERROR(VLOOKUP($A29,'PP DS Query'!$C$1:$R$1005,6,FALSE),0)</f>
        <v>0</v>
      </c>
      <c r="G29" s="22">
        <f>IFERROR(VLOOKUP($A29,'PP DS Query'!$C$1:$R$1005,7,FALSE),0)</f>
        <v>0</v>
      </c>
      <c r="H29" s="358">
        <f>IFERROR(VLOOKUP($A29,'PP DS Query'!$C$1:$R$1005,8,FALSE),0)</f>
        <v>0</v>
      </c>
      <c r="I29" s="22">
        <f>IFERROR(VLOOKUP($A29,'PP DS Query'!$C$1:$R$1005,9,FALSE),0)</f>
        <v>0</v>
      </c>
      <c r="J29" s="358">
        <f>IFERROR(VLOOKUP($A29,'PP DS Query'!$C$1:$R$1005,10,FALSE),0)</f>
        <v>0</v>
      </c>
      <c r="K29" s="22">
        <f>IFERROR(VLOOKUP($A29,'PP DS Query'!$C$1:$R$1005,11,FALSE),0)</f>
        <v>0</v>
      </c>
      <c r="L29" s="358">
        <f>IFERROR(VLOOKUP($A29,'PP DS Query'!$C$1:$R$1005,12,FALSE),0)</f>
        <v>0</v>
      </c>
      <c r="M29" s="19">
        <f>IFERROR(VLOOKUP($A29,'PP DS Query'!$C$1:$R$1005,13,FALSE),0)</f>
        <v>0</v>
      </c>
      <c r="N29" s="358">
        <f>IFERROR(VLOOKUP($A29,'PP DS Query'!$C$1:$R$1005,14,FALSE),0)</f>
        <v>0</v>
      </c>
      <c r="O29" s="56">
        <f>IFERROR(VLOOKUP($A29,'PP DS Query'!$C$1:$R$1005,4,FALSE),0)</f>
        <v>0</v>
      </c>
      <c r="P29" s="358">
        <f>-IFERROR(VLOOKUP($A29,'PP DS Query'!$C$1:$R$1005,15,FALSE),0)</f>
        <v>0</v>
      </c>
      <c r="Q29" s="358">
        <f>IFERROR(VLOOKUP($A29,'PP DS Query'!$C$1:$R$1005,16,FALSE),0)</f>
        <v>0</v>
      </c>
      <c r="R29" s="48"/>
      <c r="S29" s="472">
        <f t="shared" si="4"/>
        <v>34386</v>
      </c>
      <c r="T29" s="472" t="s">
        <v>964</v>
      </c>
      <c r="U29" s="474">
        <f>IFERROR(VLOOKUP($S29,#REF!,8,FALSE),0)</f>
        <v>0</v>
      </c>
      <c r="V29" s="473">
        <f t="shared" si="5"/>
        <v>0</v>
      </c>
    </row>
    <row r="30" spans="1:22" ht="15.95" customHeight="1" thickBot="1" x14ac:dyDescent="0.25">
      <c r="A30" s="396" t="s">
        <v>879</v>
      </c>
      <c r="B30" s="499">
        <f>IFERROR(VLOOKUP($A30,'PP DS Query'!$C$1:$R$1005,5,FALSE),0)</f>
        <v>0</v>
      </c>
      <c r="C30" s="33">
        <f>IFERROR(VLOOKUP($A30,'PP DS Query'!$C$1:$R$1005,3,FALSE),0)</f>
        <v>0</v>
      </c>
      <c r="D30" s="34" t="s">
        <v>22</v>
      </c>
      <c r="E30" s="61">
        <f>IFERROR(VLOOKUP($A30,'PP DS Query'!$C$1:$R$1005,2,FALSE),0)</f>
        <v>0</v>
      </c>
      <c r="F30" s="250">
        <f>IFERROR(VLOOKUP($A30,'PP DS Query'!$C$1:$R$1005,6,FALSE),0)</f>
        <v>0</v>
      </c>
      <c r="G30" s="20">
        <f>IFERROR(VLOOKUP($A30,'PP DS Query'!$C$1:$R$1005,7,FALSE),0)</f>
        <v>0</v>
      </c>
      <c r="H30" s="250">
        <f>IFERROR(VLOOKUP($A30,'PP DS Query'!$C$1:$R$1005,8,FALSE),0)</f>
        <v>0</v>
      </c>
      <c r="I30" s="20">
        <f>IFERROR(VLOOKUP($A30,'PP DS Query'!$C$1:$R$1005,9,FALSE),0)</f>
        <v>0</v>
      </c>
      <c r="J30" s="250">
        <f>IFERROR(VLOOKUP($A30,'PP DS Query'!$C$1:$R$1005,10,FALSE),0)</f>
        <v>0</v>
      </c>
      <c r="K30" s="20">
        <f>IFERROR(VLOOKUP($A30,'PP DS Query'!$C$1:$R$1005,11,FALSE),0)</f>
        <v>0</v>
      </c>
      <c r="L30" s="250">
        <f>IFERROR(VLOOKUP($A30,'PP DS Query'!$C$1:$R$1005,12,FALSE),0)</f>
        <v>0</v>
      </c>
      <c r="M30" s="21">
        <f>IFERROR(VLOOKUP($A30,'PP DS Query'!$C$1:$R$1005,13,FALSE),0)</f>
        <v>0</v>
      </c>
      <c r="N30" s="250">
        <f>IFERROR(VLOOKUP($A30,'PP DS Query'!$C$1:$R$1005,14,FALSE),0)</f>
        <v>0</v>
      </c>
      <c r="O30" s="57">
        <f>IFERROR(VLOOKUP($A30,'PP DS Query'!$C$1:$R$1005,4,FALSE),0)</f>
        <v>0</v>
      </c>
      <c r="P30" s="250">
        <f>-IFERROR(VLOOKUP($A30,'PP DS Query'!$C$1:$R$1005,15,FALSE),0)</f>
        <v>0</v>
      </c>
      <c r="Q30" s="250">
        <f>IFERROR(VLOOKUP($A30,'PP DS Query'!$C$1:$R$1005,16,FALSE),0)</f>
        <v>0</v>
      </c>
      <c r="R30" s="48"/>
      <c r="S30" s="472">
        <f t="shared" si="4"/>
        <v>34386</v>
      </c>
      <c r="T30" s="472" t="s">
        <v>961</v>
      </c>
      <c r="U30" s="475">
        <f>IFERROR(VLOOKUP($S30,#REF!,9,FALSE),0)</f>
        <v>0</v>
      </c>
      <c r="V30" s="476">
        <f t="shared" si="5"/>
        <v>0</v>
      </c>
    </row>
    <row r="31" spans="1:22" ht="15.95" customHeight="1" x14ac:dyDescent="0.2">
      <c r="A31" s="49" t="s">
        <v>1083</v>
      </c>
      <c r="B31" s="499">
        <f>IFERROR(VLOOKUP($A31,'PP DS Query'!$C$1:$R$1005,5,FALSE),0)</f>
        <v>0</v>
      </c>
      <c r="C31" s="33"/>
      <c r="D31" s="34"/>
      <c r="E31" s="15"/>
      <c r="F31" s="443">
        <f>IFERROR(VLOOKUP($A31,'PP DS Query'!$C$1:$R$1005,6,FALSE),0)</f>
        <v>0</v>
      </c>
      <c r="G31" s="444">
        <f>IFERROR(VLOOKUP($A31,'PP DS Query'!$C$1:$R$1005,7,FALSE),0)</f>
        <v>0</v>
      </c>
      <c r="H31" s="443">
        <f>IFERROR(VLOOKUP($A31,'PP DS Query'!$C$1:$R$1005,8,FALSE),0)</f>
        <v>0</v>
      </c>
      <c r="I31" s="444">
        <f>IFERROR(VLOOKUP($A31,'PP DS Query'!$C$1:$R$1005,9,FALSE),0)</f>
        <v>0</v>
      </c>
      <c r="J31" s="443">
        <f>IFERROR(VLOOKUP($A31,'PP DS Query'!$C$1:$R$1005,10,FALSE),0)</f>
        <v>0</v>
      </c>
      <c r="K31" s="444">
        <f>IFERROR(VLOOKUP($A31,'PP DS Query'!$C$1:$R$1005,11,FALSE),0)</f>
        <v>0</v>
      </c>
      <c r="L31" s="443">
        <f>IFERROR(VLOOKUP($A31,'PP DS Query'!$C$1:$R$1005,12,FALSE),0)</f>
        <v>0</v>
      </c>
      <c r="M31" s="445">
        <f>IFERROR(VLOOKUP($A31,'PP DS Query'!$C$1:$R$1005,13,FALSE),0)</f>
        <v>0</v>
      </c>
      <c r="N31" s="443">
        <f>IFERROR(VLOOKUP($A31,'PP DS Query'!$C$1:$R$1005,14,FALSE),0)</f>
        <v>0</v>
      </c>
      <c r="O31" s="446">
        <f>IFERROR(VLOOKUP($A31,'PP DS Query'!$C$1:$R$1005,4,FALSE),0)</f>
        <v>0</v>
      </c>
      <c r="P31" s="443">
        <f>-IFERROR(VLOOKUP($A31,'PP DS Query'!$C$1:$R$1005,15,FALSE),0)</f>
        <v>0</v>
      </c>
      <c r="Q31" s="443">
        <f>IFERROR(VLOOKUP($A31,'PP DS Query'!$C$1:$R$1005,16,FALSE),0)</f>
        <v>0</v>
      </c>
      <c r="R31" s="48"/>
      <c r="U31" s="473">
        <f>SUM(U27:U30)</f>
        <v>0</v>
      </c>
      <c r="V31" s="473">
        <f>SUM(V27:V30)</f>
        <v>0</v>
      </c>
    </row>
    <row r="32" spans="1:22" ht="15.95" customHeight="1" x14ac:dyDescent="0.2">
      <c r="A32" s="49"/>
      <c r="B32" s="49"/>
      <c r="C32" s="15"/>
      <c r="E32" s="360"/>
      <c r="G32" s="22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1295</v>
      </c>
      <c r="E33" s="360"/>
      <c r="G33" s="22"/>
      <c r="O33" s="59"/>
      <c r="P33" s="29"/>
      <c r="Q33" s="29"/>
      <c r="R33" s="48"/>
    </row>
    <row r="34" spans="1:22" ht="15.95" customHeight="1" x14ac:dyDescent="0.2">
      <c r="A34" s="397" t="s">
        <v>872</v>
      </c>
      <c r="B34" s="499">
        <f>IFERROR(VLOOKUP($A34,'PP DS Query'!$C$1:$R$1005,5,FALSE),0)</f>
        <v>0</v>
      </c>
      <c r="C34" s="33">
        <f>IFERROR(VLOOKUP($A34,'PP DS Query'!$C$1:$R$1005,3,FALSE),0)</f>
        <v>0</v>
      </c>
      <c r="D34" s="34" t="s">
        <v>22</v>
      </c>
      <c r="E34" s="360">
        <f>IFERROR(VLOOKUP($A34,'PP DS Query'!$C$1:$R$1005,2,FALSE),0)</f>
        <v>0</v>
      </c>
      <c r="F34" s="358">
        <f>IFERROR(VLOOKUP($A34,'PP DS Query'!$C$1:$R$1005,6,FALSE),0)</f>
        <v>0</v>
      </c>
      <c r="G34" s="22">
        <f>IFERROR(VLOOKUP($A34,'PP DS Query'!$C$1:$R$1005,7,FALSE),0)</f>
        <v>0</v>
      </c>
      <c r="H34" s="358">
        <f>IFERROR(VLOOKUP($A34,'PP DS Query'!$C$1:$R$1005,8,FALSE),0)</f>
        <v>0</v>
      </c>
      <c r="I34" s="22">
        <f>IFERROR(VLOOKUP($A34,'PP DS Query'!$C$1:$R$1005,9,FALSE),0)</f>
        <v>0</v>
      </c>
      <c r="J34" s="358">
        <f>IFERROR(VLOOKUP($A34,'PP DS Query'!$C$1:$R$1005,10,FALSE),0)</f>
        <v>0</v>
      </c>
      <c r="K34" s="22">
        <f>IFERROR(VLOOKUP($A34,'PP DS Query'!$C$1:$R$1005,11,FALSE),0)</f>
        <v>0</v>
      </c>
      <c r="L34" s="358">
        <f>IFERROR(VLOOKUP($A34,'PP DS Query'!$C$1:$R$1005,12,FALSE),0)</f>
        <v>0</v>
      </c>
      <c r="M34" s="19">
        <f>IFERROR(VLOOKUP($A34,'PP DS Query'!$C$1:$R$1005,13,FALSE),0)</f>
        <v>0</v>
      </c>
      <c r="N34" s="358">
        <f>IFERROR(VLOOKUP($A34,'PP DS Query'!$C$1:$R$1005,14,FALSE),0)</f>
        <v>0</v>
      </c>
      <c r="O34" s="56">
        <f>IFERROR(VLOOKUP($A34,'PP DS Query'!$C$1:$R$1005,4,FALSE),0)</f>
        <v>0</v>
      </c>
      <c r="P34" s="358">
        <f>-IFERROR(VLOOKUP($A34,'PP DS Query'!$C$1:$R$1005,15,FALSE),0)</f>
        <v>0</v>
      </c>
      <c r="Q34" s="358">
        <f>IFERROR(VLOOKUP($A34,'PP DS Query'!$C$1:$R$1005,16,FALSE),0)</f>
        <v>0</v>
      </c>
      <c r="R34" s="48"/>
      <c r="S34" s="472">
        <f>IFERROR(ROUND(LEFT(A34,7)*100,0),0)</f>
        <v>34586</v>
      </c>
      <c r="T34" s="472" t="s">
        <v>962</v>
      </c>
      <c r="U34" s="474">
        <f>IFERROR(VLOOKUP($S34,#REF!,6,FALSE),0)</f>
        <v>0</v>
      </c>
      <c r="V34" s="473">
        <f>U34-F34</f>
        <v>0</v>
      </c>
    </row>
    <row r="35" spans="1:22" ht="15.95" customHeight="1" x14ac:dyDescent="0.2">
      <c r="A35" s="396" t="s">
        <v>875</v>
      </c>
      <c r="B35" s="499">
        <f>IFERROR(VLOOKUP($A35,'PP DS Query'!$C$1:$R$1005,5,FALSE),0)</f>
        <v>2057</v>
      </c>
      <c r="C35" s="33">
        <f>IFERROR(VLOOKUP($A35,'PP DS Query'!$C$1:$R$1005,3,FALSE),0)</f>
        <v>35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9909494.6899999995</v>
      </c>
      <c r="G35" s="22">
        <f>IFERROR(VLOOKUP($A35,'PP DS Query'!$C$1:$R$1005,7,FALSE),0)</f>
        <v>2.5</v>
      </c>
      <c r="H35" s="358">
        <f>IFERROR(VLOOKUP($A35,'PP DS Query'!$C$1:$R$1005,8,FALSE),0)</f>
        <v>24773736.73</v>
      </c>
      <c r="I35" s="22">
        <f>IFERROR(VLOOKUP($A35,'PP DS Query'!$C$1:$R$1005,9,FALSE),0)</f>
        <v>34.68</v>
      </c>
      <c r="J35" s="358">
        <f>IFERROR(VLOOKUP($A35,'PP DS Query'!$C$1:$R$1005,10,FALSE),0)</f>
        <v>343661275.85000002</v>
      </c>
      <c r="K35" s="22">
        <f>IFERROR(VLOOKUP($A35,'PP DS Query'!$C$1:$R$1005,11,FALSE),0)</f>
        <v>31.795743999999999</v>
      </c>
      <c r="L35" s="358">
        <f>IFERROR(VLOOKUP($A35,'PP DS Query'!$C$1:$R$1005,12,FALSE),0)</f>
        <v>315079756.32999998</v>
      </c>
      <c r="M35" s="19">
        <f>IFERROR(VLOOKUP($A35,'PP DS Query'!$C$1:$R$1005,13,FALSE),0)</f>
        <v>8.7257470000000004E-2</v>
      </c>
      <c r="N35" s="358">
        <f>IFERROR(VLOOKUP($A35,'PP DS Query'!$C$1:$R$1005,14,FALSE),0)</f>
        <v>864677.47</v>
      </c>
      <c r="O35" s="56">
        <f>IFERROR(VLOOKUP($A35,'PP DS Query'!$C$1:$R$1005,4,FALSE),0)</f>
        <v>-0.05</v>
      </c>
      <c r="P35" s="358">
        <f>-IFERROR(VLOOKUP($A35,'PP DS Query'!$C$1:$R$1005,15,FALSE),0)</f>
        <v>495474.73</v>
      </c>
      <c r="Q35" s="358">
        <f>IFERROR(VLOOKUP($A35,'PP DS Query'!$C$1:$R$1005,16,FALSE),0)</f>
        <v>1742847.79</v>
      </c>
      <c r="R35" s="48"/>
      <c r="S35" s="472">
        <f t="shared" ref="S35:S37" si="6">IFERROR(ROUND(LEFT(A35,7)*100,0),0)</f>
        <v>34586</v>
      </c>
      <c r="T35" s="472" t="s">
        <v>963</v>
      </c>
      <c r="U35" s="474">
        <f>IFERROR(VLOOKUP($S35,#REF!,7,FALSE),0)</f>
        <v>0</v>
      </c>
      <c r="V35" s="473">
        <f t="shared" ref="V35:V37" si="7">U35-F35</f>
        <v>-9909494.6899999995</v>
      </c>
    </row>
    <row r="36" spans="1:22" ht="15.95" customHeight="1" x14ac:dyDescent="0.2">
      <c r="A36" s="396" t="s">
        <v>874</v>
      </c>
      <c r="B36" s="499">
        <f>IFERROR(VLOOKUP($A36,'PP DS Query'!$C$1:$R$1005,5,FALSE),0)</f>
        <v>2057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511193.26</v>
      </c>
      <c r="G36" s="22">
        <f>IFERROR(VLOOKUP($A36,'PP DS Query'!$C$1:$R$1005,7,FALSE),0)</f>
        <v>2.2122404200000001</v>
      </c>
      <c r="H36" s="358">
        <f>IFERROR(VLOOKUP($A36,'PP DS Query'!$C$1:$R$1005,8,FALSE),0)</f>
        <v>1130882.3899999999</v>
      </c>
      <c r="I36" s="22">
        <f>IFERROR(VLOOKUP($A36,'PP DS Query'!$C$1:$R$1005,9,FALSE),0)</f>
        <v>20</v>
      </c>
      <c r="J36" s="358">
        <f>IFERROR(VLOOKUP($A36,'PP DS Query'!$C$1:$R$1005,10,FALSE),0)</f>
        <v>10223865.199999999</v>
      </c>
      <c r="K36" s="22">
        <f>IFERROR(VLOOKUP($A36,'PP DS Query'!$C$1:$R$1005,11,FALSE),0)</f>
        <v>17.787844</v>
      </c>
      <c r="L36" s="358">
        <f>IFERROR(VLOOKUP($A36,'PP DS Query'!$C$1:$R$1005,12,FALSE),0)</f>
        <v>9093025.9600000009</v>
      </c>
      <c r="M36" s="19">
        <f>IFERROR(VLOOKUP($A36,'PP DS Query'!$C$1:$R$1005,13,FALSE),0)</f>
        <v>0.11613819</v>
      </c>
      <c r="N36" s="358">
        <f>IFERROR(VLOOKUP($A36,'PP DS Query'!$C$1:$R$1005,14,FALSE),0)</f>
        <v>59369.06</v>
      </c>
      <c r="O36" s="56">
        <f>IFERROR(VLOOKUP($A36,'PP DS Query'!$C$1:$R$1005,4,FALSE),0)</f>
        <v>-0.05</v>
      </c>
      <c r="P36" s="358">
        <f>-IFERROR(VLOOKUP($A36,'PP DS Query'!$C$1:$R$1005,15,FALSE),0)</f>
        <v>25559.66</v>
      </c>
      <c r="Q36" s="358">
        <f>IFERROR(VLOOKUP($A36,'PP DS Query'!$C$1:$R$1005,16,FALSE),0)</f>
        <v>119664.54</v>
      </c>
      <c r="R36" s="48"/>
      <c r="S36" s="472">
        <f t="shared" si="6"/>
        <v>34586</v>
      </c>
      <c r="T36" s="472" t="s">
        <v>964</v>
      </c>
      <c r="U36" s="474">
        <f>IFERROR(VLOOKUP($S36,#REF!,8,FALSE),0)</f>
        <v>0</v>
      </c>
      <c r="V36" s="473">
        <f t="shared" si="7"/>
        <v>-511193.26</v>
      </c>
    </row>
    <row r="37" spans="1:22" ht="15.95" customHeight="1" thickBot="1" x14ac:dyDescent="0.25">
      <c r="A37" s="396" t="s">
        <v>873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20">
        <f>IFERROR(VLOOKUP($A37,'PP DS Query'!$C$1:$R$1005,7,FALSE),0)</f>
        <v>0</v>
      </c>
      <c r="H37" s="250">
        <f>IFERROR(VLOOKUP($A37,'PP DS Query'!$C$1:$R$1005,8,FALSE),0)</f>
        <v>0</v>
      </c>
      <c r="I37" s="20">
        <f>IFERROR(VLOOKUP($A37,'PP DS Query'!$C$1:$R$1005,9,FALSE),0)</f>
        <v>0</v>
      </c>
      <c r="J37" s="250">
        <f>IFERROR(VLOOKUP($A37,'PP DS Query'!$C$1:$R$1005,10,FALSE),0)</f>
        <v>0</v>
      </c>
      <c r="K37" s="20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34586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1084</v>
      </c>
      <c r="B38" s="499">
        <f>IFERROR(VLOOKUP($A38,'PP DS Query'!$C$1:$R$1005,5,FALSE),0)</f>
        <v>2057</v>
      </c>
      <c r="C38" s="33"/>
      <c r="D38" s="34"/>
      <c r="E38" s="15"/>
      <c r="F38" s="443">
        <f>IFERROR(VLOOKUP($A38,'PP DS Query'!$C$1:$R$1005,6,FALSE),0)</f>
        <v>10420687.949999999</v>
      </c>
      <c r="G38" s="444">
        <f>IFERROR(VLOOKUP($A38,'PP DS Query'!$C$1:$R$1005,7,FALSE),0)</f>
        <v>2.48588378</v>
      </c>
      <c r="H38" s="443">
        <f>IFERROR(VLOOKUP($A38,'PP DS Query'!$C$1:$R$1005,8,FALSE),0)</f>
        <v>25904619.120000001</v>
      </c>
      <c r="I38" s="444">
        <f>IFERROR(VLOOKUP($A38,'PP DS Query'!$C$1:$R$1005,9,FALSE),0)</f>
        <v>33.959863570000003</v>
      </c>
      <c r="J38" s="443">
        <f>IFERROR(VLOOKUP($A38,'PP DS Query'!$C$1:$R$1005,10,FALSE),0)</f>
        <v>353885141.05000001</v>
      </c>
      <c r="K38" s="444">
        <f>IFERROR(VLOOKUP($A38,'PP DS Query'!$C$1:$R$1005,11,FALSE),0)</f>
        <v>31.10857785</v>
      </c>
      <c r="L38" s="443">
        <f>IFERROR(VLOOKUP($A38,'PP DS Query'!$C$1:$R$1005,12,FALSE),0)</f>
        <v>324172782.30000001</v>
      </c>
      <c r="M38" s="445">
        <f>IFERROR(VLOOKUP($A38,'PP DS Query'!$C$1:$R$1005,13,FALSE),0)</f>
        <v>8.8674230000000007E-2</v>
      </c>
      <c r="N38" s="443">
        <f>IFERROR(VLOOKUP($A38,'PP DS Query'!$C$1:$R$1005,14,FALSE),0)</f>
        <v>924046.53</v>
      </c>
      <c r="O38" s="446">
        <f>IFERROR(VLOOKUP($A38,'PP DS Query'!$C$1:$R$1005,4,FALSE),0)</f>
        <v>-0.05</v>
      </c>
      <c r="P38" s="443">
        <f>-IFERROR(VLOOKUP($A38,'PP DS Query'!$C$1:$R$1005,15,FALSE),0)</f>
        <v>521034.4</v>
      </c>
      <c r="Q38" s="443">
        <f>IFERROR(VLOOKUP($A38,'PP DS Query'!$C$1:$R$1005,16,FALSE),0)</f>
        <v>1862512.33</v>
      </c>
      <c r="R38" s="48"/>
      <c r="U38" s="473">
        <f>SUM(U34:U37)</f>
        <v>0</v>
      </c>
      <c r="V38" s="473">
        <f>SUM(V34:V37)</f>
        <v>-10420687.949999999</v>
      </c>
    </row>
    <row r="39" spans="1:22" ht="15.95" customHeight="1" x14ac:dyDescent="0.2">
      <c r="A39" s="49"/>
      <c r="B39" s="49"/>
      <c r="C39" s="15"/>
      <c r="E39" s="360"/>
      <c r="G39" s="22"/>
      <c r="I39" s="22"/>
      <c r="K39" s="22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1296</v>
      </c>
      <c r="E40" s="360"/>
      <c r="G40" s="22"/>
      <c r="O40" s="59"/>
      <c r="P40" s="29"/>
      <c r="Q40" s="29"/>
      <c r="R40" s="48"/>
    </row>
    <row r="41" spans="1:22" ht="15.95" customHeight="1" x14ac:dyDescent="0.2">
      <c r="A41" s="397" t="s">
        <v>868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22">
        <f>IFERROR(VLOOKUP($A41,'PP DS Query'!$C$1:$R$1005,7,FALSE),0)</f>
        <v>0</v>
      </c>
      <c r="H41" s="358">
        <f>IFERROR(VLOOKUP($A41,'PP DS Query'!$C$1:$R$1005,8,FALSE),0)</f>
        <v>0</v>
      </c>
      <c r="I41" s="22">
        <f>IFERROR(VLOOKUP($A41,'PP DS Query'!$C$1:$R$1005,9,FALSE),0)</f>
        <v>0</v>
      </c>
      <c r="J41" s="358">
        <f>IFERROR(VLOOKUP($A41,'PP DS Query'!$C$1:$R$1005,10,FALSE),0)</f>
        <v>0</v>
      </c>
      <c r="K41" s="22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34686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396" t="s">
        <v>869</v>
      </c>
      <c r="B42" s="499">
        <f>IFERROR(VLOOKUP($A42,'PP DS Query'!$C$1:$R$1005,5,FALSE),0)</f>
        <v>0</v>
      </c>
      <c r="C42" s="33">
        <f>IFERROR(VLOOKUP($A42,'PP DS Query'!$C$1:$R$1005,3,FALSE),0)</f>
        <v>0</v>
      </c>
      <c r="D42" s="34" t="s">
        <v>22</v>
      </c>
      <c r="E42" s="360">
        <f>IFERROR(VLOOKUP($A42,'PP DS Query'!$C$1:$R$1005,2,FALSE),0)</f>
        <v>0</v>
      </c>
      <c r="F42" s="358">
        <f>IFERROR(VLOOKUP($A42,'PP DS Query'!$C$1:$R$1005,6,FALSE),0)</f>
        <v>0</v>
      </c>
      <c r="G42" s="22">
        <f>IFERROR(VLOOKUP($A42,'PP DS Query'!$C$1:$R$1005,7,FALSE),0)</f>
        <v>0</v>
      </c>
      <c r="H42" s="358">
        <f>IFERROR(VLOOKUP($A42,'PP DS Query'!$C$1:$R$1005,8,FALSE),0)</f>
        <v>0</v>
      </c>
      <c r="I42" s="22">
        <f>IFERROR(VLOOKUP($A42,'PP DS Query'!$C$1:$R$1005,9,FALSE),0)</f>
        <v>0</v>
      </c>
      <c r="J42" s="358">
        <f>IFERROR(VLOOKUP($A42,'PP DS Query'!$C$1:$R$1005,10,FALSE),0)</f>
        <v>0</v>
      </c>
      <c r="K42" s="22">
        <f>IFERROR(VLOOKUP($A42,'PP DS Query'!$C$1:$R$1005,11,FALSE),0)</f>
        <v>0</v>
      </c>
      <c r="L42" s="358">
        <f>IFERROR(VLOOKUP($A42,'PP DS Query'!$C$1:$R$1005,12,FALSE),0)</f>
        <v>0</v>
      </c>
      <c r="M42" s="19">
        <f>IFERROR(VLOOKUP($A42,'PP DS Query'!$C$1:$R$1005,13,FALSE),0)</f>
        <v>0</v>
      </c>
      <c r="N42" s="358">
        <f>IFERROR(VLOOKUP($A42,'PP DS Query'!$C$1:$R$1005,14,FALSE),0)</f>
        <v>0</v>
      </c>
      <c r="O42" s="56">
        <f>IFERROR(VLOOKUP($A42,'PP DS Query'!$C$1:$R$1005,4,FALSE),0)</f>
        <v>0</v>
      </c>
      <c r="P42" s="358">
        <f>-IFERROR(VLOOKUP($A42,'PP DS Query'!$C$1:$R$1005,15,FALSE),0)</f>
        <v>0</v>
      </c>
      <c r="Q42" s="358">
        <f>IFERROR(VLOOKUP($A42,'PP DS Query'!$C$1:$R$1005,16,FALSE),0)</f>
        <v>0</v>
      </c>
      <c r="R42" s="48"/>
      <c r="S42" s="472">
        <f t="shared" ref="S42:S44" si="8">IFERROR(ROUND(LEFT(A42,7)*100,0),0)</f>
        <v>34686</v>
      </c>
      <c r="T42" s="472" t="s">
        <v>963</v>
      </c>
      <c r="U42" s="474">
        <f>IFERROR(VLOOKUP($S42,#REF!,7,FALSE),0)</f>
        <v>0</v>
      </c>
      <c r="V42" s="473">
        <f t="shared" ref="V42:V44" si="9">U42-F42</f>
        <v>0</v>
      </c>
    </row>
    <row r="43" spans="1:22" ht="15.95" customHeight="1" x14ac:dyDescent="0.2">
      <c r="A43" s="396" t="s">
        <v>870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22">
        <f>IFERROR(VLOOKUP($A43,'PP DS Query'!$C$1:$R$1005,7,FALSE),0)</f>
        <v>0</v>
      </c>
      <c r="H43" s="358">
        <f>IFERROR(VLOOKUP($A43,'PP DS Query'!$C$1:$R$1005,8,FALSE),0)</f>
        <v>0</v>
      </c>
      <c r="I43" s="22">
        <f>IFERROR(VLOOKUP($A43,'PP DS Query'!$C$1:$R$1005,9,FALSE),0)</f>
        <v>0</v>
      </c>
      <c r="J43" s="358">
        <f>IFERROR(VLOOKUP($A43,'PP DS Query'!$C$1:$R$1005,10,FALSE),0)</f>
        <v>0</v>
      </c>
      <c r="K43" s="22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34686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871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20">
        <f>IFERROR(VLOOKUP($A44,'PP DS Query'!$C$1:$R$1005,7,FALSE),0)</f>
        <v>0</v>
      </c>
      <c r="H44" s="250">
        <f>IFERROR(VLOOKUP($A44,'PP DS Query'!$C$1:$R$1005,8,FALSE),0)</f>
        <v>0</v>
      </c>
      <c r="I44" s="20">
        <f>IFERROR(VLOOKUP($A44,'PP DS Query'!$C$1:$R$1005,9,FALSE),0)</f>
        <v>0</v>
      </c>
      <c r="J44" s="250">
        <f>IFERROR(VLOOKUP($A44,'PP DS Query'!$C$1:$R$1005,10,FALSE),0)</f>
        <v>0</v>
      </c>
      <c r="K44" s="20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34686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1085</v>
      </c>
      <c r="B45" s="499">
        <f>IFERROR(VLOOKUP($A45,'PP DS Query'!$C$1:$R$1005,5,FALSE),0)</f>
        <v>0</v>
      </c>
      <c r="C45" s="33"/>
      <c r="D45" s="34"/>
      <c r="E45" s="15"/>
      <c r="F45" s="443">
        <f>IFERROR(VLOOKUP($A45,'PP DS Query'!$C$1:$R$1005,6,FALSE),0)</f>
        <v>0</v>
      </c>
      <c r="G45" s="444">
        <f>IFERROR(VLOOKUP($A45,'PP DS Query'!$C$1:$R$1005,7,FALSE),0)</f>
        <v>0</v>
      </c>
      <c r="H45" s="443">
        <f>IFERROR(VLOOKUP($A45,'PP DS Query'!$C$1:$R$1005,8,FALSE),0)</f>
        <v>0</v>
      </c>
      <c r="I45" s="444">
        <f>IFERROR(VLOOKUP($A45,'PP DS Query'!$C$1:$R$1005,9,FALSE),0)</f>
        <v>0</v>
      </c>
      <c r="J45" s="443">
        <f>IFERROR(VLOOKUP($A45,'PP DS Query'!$C$1:$R$1005,10,FALSE),0)</f>
        <v>0</v>
      </c>
      <c r="K45" s="444">
        <f>IFERROR(VLOOKUP($A45,'PP DS Query'!$C$1:$R$1005,11,FALSE),0)</f>
        <v>0</v>
      </c>
      <c r="L45" s="443">
        <f>IFERROR(VLOOKUP($A45,'PP DS Query'!$C$1:$R$1005,12,FALSE),0)</f>
        <v>0</v>
      </c>
      <c r="M45" s="445">
        <f>IFERROR(VLOOKUP($A45,'PP DS Query'!$C$1:$R$1005,13,FALSE),0)</f>
        <v>0</v>
      </c>
      <c r="N45" s="443">
        <f>IFERROR(VLOOKUP($A45,'PP DS Query'!$C$1:$R$1005,14,FALSE),0)</f>
        <v>0</v>
      </c>
      <c r="O45" s="446">
        <f>IFERROR(VLOOKUP($A45,'PP DS Query'!$C$1:$R$1005,4,FALSE),0)</f>
        <v>0</v>
      </c>
      <c r="P45" s="443">
        <f>-IFERROR(VLOOKUP($A45,'PP DS Query'!$C$1:$R$1005,15,FALSE),0)</f>
        <v>0</v>
      </c>
      <c r="Q45" s="443">
        <f>IFERROR(VLOOKUP($A45,'PP DS Query'!$C$1:$R$1005,16,FALSE),0)</f>
        <v>0</v>
      </c>
      <c r="R45" s="48"/>
      <c r="U45" s="473">
        <f>SUM(U41:U44)</f>
        <v>0</v>
      </c>
      <c r="V45" s="473">
        <f>SUM(V41:V44)</f>
        <v>0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6"/>
      <c r="H46" s="30"/>
      <c r="I46" s="6"/>
      <c r="J46" s="30"/>
      <c r="K46" s="6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6"/>
      <c r="H47" s="30"/>
      <c r="I47" s="6"/>
      <c r="J47" s="30"/>
      <c r="K47" s="6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CCST for CT 2-5</v>
      </c>
      <c r="D48" s="17"/>
      <c r="E48" s="360"/>
      <c r="F48" s="460" t="s">
        <v>1104</v>
      </c>
      <c r="G48" s="461" t="s">
        <v>1111</v>
      </c>
      <c r="H48" s="460" t="s">
        <v>1105</v>
      </c>
      <c r="I48" s="461" t="s">
        <v>1112</v>
      </c>
      <c r="J48" s="460" t="s">
        <v>1106</v>
      </c>
      <c r="K48" s="461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120732186.75</v>
      </c>
      <c r="G49" s="22">
        <f>IF($F49=0,0,H49/$F49)</f>
        <v>2.500000000041414</v>
      </c>
      <c r="H49" s="358">
        <f t="shared" ref="H49:H52" si="10">H13+H20+H27+H34+H41</f>
        <v>301830466.88</v>
      </c>
      <c r="I49" s="22">
        <f>IF($F49=0,0,J49/$F49)</f>
        <v>30</v>
      </c>
      <c r="J49" s="358">
        <f>J13+J20+J27+J34+J41</f>
        <v>3621965602.5</v>
      </c>
      <c r="K49" s="22">
        <f>IF($F49=0,0,L49/$F49)</f>
        <v>27.500000000041414</v>
      </c>
      <c r="L49" s="358">
        <f>L13+L20+L27+L34+L41</f>
        <v>3320135135.6300001</v>
      </c>
      <c r="M49" s="19">
        <f>IF($F49=0,0,N49/$F49)</f>
        <v>8.7499999994823247E-2</v>
      </c>
      <c r="N49" s="358">
        <f t="shared" ref="N49:P52" si="11">N13+N20+N27+N34+N41</f>
        <v>10564066.34</v>
      </c>
      <c r="O49" s="56">
        <f>-IF($F49=0,0,P49/$F49)</f>
        <v>-5.0000000020706988E-2</v>
      </c>
      <c r="P49" s="358">
        <f t="shared" si="11"/>
        <v>6036609.3399999999</v>
      </c>
      <c r="Q49" s="358">
        <f t="shared" ref="Q49" si="12">Q13+Q20+Q27+Q34+Q41</f>
        <v>8897861.4000000004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94757595.149999991</v>
      </c>
      <c r="G50" s="22">
        <f>IF($F50=0,0,H50/$F50)</f>
        <v>2.4994822764874698</v>
      </c>
      <c r="H50" s="358">
        <f t="shared" si="10"/>
        <v>236844929.63999999</v>
      </c>
      <c r="I50" s="22">
        <f>IF($F50=0,0,J50/$F50)</f>
        <v>28.823935627180173</v>
      </c>
      <c r="J50" s="358">
        <f>J14+J21+J28+J35+J42</f>
        <v>2731286822.79</v>
      </c>
      <c r="K50" s="22">
        <f>IF($F50=0,0,L50/$F50)</f>
        <v>26.074444323316072</v>
      </c>
      <c r="L50" s="358">
        <f>L14+L21+L28+L35+L42</f>
        <v>2470751638.9499998</v>
      </c>
      <c r="M50" s="19">
        <f>IF($F50=0,0,N50/$F50)</f>
        <v>0.10035188245277035</v>
      </c>
      <c r="N50" s="358">
        <f t="shared" si="11"/>
        <v>9509103.0500000007</v>
      </c>
      <c r="O50" s="56">
        <f>-IF($F50=0,0,P50/$F50)</f>
        <v>-4.9999999920850677E-2</v>
      </c>
      <c r="P50" s="358">
        <f t="shared" si="11"/>
        <v>4737879.75</v>
      </c>
      <c r="Q50" s="358">
        <f t="shared" ref="Q50" si="13">Q14+Q21+Q28+Q35+Q42</f>
        <v>9023841.5099999998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8509953.3300000001</v>
      </c>
      <c r="G51" s="22">
        <f>IF($F51=0,0,H51/$F51)</f>
        <v>2.4827142700675657</v>
      </c>
      <c r="H51" s="358">
        <f t="shared" si="10"/>
        <v>21127782.57</v>
      </c>
      <c r="I51" s="22">
        <f>IF($F51=0,0,J51/$F51)</f>
        <v>20</v>
      </c>
      <c r="J51" s="358">
        <f>J15+J22+J29+J36+J43</f>
        <v>170199066.59999999</v>
      </c>
      <c r="K51" s="22">
        <f>IF($F51=0,0,L51/$F51)</f>
        <v>17.494781358571796</v>
      </c>
      <c r="L51" s="358">
        <f>L15+L22+L29+L36+L43</f>
        <v>148879772.88</v>
      </c>
      <c r="M51" s="19">
        <f>IF($F51=0,0,N51/$F51)</f>
        <v>0.13152400331671385</v>
      </c>
      <c r="N51" s="358">
        <f t="shared" si="11"/>
        <v>1119263.1300000001</v>
      </c>
      <c r="O51" s="56">
        <f>-IF($F51=0,0,P51/$F51)</f>
        <v>-4.9999999236188523E-2</v>
      </c>
      <c r="P51" s="358">
        <f t="shared" si="11"/>
        <v>425497.66</v>
      </c>
      <c r="Q51" s="358">
        <f t="shared" ref="Q51" si="14">Q15+Q22+Q29+Q36+Q43</f>
        <v>1012388.06</v>
      </c>
      <c r="R51" s="48"/>
    </row>
    <row r="52" spans="1:18" ht="15.95" customHeight="1" thickBot="1" x14ac:dyDescent="0.25">
      <c r="A52" s="49"/>
      <c r="B52" s="49"/>
      <c r="C52" s="33">
        <v>14</v>
      </c>
      <c r="D52" s="34" t="s">
        <v>22</v>
      </c>
      <c r="E52" s="61" t="s">
        <v>359</v>
      </c>
      <c r="F52" s="250">
        <f>F16+F23+F30+F37+F44</f>
        <v>0</v>
      </c>
      <c r="G52" s="20">
        <f>IF($F52=0,0,H52/$F52)</f>
        <v>0</v>
      </c>
      <c r="H52" s="250">
        <f t="shared" si="10"/>
        <v>0</v>
      </c>
      <c r="I52" s="20">
        <f>IF($F52=0,0,J52/$F52)</f>
        <v>0</v>
      </c>
      <c r="J52" s="250">
        <f>J16+J23+J30+J37+J44</f>
        <v>0</v>
      </c>
      <c r="K52" s="20">
        <f>IF($F52=0,0,L52/$F52)</f>
        <v>0</v>
      </c>
      <c r="L52" s="250">
        <f>L16+L23+L30+L37+L44</f>
        <v>0</v>
      </c>
      <c r="M52" s="21">
        <f>IF($F52=0,0,N52/$F52)</f>
        <v>0</v>
      </c>
      <c r="N52" s="250">
        <f t="shared" si="11"/>
        <v>0</v>
      </c>
      <c r="O52" s="57">
        <f>-IF($F52=0,0,P52/$F52)</f>
        <v>0</v>
      </c>
      <c r="P52" s="250">
        <f t="shared" si="11"/>
        <v>0</v>
      </c>
      <c r="Q52" s="250">
        <f t="shared" ref="Q52" si="15">Q16+Q23+Q30+Q37+Q44</f>
        <v>0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223999735.22999999</v>
      </c>
      <c r="G53" s="444">
        <f>IF($F53=0,0,H53/$F53)</f>
        <v>2.4991242892104379</v>
      </c>
      <c r="H53" s="443">
        <f t="shared" ref="H53" si="16">SUM(H49:H52)</f>
        <v>559803179.09000003</v>
      </c>
      <c r="I53" s="444">
        <f>IF($F53=0,0,J53/$F53)</f>
        <v>29.122585726236711</v>
      </c>
      <c r="J53" s="443">
        <f>SUM(J49:J52)</f>
        <v>6523451491.8900003</v>
      </c>
      <c r="K53" s="444">
        <f>IF($F53=0,0,L53/$F53)</f>
        <v>26.516846287166928</v>
      </c>
      <c r="L53" s="443">
        <f>SUM(L49:L52)</f>
        <v>5939766547.46</v>
      </c>
      <c r="M53" s="445">
        <f>IF($F53=0,0,N53/$F53)</f>
        <v>9.4609185578902077E-2</v>
      </c>
      <c r="N53" s="443">
        <f t="shared" ref="N53:P53" si="17">SUM(N49:N52)</f>
        <v>21192432.52</v>
      </c>
      <c r="O53" s="446">
        <f>-IF($F53=0,0,P53/$F53)</f>
        <v>-4.9999999948660653E-2</v>
      </c>
      <c r="P53" s="443">
        <f t="shared" si="17"/>
        <v>11199986.75</v>
      </c>
      <c r="Q53" s="443">
        <f t="shared" ref="Q53" si="18">SUM(Q49:Q52)</f>
        <v>18934090.969999999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74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34186</v>
      </c>
      <c r="F56" s="352">
        <f>IFERROR(VLOOKUP(E56,'2019 B-7'!C:P,14,FALSE),0)</f>
        <v>13374554.049999999</v>
      </c>
      <c r="G56" s="353">
        <f>F56-F17</f>
        <v>13374554.049999999</v>
      </c>
      <c r="P56" s="260">
        <f>E56</f>
        <v>34186</v>
      </c>
      <c r="Q56" s="352">
        <f>IFERROR(VLOOKUP(P56,'2019 B-9'!C:R,16,FALSE),0)</f>
        <v>2447642.5100000002</v>
      </c>
      <c r="R56" s="353">
        <f>Q56-Q17</f>
        <v>2447642.5100000002</v>
      </c>
    </row>
    <row r="57" spans="1:18" x14ac:dyDescent="0.2">
      <c r="E57" s="260">
        <v>34286</v>
      </c>
      <c r="F57" s="352">
        <f>IFERROR(VLOOKUP(E57,'2019 B-7'!C:P,14,FALSE),0)</f>
        <v>213579047.27999994</v>
      </c>
      <c r="G57" s="353">
        <f>F57-F24</f>
        <v>0</v>
      </c>
      <c r="P57" s="260">
        <f t="shared" ref="P57:P60" si="19">E57</f>
        <v>34286</v>
      </c>
      <c r="Q57" s="352">
        <f>IFERROR(VLOOKUP(P57,'2019 B-9'!C:R,16,FALSE),0)</f>
        <v>17071578.639999993</v>
      </c>
      <c r="R57" s="353">
        <f>Q57-Q24</f>
        <v>0</v>
      </c>
    </row>
    <row r="58" spans="1:18" x14ac:dyDescent="0.2">
      <c r="E58" s="260">
        <v>34386</v>
      </c>
      <c r="F58" s="352">
        <f>IFERROR(VLOOKUP(E58,'2019 B-7'!C:P,14,FALSE),0)</f>
        <v>223541175.92999995</v>
      </c>
      <c r="G58" s="353">
        <f>F58-F31</f>
        <v>223541175.92999995</v>
      </c>
      <c r="P58" s="260">
        <f t="shared" si="19"/>
        <v>34386</v>
      </c>
      <c r="Q58" s="352">
        <f>IFERROR(VLOOKUP(P58,'2019 B-9'!C:R,16,FALSE),0)</f>
        <v>17777814.090000004</v>
      </c>
      <c r="R58" s="353">
        <f>Q58-Q31</f>
        <v>17777814.090000004</v>
      </c>
    </row>
    <row r="59" spans="1:18" x14ac:dyDescent="0.2">
      <c r="E59" s="260">
        <v>34586</v>
      </c>
      <c r="F59" s="352">
        <f>IFERROR(VLOOKUP(E59,'2019 B-7'!C:P,14,FALSE),0)</f>
        <v>18335993.590000004</v>
      </c>
      <c r="G59" s="353">
        <f>F59-F38</f>
        <v>7915305.6400000043</v>
      </c>
      <c r="P59" s="260">
        <f t="shared" si="19"/>
        <v>34586</v>
      </c>
      <c r="Q59" s="352">
        <f>IFERROR(VLOOKUP(P59,'2019 B-9'!C:R,16,FALSE),0)</f>
        <v>1862512.3300000003</v>
      </c>
      <c r="R59" s="353">
        <f>Q59-Q38</f>
        <v>0</v>
      </c>
    </row>
    <row r="60" spans="1:18" x14ac:dyDescent="0.2">
      <c r="E60" s="260">
        <v>34686</v>
      </c>
      <c r="F60" s="352">
        <f>IFERROR(VLOOKUP(E60,'2019 B-7'!C:P,14,FALSE),0)</f>
        <v>141626.41</v>
      </c>
      <c r="G60" s="353">
        <f>F60-F45</f>
        <v>141626.41</v>
      </c>
      <c r="P60" s="260">
        <f t="shared" si="19"/>
        <v>34686</v>
      </c>
      <c r="Q60" s="352">
        <f>IFERROR(VLOOKUP(P60,'2019 B-9'!C:R,16,FALSE),0)</f>
        <v>9925.5400000000027</v>
      </c>
      <c r="R60" s="353">
        <f>Q60-Q45</f>
        <v>9925.5400000000027</v>
      </c>
    </row>
    <row r="61" spans="1:18" ht="13.5" thickBot="1" x14ac:dyDescent="0.25">
      <c r="E61" s="349" t="s">
        <v>40</v>
      </c>
      <c r="F61" s="354">
        <f>SUM(F56:F60)</f>
        <v>468972397.25999993</v>
      </c>
      <c r="G61" s="354">
        <f>SUM(G56:G60)</f>
        <v>244972662.02999997</v>
      </c>
      <c r="P61" s="349" t="s">
        <v>40</v>
      </c>
      <c r="Q61" s="354">
        <f>SUM(Q56:Q60)</f>
        <v>39169473.109999992</v>
      </c>
      <c r="R61" s="354">
        <f>SUM(R56:R60)</f>
        <v>20235382.140000004</v>
      </c>
    </row>
    <row r="62" spans="1:18" ht="13.5" thickTop="1" x14ac:dyDescent="0.2">
      <c r="E62" s="29"/>
      <c r="F62" s="353">
        <f>F61-F53</f>
        <v>244972662.02999994</v>
      </c>
      <c r="G62" s="353">
        <f>G61-F62</f>
        <v>0</v>
      </c>
      <c r="P62" s="50"/>
      <c r="Q62" s="353">
        <f>Q61-Q53</f>
        <v>20235382.139999993</v>
      </c>
      <c r="R62" s="353">
        <f>R61-Q62</f>
        <v>0</v>
      </c>
    </row>
    <row r="63" spans="1:18" x14ac:dyDescent="0.2">
      <c r="E63" s="29"/>
      <c r="G63" s="18"/>
    </row>
    <row r="64" spans="1:18" x14ac:dyDescent="0.2">
      <c r="E64" s="29"/>
      <c r="G64" s="29"/>
    </row>
    <row r="65" spans="5:7" x14ac:dyDescent="0.2">
      <c r="E65" s="29"/>
      <c r="G65" s="29"/>
    </row>
    <row r="66" spans="5:7" x14ac:dyDescent="0.2">
      <c r="E66" s="29"/>
    </row>
    <row r="67" spans="5:7" x14ac:dyDescent="0.2">
      <c r="E67" s="50"/>
    </row>
  </sheetData>
  <printOptions horizontalCentered="1"/>
  <pageMargins left="0.75" right="0.75" top="0.5" bottom="0.5" header="0" footer="0"/>
  <pageSetup scale="65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7" tint="-0.249977111117893"/>
    <pageSetUpPr fitToPage="1"/>
  </sheetPr>
  <dimension ref="A1:V75"/>
  <sheetViews>
    <sheetView zoomScaleNormal="100" workbookViewId="0">
      <pane xSplit="4" ySplit="10" topLeftCell="F11" activePane="bottomRight" state="frozen"/>
      <selection activeCell="N52" sqref="N52"/>
      <selection pane="topRight" activeCell="N52" sqref="N52"/>
      <selection pane="bottomLeft" activeCell="N52" sqref="N52"/>
      <selection pane="bottomRight" activeCell="C14" sqref="C14"/>
    </sheetView>
  </sheetViews>
  <sheetFormatPr defaultColWidth="9.140625" defaultRowHeight="12.75" x14ac:dyDescent="0.2"/>
  <cols>
    <col min="1" max="1" width="32.85546875" style="37" bestFit="1" customWidth="1"/>
    <col min="2" max="2" width="11.28515625" style="37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2" width="12.2851562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851</v>
      </c>
      <c r="D6" s="399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0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1297</v>
      </c>
      <c r="E12" s="50"/>
      <c r="P12" s="18"/>
      <c r="Q12" s="18"/>
      <c r="R12" s="48"/>
    </row>
    <row r="13" spans="1:22" ht="15.95" customHeight="1" x14ac:dyDescent="0.2">
      <c r="A13" s="396" t="s">
        <v>939</v>
      </c>
      <c r="B13" s="499">
        <f>IFERROR(VLOOKUP($A13,'PP DS Query'!$C$1:$R$1005,5,FALSE),0)</f>
        <v>0</v>
      </c>
      <c r="C13" s="33">
        <f>IFERROR(VLOOKUP($A13,'PP DS Query'!$C$1:$R$1005,3,FALSE),0)</f>
        <v>0</v>
      </c>
      <c r="D13" s="34" t="s">
        <v>22</v>
      </c>
      <c r="E13" s="360">
        <f>IFERROR(VLOOKUP($A13,'PP DS Query'!$C$1:$R$1005,2,FALSE),0)</f>
        <v>0</v>
      </c>
      <c r="F13" s="358">
        <f>IFERROR(VLOOKUP($A13,'PP DS Query'!$C$1:$R$1005,6,FALSE),0)</f>
        <v>0</v>
      </c>
      <c r="G13" s="22">
        <f>IFERROR(VLOOKUP($A13,'PP DS Query'!$C$1:$R$1005,7,FALSE),0)</f>
        <v>0</v>
      </c>
      <c r="H13" s="358">
        <f>IFERROR(VLOOKUP($A13,'PP DS Query'!$C$1:$R$1005,8,FALSE),0)</f>
        <v>0</v>
      </c>
      <c r="I13" s="22">
        <f>IFERROR(VLOOKUP($A13,'PP DS Query'!$C$1:$R$1005,9,FALSE),0)</f>
        <v>0</v>
      </c>
      <c r="J13" s="358">
        <f>IFERROR(VLOOKUP($A13,'PP DS Query'!$C$1:$R$1005,10,FALSE),0)</f>
        <v>0</v>
      </c>
      <c r="K13" s="22">
        <f>IFERROR(VLOOKUP($A13,'PP DS Query'!$C$1:$R$1005,11,FALSE),0)</f>
        <v>0</v>
      </c>
      <c r="L13" s="358">
        <f>IFERROR(VLOOKUP($A13,'PP DS Query'!$C$1:$R$1005,12,FALSE),0)</f>
        <v>0</v>
      </c>
      <c r="M13" s="19">
        <f>IFERROR(VLOOKUP($A13,'PP DS Query'!$C$1:$R$1005,13,FALSE),0)</f>
        <v>0</v>
      </c>
      <c r="N13" s="358">
        <f>IFERROR(VLOOKUP($A13,'PP DS Query'!$C$1:$R$1005,14,FALSE),0)</f>
        <v>0</v>
      </c>
      <c r="O13" s="56">
        <f>IFERROR(VLOOKUP($A13,'PP DS Query'!$C$1:$R$1005,4,FALSE),0)</f>
        <v>0</v>
      </c>
      <c r="P13" s="358">
        <f>-IFERROR(VLOOKUP($A13,'PP DS Query'!$C$1:$R$1005,15,FALSE),0)</f>
        <v>0</v>
      </c>
      <c r="Q13" s="358">
        <f>IFERROR(VLOOKUP($A13,'PP DS Query'!$C$1:$R$1005,16,FALSE),0)</f>
        <v>0</v>
      </c>
      <c r="R13" s="48"/>
      <c r="S13" s="472">
        <f>IFERROR(ROUND(LEFT(A13,7)*100,0),0)</f>
        <v>34199</v>
      </c>
      <c r="T13" s="472" t="s">
        <v>962</v>
      </c>
      <c r="U13" s="474">
        <f>IFERROR(VLOOKUP($S13,#REF!,6,FALSE),0)</f>
        <v>0</v>
      </c>
      <c r="V13" s="473">
        <f>U13-F13</f>
        <v>0</v>
      </c>
    </row>
    <row r="14" spans="1:22" ht="15.95" customHeight="1" x14ac:dyDescent="0.2">
      <c r="A14" s="396" t="s">
        <v>940</v>
      </c>
      <c r="B14" s="499">
        <f>IFERROR(VLOOKUP($A14,'PP DS Query'!$C$1:$R$1005,5,FALSE),0)</f>
        <v>0</v>
      </c>
      <c r="C14" s="33">
        <f>IFERROR(VLOOKUP($A14,'PP DS Query'!$C$1:$R$1005,3,FALSE),0)</f>
        <v>0</v>
      </c>
      <c r="D14" s="34" t="s">
        <v>22</v>
      </c>
      <c r="E14" s="360">
        <f>IFERROR(VLOOKUP($A14,'PP DS Query'!$C$1:$R$1005,2,FALSE),0)</f>
        <v>0</v>
      </c>
      <c r="F14" s="358">
        <f>IFERROR(VLOOKUP($A14,'PP DS Query'!$C$1:$R$1005,6,FALSE),0)</f>
        <v>0</v>
      </c>
      <c r="G14" s="22">
        <f>IFERROR(VLOOKUP($A14,'PP DS Query'!$C$1:$R$1005,7,FALSE),0)</f>
        <v>0</v>
      </c>
      <c r="H14" s="358">
        <f>IFERROR(VLOOKUP($A14,'PP DS Query'!$C$1:$R$1005,8,FALSE),0)</f>
        <v>0</v>
      </c>
      <c r="I14" s="22">
        <f>IFERROR(VLOOKUP($A14,'PP DS Query'!$C$1:$R$1005,9,FALSE),0)</f>
        <v>0</v>
      </c>
      <c r="J14" s="358">
        <f>IFERROR(VLOOKUP($A14,'PP DS Query'!$C$1:$R$1005,10,FALSE),0)</f>
        <v>0</v>
      </c>
      <c r="K14" s="22">
        <f>IFERROR(VLOOKUP($A14,'PP DS Query'!$C$1:$R$1005,11,FALSE),0)</f>
        <v>0</v>
      </c>
      <c r="L14" s="358">
        <f>IFERROR(VLOOKUP($A14,'PP DS Query'!$C$1:$R$1005,12,FALSE),0)</f>
        <v>0</v>
      </c>
      <c r="M14" s="19">
        <f>IFERROR(VLOOKUP($A14,'PP DS Query'!$C$1:$R$1005,13,FALSE),0)</f>
        <v>0</v>
      </c>
      <c r="N14" s="358">
        <f>IFERROR(VLOOKUP($A14,'PP DS Query'!$C$1:$R$1005,14,FALSE),0)</f>
        <v>0</v>
      </c>
      <c r="O14" s="56">
        <f>IFERROR(VLOOKUP($A14,'PP DS Query'!$C$1:$R$1005,4,FALSE),0)</f>
        <v>0</v>
      </c>
      <c r="P14" s="358">
        <f>-IFERROR(VLOOKUP($A14,'PP DS Query'!$C$1:$R$1005,15,FALSE),0)</f>
        <v>0</v>
      </c>
      <c r="Q14" s="358">
        <f>IFERROR(VLOOKUP($A14,'PP DS Query'!$C$1:$R$1005,16,FALSE),0)</f>
        <v>0</v>
      </c>
      <c r="R14" s="48"/>
      <c r="S14" s="472">
        <f t="shared" ref="S14:S15" si="0">IFERROR(ROUND(LEFT(A14,7)*100,0),0)</f>
        <v>34199</v>
      </c>
      <c r="T14" s="472" t="s">
        <v>963</v>
      </c>
      <c r="U14" s="474">
        <f>IFERROR(VLOOKUP($S14,#REF!,7,FALSE),0)</f>
        <v>0</v>
      </c>
      <c r="V14" s="473">
        <f t="shared" ref="V14:V15" si="1">U14-F14</f>
        <v>0</v>
      </c>
    </row>
    <row r="15" spans="1:22" ht="15.95" customHeight="1" thickBot="1" x14ac:dyDescent="0.25">
      <c r="A15" s="396" t="s">
        <v>941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61">
        <f>IFERROR(VLOOKUP($A15,'PP DS Query'!$C$1:$R$1005,2,FALSE),0)</f>
        <v>0</v>
      </c>
      <c r="F15" s="250">
        <f>IFERROR(VLOOKUP($A15,'PP DS Query'!$C$1:$R$1005,6,FALSE),0)</f>
        <v>0</v>
      </c>
      <c r="G15" s="20">
        <f>IFERROR(VLOOKUP($A15,'PP DS Query'!$C$1:$R$1005,7,FALSE),0)</f>
        <v>0</v>
      </c>
      <c r="H15" s="250">
        <f>IFERROR(VLOOKUP($A15,'PP DS Query'!$C$1:$R$1005,8,FALSE),0)</f>
        <v>0</v>
      </c>
      <c r="I15" s="20">
        <f>IFERROR(VLOOKUP($A15,'PP DS Query'!$C$1:$R$1005,9,FALSE),0)</f>
        <v>0</v>
      </c>
      <c r="J15" s="250">
        <f>IFERROR(VLOOKUP($A15,'PP DS Query'!$C$1:$R$1005,10,FALSE),0)</f>
        <v>0</v>
      </c>
      <c r="K15" s="20">
        <f>IFERROR(VLOOKUP($A15,'PP DS Query'!$C$1:$R$1005,11,FALSE),0)</f>
        <v>0</v>
      </c>
      <c r="L15" s="250">
        <f>IFERROR(VLOOKUP($A15,'PP DS Query'!$C$1:$R$1005,12,FALSE),0)</f>
        <v>0</v>
      </c>
      <c r="M15" s="21">
        <f>IFERROR(VLOOKUP($A15,'PP DS Query'!$C$1:$R$1005,13,FALSE),0)</f>
        <v>0</v>
      </c>
      <c r="N15" s="250">
        <f>IFERROR(VLOOKUP($A15,'PP DS Query'!$C$1:$R$1005,14,FALSE),0)</f>
        <v>0</v>
      </c>
      <c r="O15" s="57">
        <f>IFERROR(VLOOKUP($A15,'PP DS Query'!$C$1:$R$1005,4,FALSE),0)</f>
        <v>0</v>
      </c>
      <c r="P15" s="250">
        <f>-IFERROR(VLOOKUP($A15,'PP DS Query'!$C$1:$R$1005,15,FALSE),0)</f>
        <v>0</v>
      </c>
      <c r="Q15" s="250">
        <f>IFERROR(VLOOKUP($A15,'PP DS Query'!$C$1:$R$1005,16,FALSE),0)</f>
        <v>0</v>
      </c>
      <c r="R15" s="48"/>
      <c r="S15" s="472">
        <f t="shared" si="0"/>
        <v>34199</v>
      </c>
      <c r="T15" s="472" t="s">
        <v>964</v>
      </c>
      <c r="U15" s="475">
        <f>IFERROR(VLOOKUP($S15,#REF!,8,FALSE),0)</f>
        <v>0</v>
      </c>
      <c r="V15" s="476">
        <f t="shared" si="1"/>
        <v>0</v>
      </c>
    </row>
    <row r="16" spans="1:22" ht="15.95" customHeight="1" x14ac:dyDescent="0.2">
      <c r="A16" s="49" t="s">
        <v>1075</v>
      </c>
      <c r="B16" s="499">
        <f>IFERROR(VLOOKUP($A16,'PP DS Query'!$C$1:$R$1005,5,FALSE),0)</f>
        <v>0</v>
      </c>
      <c r="C16" s="33"/>
      <c r="D16" s="34"/>
      <c r="E16" s="15"/>
      <c r="F16" s="443">
        <f>IFERROR(VLOOKUP($A16,'PP DS Query'!$C$1:$R$1005,6,FALSE),0)</f>
        <v>0</v>
      </c>
      <c r="G16" s="444">
        <f>IFERROR(VLOOKUP($A16,'PP DS Query'!$C$1:$R$1005,7,FALSE),0)</f>
        <v>0</v>
      </c>
      <c r="H16" s="443">
        <f>IFERROR(VLOOKUP($A16,'PP DS Query'!$C$1:$R$1005,8,FALSE),0)</f>
        <v>0</v>
      </c>
      <c r="I16" s="444">
        <f>IFERROR(VLOOKUP($A16,'PP DS Query'!$C$1:$R$1005,9,FALSE),0)</f>
        <v>0</v>
      </c>
      <c r="J16" s="443">
        <f>IFERROR(VLOOKUP($A16,'PP DS Query'!$C$1:$R$1005,10,FALSE),0)</f>
        <v>0</v>
      </c>
      <c r="K16" s="444">
        <f>IFERROR(VLOOKUP($A16,'PP DS Query'!$C$1:$R$1005,11,FALSE),0)</f>
        <v>0</v>
      </c>
      <c r="L16" s="443">
        <f>IFERROR(VLOOKUP($A16,'PP DS Query'!$C$1:$R$1005,12,FALSE),0)</f>
        <v>0</v>
      </c>
      <c r="M16" s="445">
        <f>IFERROR(VLOOKUP($A16,'PP DS Query'!$C$1:$R$1005,13,FALSE),0)</f>
        <v>0</v>
      </c>
      <c r="N16" s="443">
        <f>IFERROR(VLOOKUP($A16,'PP DS Query'!$C$1:$R$1005,14,FALSE),0)</f>
        <v>0</v>
      </c>
      <c r="O16" s="446">
        <f>IFERROR(VLOOKUP($A16,'PP DS Query'!$C$1:$R$1005,4,FALSE),0)</f>
        <v>0</v>
      </c>
      <c r="P16" s="443">
        <f>-IFERROR(VLOOKUP($A16,'PP DS Query'!$C$1:$R$1005,15,FALSE),0)</f>
        <v>0</v>
      </c>
      <c r="Q16" s="443">
        <f>IFERROR(VLOOKUP($A16,'PP DS Query'!$C$1:$R$1005,16,FALSE),0)</f>
        <v>0</v>
      </c>
      <c r="R16" s="48"/>
      <c r="U16" s="473">
        <f>SUM(U13:U15)</f>
        <v>0</v>
      </c>
      <c r="V16" s="473">
        <f>SUM(V13:V15)</f>
        <v>0</v>
      </c>
    </row>
    <row r="17" spans="1:22" ht="15.95" customHeight="1" x14ac:dyDescent="0.2">
      <c r="A17" s="49"/>
      <c r="B17" s="499"/>
      <c r="C17" s="15"/>
      <c r="E17" s="360"/>
      <c r="G17" s="22"/>
      <c r="O17" s="59"/>
      <c r="P17" s="18"/>
      <c r="Q17" s="18"/>
      <c r="R17" s="48"/>
    </row>
    <row r="18" spans="1:22" ht="15.95" customHeight="1" x14ac:dyDescent="0.2">
      <c r="A18" s="49"/>
      <c r="B18" s="49"/>
      <c r="C18" s="24" t="s">
        <v>1298</v>
      </c>
      <c r="E18" s="360"/>
      <c r="G18" s="22"/>
      <c r="O18" s="59"/>
      <c r="P18" s="18"/>
      <c r="Q18" s="18"/>
      <c r="R18" s="48"/>
      <c r="U18" s="76"/>
      <c r="V18" s="394"/>
    </row>
    <row r="19" spans="1:22" ht="15.95" customHeight="1" x14ac:dyDescent="0.2">
      <c r="A19" s="396" t="s">
        <v>951</v>
      </c>
      <c r="B19" s="499">
        <f>IFERROR(VLOOKUP($A19,'PP DS Query'!$C$1:$R$1005,5,FALSE),0)</f>
        <v>0</v>
      </c>
      <c r="C19" s="33">
        <f>IFERROR(VLOOKUP($A19,'PP DS Query'!$C$1:$R$1005,3,FALSE),0)</f>
        <v>0</v>
      </c>
      <c r="D19" s="34" t="s">
        <v>22</v>
      </c>
      <c r="E19" s="360">
        <f>IFERROR(VLOOKUP($A19,'PP DS Query'!$C$1:$R$1005,2,FALSE),0)</f>
        <v>0</v>
      </c>
      <c r="F19" s="358">
        <f>IFERROR(VLOOKUP($A19,'PP DS Query'!$C$1:$R$1005,6,FALSE),0)</f>
        <v>0</v>
      </c>
      <c r="G19" s="22">
        <f>IFERROR(VLOOKUP($A19,'PP DS Query'!$C$1:$R$1005,7,FALSE),0)</f>
        <v>0</v>
      </c>
      <c r="H19" s="358">
        <f>IFERROR(VLOOKUP($A19,'PP DS Query'!$C$1:$R$1005,8,FALSE),0)</f>
        <v>0</v>
      </c>
      <c r="I19" s="22">
        <f>IFERROR(VLOOKUP($A19,'PP DS Query'!$C$1:$R$1005,9,FALSE),0)</f>
        <v>0</v>
      </c>
      <c r="J19" s="358">
        <f>IFERROR(VLOOKUP($A19,'PP DS Query'!$C$1:$R$1005,10,FALSE),0)</f>
        <v>0</v>
      </c>
      <c r="K19" s="22">
        <f>IFERROR(VLOOKUP($A19,'PP DS Query'!$C$1:$R$1005,11,FALSE),0)</f>
        <v>0</v>
      </c>
      <c r="L19" s="358">
        <f>IFERROR(VLOOKUP($A19,'PP DS Query'!$C$1:$R$1005,12,FALSE),0)</f>
        <v>0</v>
      </c>
      <c r="M19" s="19">
        <f>IFERROR(VLOOKUP($A19,'PP DS Query'!$C$1:$R$1005,13,FALSE),0)</f>
        <v>0</v>
      </c>
      <c r="N19" s="358">
        <f>IFERROR(VLOOKUP($A19,'PP DS Query'!$C$1:$R$1005,14,FALSE),0)</f>
        <v>0</v>
      </c>
      <c r="O19" s="56">
        <f>IFERROR(VLOOKUP($A19,'PP DS Query'!$C$1:$R$1005,4,FALSE),0)</f>
        <v>0</v>
      </c>
      <c r="P19" s="358">
        <f>-IFERROR(VLOOKUP($A19,'PP DS Query'!$C$1:$R$1005,15,FALSE),0)</f>
        <v>0</v>
      </c>
      <c r="Q19" s="358">
        <f>IFERROR(VLOOKUP($A19,'PP DS Query'!$C$1:$R$1005,16,FALSE),0)</f>
        <v>0</v>
      </c>
      <c r="R19" s="48"/>
      <c r="S19" s="472">
        <f>IFERROR(ROUND(LEFT(A19,7)*100,0),0)</f>
        <v>34299</v>
      </c>
      <c r="T19" s="472" t="s">
        <v>962</v>
      </c>
      <c r="U19" s="474">
        <f>IFERROR(VLOOKUP($S19,#REF!,6,FALSE),0)</f>
        <v>0</v>
      </c>
      <c r="V19" s="473">
        <f>U19-F19</f>
        <v>0</v>
      </c>
    </row>
    <row r="20" spans="1:22" ht="15.95" customHeight="1" x14ac:dyDescent="0.2">
      <c r="A20" s="396" t="s">
        <v>952</v>
      </c>
      <c r="B20" s="499">
        <f>IFERROR(VLOOKUP($A20,'PP DS Query'!$C$1:$R$1005,5,FALSE),0)</f>
        <v>0</v>
      </c>
      <c r="C20" s="33">
        <f>IFERROR(VLOOKUP($A20,'PP DS Query'!$C$1:$R$1005,3,FALSE),0)</f>
        <v>0</v>
      </c>
      <c r="D20" s="34" t="s">
        <v>22</v>
      </c>
      <c r="E20" s="360">
        <f>IFERROR(VLOOKUP($A20,'PP DS Query'!$C$1:$R$1005,2,FALSE),0)</f>
        <v>0</v>
      </c>
      <c r="F20" s="358">
        <f>IFERROR(VLOOKUP($A20,'PP DS Query'!$C$1:$R$1005,6,FALSE),0)</f>
        <v>0</v>
      </c>
      <c r="G20" s="22">
        <f>IFERROR(VLOOKUP($A20,'PP DS Query'!$C$1:$R$1005,7,FALSE),0)</f>
        <v>0</v>
      </c>
      <c r="H20" s="358">
        <f>IFERROR(VLOOKUP($A20,'PP DS Query'!$C$1:$R$1005,8,FALSE),0)</f>
        <v>0</v>
      </c>
      <c r="I20" s="22">
        <f>IFERROR(VLOOKUP($A20,'PP DS Query'!$C$1:$R$1005,9,FALSE),0)</f>
        <v>0</v>
      </c>
      <c r="J20" s="358">
        <f>IFERROR(VLOOKUP($A20,'PP DS Query'!$C$1:$R$1005,10,FALSE),0)</f>
        <v>0</v>
      </c>
      <c r="K20" s="22">
        <f>IFERROR(VLOOKUP($A20,'PP DS Query'!$C$1:$R$1005,11,FALSE),0)</f>
        <v>0</v>
      </c>
      <c r="L20" s="358">
        <f>IFERROR(VLOOKUP($A20,'PP DS Query'!$C$1:$R$1005,12,FALSE),0)</f>
        <v>0</v>
      </c>
      <c r="M20" s="19">
        <f>IFERROR(VLOOKUP($A20,'PP DS Query'!$C$1:$R$1005,13,FALSE),0)</f>
        <v>0</v>
      </c>
      <c r="N20" s="358">
        <f>IFERROR(VLOOKUP($A20,'PP DS Query'!$C$1:$R$1005,14,FALSE),0)</f>
        <v>0</v>
      </c>
      <c r="O20" s="56">
        <f>IFERROR(VLOOKUP($A20,'PP DS Query'!$C$1:$R$1005,4,FALSE),0)</f>
        <v>0</v>
      </c>
      <c r="P20" s="358">
        <f>-IFERROR(VLOOKUP($A20,'PP DS Query'!$C$1:$R$1005,15,FALSE),0)</f>
        <v>0</v>
      </c>
      <c r="Q20" s="358">
        <f>IFERROR(VLOOKUP($A20,'PP DS Query'!$C$1:$R$1005,16,FALSE),0)</f>
        <v>0</v>
      </c>
      <c r="R20" s="48"/>
      <c r="S20" s="472">
        <f t="shared" ref="S20:S21" si="2">IFERROR(ROUND(LEFT(A20,7)*100,0),0)</f>
        <v>34299</v>
      </c>
      <c r="T20" s="472" t="s">
        <v>963</v>
      </c>
      <c r="U20" s="474">
        <f>IFERROR(VLOOKUP($S20,#REF!,7,FALSE),0)</f>
        <v>0</v>
      </c>
      <c r="V20" s="473">
        <f t="shared" ref="V20:V21" si="3">U20-F20</f>
        <v>0</v>
      </c>
    </row>
    <row r="21" spans="1:22" ht="15.95" customHeight="1" thickBot="1" x14ac:dyDescent="0.25">
      <c r="A21" s="396" t="s">
        <v>953</v>
      </c>
      <c r="B21" s="499">
        <f>IFERROR(VLOOKUP($A21,'PP DS Query'!$C$1:$R$1005,5,FALSE),0)</f>
        <v>0</v>
      </c>
      <c r="C21" s="33">
        <f>IFERROR(VLOOKUP($A21,'PP DS Query'!$C$1:$R$1005,3,FALSE),0)</f>
        <v>0</v>
      </c>
      <c r="D21" s="34" t="s">
        <v>22</v>
      </c>
      <c r="E21" s="61">
        <f>IFERROR(VLOOKUP($A21,'PP DS Query'!$C$1:$R$1005,2,FALSE),0)</f>
        <v>0</v>
      </c>
      <c r="F21" s="250">
        <f>IFERROR(VLOOKUP($A21,'PP DS Query'!$C$1:$R$1005,6,FALSE),0)</f>
        <v>0</v>
      </c>
      <c r="G21" s="20">
        <f>IFERROR(VLOOKUP($A21,'PP DS Query'!$C$1:$R$1005,7,FALSE),0)</f>
        <v>0</v>
      </c>
      <c r="H21" s="250">
        <f>IFERROR(VLOOKUP($A21,'PP DS Query'!$C$1:$R$1005,8,FALSE),0)</f>
        <v>0</v>
      </c>
      <c r="I21" s="20">
        <f>IFERROR(VLOOKUP($A21,'PP DS Query'!$C$1:$R$1005,9,FALSE),0)</f>
        <v>0</v>
      </c>
      <c r="J21" s="250">
        <f>IFERROR(VLOOKUP($A21,'PP DS Query'!$C$1:$R$1005,10,FALSE),0)</f>
        <v>0</v>
      </c>
      <c r="K21" s="20">
        <f>IFERROR(VLOOKUP($A21,'PP DS Query'!$C$1:$R$1005,11,FALSE),0)</f>
        <v>0</v>
      </c>
      <c r="L21" s="250">
        <f>IFERROR(VLOOKUP($A21,'PP DS Query'!$C$1:$R$1005,12,FALSE),0)</f>
        <v>0</v>
      </c>
      <c r="M21" s="21">
        <f>IFERROR(VLOOKUP($A21,'PP DS Query'!$C$1:$R$1005,13,FALSE),0)</f>
        <v>0</v>
      </c>
      <c r="N21" s="250">
        <f>IFERROR(VLOOKUP($A21,'PP DS Query'!$C$1:$R$1005,14,FALSE),0)</f>
        <v>0</v>
      </c>
      <c r="O21" s="57">
        <f>IFERROR(VLOOKUP($A21,'PP DS Query'!$C$1:$R$1005,4,FALSE),0)</f>
        <v>0</v>
      </c>
      <c r="P21" s="250">
        <f>-IFERROR(VLOOKUP($A21,'PP DS Query'!$C$1:$R$1005,15,FALSE),0)</f>
        <v>0</v>
      </c>
      <c r="Q21" s="250">
        <f>IFERROR(VLOOKUP($A21,'PP DS Query'!$C$1:$R$1005,16,FALSE),0)</f>
        <v>0</v>
      </c>
      <c r="R21" s="48"/>
      <c r="S21" s="472">
        <f t="shared" si="2"/>
        <v>34299</v>
      </c>
      <c r="T21" s="472" t="s">
        <v>964</v>
      </c>
      <c r="U21" s="475">
        <f>IFERROR(VLOOKUP($S21,#REF!,8,FALSE),0)</f>
        <v>0</v>
      </c>
      <c r="V21" s="476">
        <f t="shared" si="3"/>
        <v>0</v>
      </c>
    </row>
    <row r="22" spans="1:22" ht="15.95" customHeight="1" x14ac:dyDescent="0.2">
      <c r="A22" s="49" t="s">
        <v>1076</v>
      </c>
      <c r="B22" s="499">
        <f>IFERROR(VLOOKUP($A22,'PP DS Query'!$C$1:$R$1005,5,FALSE),0)</f>
        <v>0</v>
      </c>
      <c r="C22" s="33"/>
      <c r="D22" s="34"/>
      <c r="E22" s="15"/>
      <c r="F22" s="443">
        <f>IFERROR(VLOOKUP($A22,'PP DS Query'!$C$1:$R$1005,6,FALSE),0)</f>
        <v>0</v>
      </c>
      <c r="G22" s="444">
        <f>IFERROR(VLOOKUP($A22,'PP DS Query'!$C$1:$R$1005,7,FALSE),0)</f>
        <v>0</v>
      </c>
      <c r="H22" s="443">
        <f>IFERROR(VLOOKUP($A22,'PP DS Query'!$C$1:$R$1005,8,FALSE),0)</f>
        <v>0</v>
      </c>
      <c r="I22" s="444">
        <f>IFERROR(VLOOKUP($A22,'PP DS Query'!$C$1:$R$1005,9,FALSE),0)</f>
        <v>0</v>
      </c>
      <c r="J22" s="443">
        <f>IFERROR(VLOOKUP($A22,'PP DS Query'!$C$1:$R$1005,10,FALSE),0)</f>
        <v>0</v>
      </c>
      <c r="K22" s="444">
        <f>IFERROR(VLOOKUP($A22,'PP DS Query'!$C$1:$R$1005,11,FALSE),0)</f>
        <v>0</v>
      </c>
      <c r="L22" s="443">
        <f>IFERROR(VLOOKUP($A22,'PP DS Query'!$C$1:$R$1005,12,FALSE),0)</f>
        <v>0</v>
      </c>
      <c r="M22" s="445">
        <f>IFERROR(VLOOKUP($A22,'PP DS Query'!$C$1:$R$1005,13,FALSE),0)</f>
        <v>0</v>
      </c>
      <c r="N22" s="443">
        <f>IFERROR(VLOOKUP($A22,'PP DS Query'!$C$1:$R$1005,14,FALSE),0)</f>
        <v>0</v>
      </c>
      <c r="O22" s="446">
        <f>IFERROR(VLOOKUP($A22,'PP DS Query'!$C$1:$R$1005,4,FALSE),0)</f>
        <v>0</v>
      </c>
      <c r="P22" s="443">
        <f>-IFERROR(VLOOKUP($A22,'PP DS Query'!$C$1:$R$1005,15,FALSE),0)</f>
        <v>0</v>
      </c>
      <c r="Q22" s="443">
        <f>IFERROR(VLOOKUP($A22,'PP DS Query'!$C$1:$R$1005,16,FALSE),0)</f>
        <v>0</v>
      </c>
      <c r="R22" s="48"/>
      <c r="U22" s="473">
        <f>SUM(U19:U21)</f>
        <v>0</v>
      </c>
      <c r="V22" s="473">
        <f>SUM(V19:V21)</f>
        <v>0</v>
      </c>
    </row>
    <row r="23" spans="1:22" ht="15.95" customHeight="1" x14ac:dyDescent="0.2">
      <c r="A23" s="49"/>
      <c r="B23" s="49"/>
      <c r="C23" s="15"/>
      <c r="E23" s="360"/>
      <c r="G23" s="22"/>
      <c r="O23" s="59"/>
      <c r="P23" s="29"/>
      <c r="Q23" s="29"/>
      <c r="R23" s="48"/>
    </row>
    <row r="24" spans="1:22" ht="15.95" customHeight="1" x14ac:dyDescent="0.2">
      <c r="A24" s="49"/>
      <c r="B24" s="49"/>
      <c r="C24" s="24" t="s">
        <v>1299</v>
      </c>
      <c r="E24" s="360"/>
      <c r="G24" s="22"/>
      <c r="O24" s="59"/>
      <c r="P24" s="29"/>
      <c r="Q24" s="29"/>
      <c r="R24" s="48"/>
    </row>
    <row r="25" spans="1:22" ht="15.95" customHeight="1" x14ac:dyDescent="0.2">
      <c r="A25" s="396" t="s">
        <v>942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22">
        <f>IFERROR(VLOOKUP($A25,'PP DS Query'!$C$1:$R$1005,7,FALSE),0)</f>
        <v>0</v>
      </c>
      <c r="H25" s="358">
        <f>IFERROR(VLOOKUP($A25,'PP DS Query'!$C$1:$R$1005,8,FALSE),0)</f>
        <v>0</v>
      </c>
      <c r="I25" s="22">
        <f>IFERROR(VLOOKUP($A25,'PP DS Query'!$C$1:$R$1005,9,FALSE),0)</f>
        <v>0</v>
      </c>
      <c r="J25" s="358">
        <f>IFERROR(VLOOKUP($A25,'PP DS Query'!$C$1:$R$1005,10,FALSE),0)</f>
        <v>0</v>
      </c>
      <c r="K25" s="22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34399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943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22">
        <f>IFERROR(VLOOKUP($A26,'PP DS Query'!$C$1:$R$1005,7,FALSE),0)</f>
        <v>0</v>
      </c>
      <c r="H26" s="358">
        <f>IFERROR(VLOOKUP($A26,'PP DS Query'!$C$1:$R$1005,8,FALSE),0)</f>
        <v>0</v>
      </c>
      <c r="I26" s="22">
        <f>IFERROR(VLOOKUP($A26,'PP DS Query'!$C$1:$R$1005,9,FALSE),0)</f>
        <v>0</v>
      </c>
      <c r="J26" s="358">
        <f>IFERROR(VLOOKUP($A26,'PP DS Query'!$C$1:$R$1005,10,FALSE),0)</f>
        <v>0</v>
      </c>
      <c r="K26" s="22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34399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944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20">
        <f>IFERROR(VLOOKUP($A27,'PP DS Query'!$C$1:$R$1005,7,FALSE),0)</f>
        <v>0</v>
      </c>
      <c r="H27" s="250">
        <f>IFERROR(VLOOKUP($A27,'PP DS Query'!$C$1:$R$1005,8,FALSE),0)</f>
        <v>0</v>
      </c>
      <c r="I27" s="20">
        <f>IFERROR(VLOOKUP($A27,'PP DS Query'!$C$1:$R$1005,9,FALSE),0)</f>
        <v>0</v>
      </c>
      <c r="J27" s="250">
        <f>IFERROR(VLOOKUP($A27,'PP DS Query'!$C$1:$R$1005,10,FALSE),0)</f>
        <v>0</v>
      </c>
      <c r="K27" s="20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34399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1077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444">
        <f>IFERROR(VLOOKUP($A28,'PP DS Query'!$C$1:$R$1005,7,FALSE),0)</f>
        <v>0</v>
      </c>
      <c r="H28" s="443">
        <f>IFERROR(VLOOKUP($A28,'PP DS Query'!$C$1:$R$1005,8,FALSE),0)</f>
        <v>0</v>
      </c>
      <c r="I28" s="444">
        <f>IFERROR(VLOOKUP($A28,'PP DS Query'!$C$1:$R$1005,9,FALSE),0)</f>
        <v>0</v>
      </c>
      <c r="J28" s="443">
        <f>IFERROR(VLOOKUP($A28,'PP DS Query'!$C$1:$R$1005,10,FALSE),0)</f>
        <v>0</v>
      </c>
      <c r="K28" s="444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22"/>
      <c r="O29" s="59"/>
      <c r="P29" s="29"/>
      <c r="Q29" s="29"/>
      <c r="R29" s="48"/>
    </row>
    <row r="30" spans="1:22" ht="15.95" customHeight="1" x14ac:dyDescent="0.2">
      <c r="A30" s="49"/>
      <c r="B30" s="49"/>
      <c r="C30" s="24" t="s">
        <v>1300</v>
      </c>
      <c r="E30" s="360"/>
      <c r="G30" s="22"/>
      <c r="O30" s="59"/>
      <c r="P30" s="29"/>
      <c r="Q30" s="29"/>
      <c r="R30" s="48"/>
    </row>
    <row r="31" spans="1:22" ht="15.95" customHeight="1" x14ac:dyDescent="0.2">
      <c r="A31" s="396" t="s">
        <v>945</v>
      </c>
      <c r="B31" s="499">
        <f>IFERROR(VLOOKUP($A31,'PP DS Query'!$C$1:$R$1005,5,FALSE),0)</f>
        <v>0</v>
      </c>
      <c r="C31" s="33">
        <f>IFERROR(VLOOKUP($A31,'PP DS Query'!$C$1:$R$1005,3,FALSE),0)</f>
        <v>0</v>
      </c>
      <c r="D31" s="34" t="s">
        <v>22</v>
      </c>
      <c r="E31" s="360">
        <f>IFERROR(VLOOKUP($A31,'PP DS Query'!$C$1:$R$1005,2,FALSE),0)</f>
        <v>0</v>
      </c>
      <c r="F31" s="358">
        <f>IFERROR(VLOOKUP($A31,'PP DS Query'!$C$1:$R$1005,6,FALSE),0)</f>
        <v>0</v>
      </c>
      <c r="G31" s="22">
        <f>IFERROR(VLOOKUP($A31,'PP DS Query'!$C$1:$R$1005,7,FALSE),0)</f>
        <v>0</v>
      </c>
      <c r="H31" s="358">
        <f>IFERROR(VLOOKUP($A31,'PP DS Query'!$C$1:$R$1005,8,FALSE),0)</f>
        <v>0</v>
      </c>
      <c r="I31" s="22">
        <f>IFERROR(VLOOKUP($A31,'PP DS Query'!$C$1:$R$1005,9,FALSE),0)</f>
        <v>0</v>
      </c>
      <c r="J31" s="358">
        <f>IFERROR(VLOOKUP($A31,'PP DS Query'!$C$1:$R$1005,10,FALSE),0)</f>
        <v>0</v>
      </c>
      <c r="K31" s="22">
        <f>IFERROR(VLOOKUP($A31,'PP DS Query'!$C$1:$R$1005,11,FALSE),0)</f>
        <v>0</v>
      </c>
      <c r="L31" s="358">
        <f>IFERROR(VLOOKUP($A31,'PP DS Query'!$C$1:$R$1005,12,FALSE),0)</f>
        <v>0</v>
      </c>
      <c r="M31" s="19">
        <f>IFERROR(VLOOKUP($A31,'PP DS Query'!$C$1:$R$1005,13,FALSE),0)</f>
        <v>0</v>
      </c>
      <c r="N31" s="358">
        <f>IFERROR(VLOOKUP($A31,'PP DS Query'!$C$1:$R$1005,14,FALSE),0)</f>
        <v>0</v>
      </c>
      <c r="O31" s="56">
        <f>IFERROR(VLOOKUP($A31,'PP DS Query'!$C$1:$R$1005,4,FALSE),0)</f>
        <v>0</v>
      </c>
      <c r="P31" s="358">
        <f>-IFERROR(VLOOKUP($A31,'PP DS Query'!$C$1:$R$1005,15,FALSE),0)</f>
        <v>0</v>
      </c>
      <c r="Q31" s="358">
        <f>IFERROR(VLOOKUP($A31,'PP DS Query'!$C$1:$R$1005,16,FALSE),0)</f>
        <v>0</v>
      </c>
      <c r="R31" s="48"/>
      <c r="S31" s="472">
        <f>IFERROR(ROUND(LEFT(A31,7)*100,0),0)</f>
        <v>34599</v>
      </c>
      <c r="T31" s="472" t="s">
        <v>962</v>
      </c>
      <c r="U31" s="474">
        <f>IFERROR(VLOOKUP($S31,#REF!,6,FALSE),0)</f>
        <v>0</v>
      </c>
      <c r="V31" s="473">
        <f>U31-F31</f>
        <v>0</v>
      </c>
    </row>
    <row r="32" spans="1:22" ht="15.95" customHeight="1" x14ac:dyDescent="0.2">
      <c r="A32" s="396" t="s">
        <v>946</v>
      </c>
      <c r="B32" s="499">
        <f>IFERROR(VLOOKUP($A32,'PP DS Query'!$C$1:$R$1005,5,FALSE),0)</f>
        <v>0</v>
      </c>
      <c r="C32" s="33">
        <f>IFERROR(VLOOKUP($A32,'PP DS Query'!$C$1:$R$1005,3,FALSE),0)</f>
        <v>0</v>
      </c>
      <c r="D32" s="34" t="s">
        <v>22</v>
      </c>
      <c r="E32" s="360">
        <f>IFERROR(VLOOKUP($A32,'PP DS Query'!$C$1:$R$1005,2,FALSE),0)</f>
        <v>0</v>
      </c>
      <c r="F32" s="358">
        <f>IFERROR(VLOOKUP($A32,'PP DS Query'!$C$1:$R$1005,6,FALSE),0)</f>
        <v>0</v>
      </c>
      <c r="G32" s="22">
        <f>IFERROR(VLOOKUP($A32,'PP DS Query'!$C$1:$R$1005,7,FALSE),0)</f>
        <v>0</v>
      </c>
      <c r="H32" s="358">
        <f>IFERROR(VLOOKUP($A32,'PP DS Query'!$C$1:$R$1005,8,FALSE),0)</f>
        <v>0</v>
      </c>
      <c r="I32" s="22">
        <f>IFERROR(VLOOKUP($A32,'PP DS Query'!$C$1:$R$1005,9,FALSE),0)</f>
        <v>0</v>
      </c>
      <c r="J32" s="358">
        <f>IFERROR(VLOOKUP($A32,'PP DS Query'!$C$1:$R$1005,10,FALSE),0)</f>
        <v>0</v>
      </c>
      <c r="K32" s="22">
        <f>IFERROR(VLOOKUP($A32,'PP DS Query'!$C$1:$R$1005,11,FALSE),0)</f>
        <v>0</v>
      </c>
      <c r="L32" s="358">
        <f>IFERROR(VLOOKUP($A32,'PP DS Query'!$C$1:$R$1005,12,FALSE),0)</f>
        <v>0</v>
      </c>
      <c r="M32" s="19">
        <f>IFERROR(VLOOKUP($A32,'PP DS Query'!$C$1:$R$1005,13,FALSE),0)</f>
        <v>0</v>
      </c>
      <c r="N32" s="358">
        <f>IFERROR(VLOOKUP($A32,'PP DS Query'!$C$1:$R$1005,14,FALSE),0)</f>
        <v>0</v>
      </c>
      <c r="O32" s="56">
        <f>IFERROR(VLOOKUP($A32,'PP DS Query'!$C$1:$R$1005,4,FALSE),0)</f>
        <v>0</v>
      </c>
      <c r="P32" s="358">
        <f>-IFERROR(VLOOKUP($A32,'PP DS Query'!$C$1:$R$1005,15,FALSE),0)</f>
        <v>0</v>
      </c>
      <c r="Q32" s="358">
        <f>IFERROR(VLOOKUP($A32,'PP DS Query'!$C$1:$R$1005,16,FALSE),0)</f>
        <v>0</v>
      </c>
      <c r="R32" s="48"/>
      <c r="S32" s="472">
        <f t="shared" ref="S32:S33" si="6">IFERROR(ROUND(LEFT(A32,7)*100,0),0)</f>
        <v>34599</v>
      </c>
      <c r="T32" s="472" t="s">
        <v>963</v>
      </c>
      <c r="U32" s="474">
        <f>IFERROR(VLOOKUP($S32,#REF!,7,FALSE),0)</f>
        <v>0</v>
      </c>
      <c r="V32" s="473">
        <f t="shared" ref="V32:V33" si="7">U32-F32</f>
        <v>0</v>
      </c>
    </row>
    <row r="33" spans="1:22" ht="15.95" customHeight="1" thickBot="1" x14ac:dyDescent="0.25">
      <c r="A33" s="396" t="s">
        <v>947</v>
      </c>
      <c r="B33" s="499">
        <f>IFERROR(VLOOKUP($A33,'PP DS Query'!$C$1:$R$1005,5,FALSE),0)</f>
        <v>0</v>
      </c>
      <c r="C33" s="33">
        <f>IFERROR(VLOOKUP($A33,'PP DS Query'!$C$1:$R$1005,3,FALSE),0)</f>
        <v>0</v>
      </c>
      <c r="D33" s="34" t="s">
        <v>22</v>
      </c>
      <c r="E33" s="61">
        <f>IFERROR(VLOOKUP($A33,'PP DS Query'!$C$1:$R$1005,2,FALSE),0)</f>
        <v>0</v>
      </c>
      <c r="F33" s="250">
        <f>IFERROR(VLOOKUP($A33,'PP DS Query'!$C$1:$R$1005,6,FALSE),0)</f>
        <v>0</v>
      </c>
      <c r="G33" s="20">
        <f>IFERROR(VLOOKUP($A33,'PP DS Query'!$C$1:$R$1005,7,FALSE),0)</f>
        <v>0</v>
      </c>
      <c r="H33" s="250">
        <f>IFERROR(VLOOKUP($A33,'PP DS Query'!$C$1:$R$1005,8,FALSE),0)</f>
        <v>0</v>
      </c>
      <c r="I33" s="20">
        <f>IFERROR(VLOOKUP($A33,'PP DS Query'!$C$1:$R$1005,9,FALSE),0)</f>
        <v>0</v>
      </c>
      <c r="J33" s="250">
        <f>IFERROR(VLOOKUP($A33,'PP DS Query'!$C$1:$R$1005,10,FALSE),0)</f>
        <v>0</v>
      </c>
      <c r="K33" s="20">
        <f>IFERROR(VLOOKUP($A33,'PP DS Query'!$C$1:$R$1005,11,FALSE),0)</f>
        <v>0</v>
      </c>
      <c r="L33" s="250">
        <f>IFERROR(VLOOKUP($A33,'PP DS Query'!$C$1:$R$1005,12,FALSE),0)</f>
        <v>0</v>
      </c>
      <c r="M33" s="21">
        <f>IFERROR(VLOOKUP($A33,'PP DS Query'!$C$1:$R$1005,13,FALSE),0)</f>
        <v>0</v>
      </c>
      <c r="N33" s="250">
        <f>IFERROR(VLOOKUP($A33,'PP DS Query'!$C$1:$R$1005,14,FALSE),0)</f>
        <v>0</v>
      </c>
      <c r="O33" s="57">
        <f>IFERROR(VLOOKUP($A33,'PP DS Query'!$C$1:$R$1005,4,FALSE),0)</f>
        <v>0</v>
      </c>
      <c r="P33" s="250">
        <f>-IFERROR(VLOOKUP($A33,'PP DS Query'!$C$1:$R$1005,15,FALSE),0)</f>
        <v>0</v>
      </c>
      <c r="Q33" s="250">
        <f>IFERROR(VLOOKUP($A33,'PP DS Query'!$C$1:$R$1005,16,FALSE),0)</f>
        <v>0</v>
      </c>
      <c r="R33" s="48"/>
      <c r="S33" s="472">
        <f t="shared" si="6"/>
        <v>34599</v>
      </c>
      <c r="T33" s="472" t="s">
        <v>964</v>
      </c>
      <c r="U33" s="475">
        <f>IFERROR(VLOOKUP($S33,#REF!,8,FALSE),0)</f>
        <v>0</v>
      </c>
      <c r="V33" s="476">
        <f t="shared" si="7"/>
        <v>0</v>
      </c>
    </row>
    <row r="34" spans="1:22" ht="15.95" customHeight="1" x14ac:dyDescent="0.2">
      <c r="A34" s="49" t="s">
        <v>1078</v>
      </c>
      <c r="B34" s="499">
        <f>IFERROR(VLOOKUP($A34,'PP DS Query'!$C$1:$R$1005,5,FALSE),0)</f>
        <v>0</v>
      </c>
      <c r="C34" s="33"/>
      <c r="D34" s="34"/>
      <c r="E34" s="15"/>
      <c r="F34" s="443">
        <f>IFERROR(VLOOKUP($A34,'PP DS Query'!$C$1:$R$1005,6,FALSE),0)</f>
        <v>0</v>
      </c>
      <c r="G34" s="444">
        <f>IFERROR(VLOOKUP($A34,'PP DS Query'!$C$1:$R$1005,7,FALSE),0)</f>
        <v>0</v>
      </c>
      <c r="H34" s="443">
        <f>IFERROR(VLOOKUP($A34,'PP DS Query'!$C$1:$R$1005,8,FALSE),0)</f>
        <v>0</v>
      </c>
      <c r="I34" s="444">
        <f>IFERROR(VLOOKUP($A34,'PP DS Query'!$C$1:$R$1005,9,FALSE),0)</f>
        <v>0</v>
      </c>
      <c r="J34" s="443">
        <f>IFERROR(VLOOKUP($A34,'PP DS Query'!$C$1:$R$1005,10,FALSE),0)</f>
        <v>0</v>
      </c>
      <c r="K34" s="444">
        <f>IFERROR(VLOOKUP($A34,'PP DS Query'!$C$1:$R$1005,11,FALSE),0)</f>
        <v>0</v>
      </c>
      <c r="L34" s="443">
        <f>IFERROR(VLOOKUP($A34,'PP DS Query'!$C$1:$R$1005,12,FALSE),0)</f>
        <v>0</v>
      </c>
      <c r="M34" s="445">
        <f>IFERROR(VLOOKUP($A34,'PP DS Query'!$C$1:$R$1005,13,FALSE),0)</f>
        <v>0</v>
      </c>
      <c r="N34" s="443">
        <f>IFERROR(VLOOKUP($A34,'PP DS Query'!$C$1:$R$1005,14,FALSE),0)</f>
        <v>0</v>
      </c>
      <c r="O34" s="446">
        <f>IFERROR(VLOOKUP($A34,'PP DS Query'!$C$1:$R$1005,4,FALSE),0)</f>
        <v>0</v>
      </c>
      <c r="P34" s="443">
        <f>-IFERROR(VLOOKUP($A34,'PP DS Query'!$C$1:$R$1005,15,FALSE),0)</f>
        <v>0</v>
      </c>
      <c r="Q34" s="443">
        <f>IFERROR(VLOOKUP($A34,'PP DS Query'!$C$1:$R$1005,16,FALSE),0)</f>
        <v>0</v>
      </c>
      <c r="R34" s="48"/>
      <c r="U34" s="473">
        <f>SUM(U31:U33)</f>
        <v>0</v>
      </c>
      <c r="V34" s="473">
        <f>SUM(V31:V33)</f>
        <v>0</v>
      </c>
    </row>
    <row r="35" spans="1:22" ht="15.95" customHeight="1" x14ac:dyDescent="0.2">
      <c r="A35" s="49"/>
      <c r="B35" s="49"/>
      <c r="C35" s="15"/>
      <c r="E35" s="360"/>
      <c r="G35" s="22"/>
      <c r="I35" s="22"/>
      <c r="K35" s="22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4" t="s">
        <v>1301</v>
      </c>
      <c r="E36" s="360"/>
      <c r="G36" s="22"/>
      <c r="O36" s="59"/>
      <c r="P36" s="29"/>
      <c r="Q36" s="29"/>
      <c r="R36" s="48"/>
    </row>
    <row r="37" spans="1:22" ht="15.95" customHeight="1" x14ac:dyDescent="0.2">
      <c r="A37" s="396" t="s">
        <v>948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360">
        <f>IFERROR(VLOOKUP($A37,'PP DS Query'!$C$1:$R$1005,2,FALSE),0)</f>
        <v>0</v>
      </c>
      <c r="F37" s="358">
        <f>IFERROR(VLOOKUP($A37,'PP DS Query'!$C$1:$R$1005,6,FALSE),0)</f>
        <v>0</v>
      </c>
      <c r="G37" s="22">
        <f>IFERROR(VLOOKUP($A37,'PP DS Query'!$C$1:$R$1005,7,FALSE),0)</f>
        <v>0</v>
      </c>
      <c r="H37" s="358">
        <f>IFERROR(VLOOKUP($A37,'PP DS Query'!$C$1:$R$1005,8,FALSE),0)</f>
        <v>0</v>
      </c>
      <c r="I37" s="22">
        <f>IFERROR(VLOOKUP($A37,'PP DS Query'!$C$1:$R$1005,9,FALSE),0)</f>
        <v>0</v>
      </c>
      <c r="J37" s="358">
        <f>IFERROR(VLOOKUP($A37,'PP DS Query'!$C$1:$R$1005,10,FALSE),0)</f>
        <v>0</v>
      </c>
      <c r="K37" s="22">
        <f>IFERROR(VLOOKUP($A37,'PP DS Query'!$C$1:$R$1005,11,FALSE),0)</f>
        <v>0</v>
      </c>
      <c r="L37" s="358">
        <f>IFERROR(VLOOKUP($A37,'PP DS Query'!$C$1:$R$1005,12,FALSE),0)</f>
        <v>0</v>
      </c>
      <c r="M37" s="19">
        <f>IFERROR(VLOOKUP($A37,'PP DS Query'!$C$1:$R$1005,13,FALSE),0)</f>
        <v>0</v>
      </c>
      <c r="N37" s="358">
        <f>IFERROR(VLOOKUP($A37,'PP DS Query'!$C$1:$R$1005,14,FALSE),0)</f>
        <v>0</v>
      </c>
      <c r="O37" s="56">
        <f>IFERROR(VLOOKUP($A37,'PP DS Query'!$C$1:$R$1005,4,FALSE),0)</f>
        <v>0</v>
      </c>
      <c r="P37" s="358">
        <f>-IFERROR(VLOOKUP($A37,'PP DS Query'!$C$1:$R$1005,15,FALSE),0)</f>
        <v>0</v>
      </c>
      <c r="Q37" s="358">
        <f>IFERROR(VLOOKUP($A37,'PP DS Query'!$C$1:$R$1005,16,FALSE),0)</f>
        <v>0</v>
      </c>
      <c r="R37" s="48"/>
      <c r="S37" s="472">
        <f>IFERROR(ROUND(LEFT(A37,7)*100,0),0)</f>
        <v>34699</v>
      </c>
      <c r="T37" s="472" t="s">
        <v>962</v>
      </c>
      <c r="U37" s="474">
        <f>IFERROR(VLOOKUP($S37,#REF!,6,FALSE),0)</f>
        <v>0</v>
      </c>
      <c r="V37" s="473">
        <f>U37-F37</f>
        <v>0</v>
      </c>
    </row>
    <row r="38" spans="1:22" ht="15.95" customHeight="1" x14ac:dyDescent="0.2">
      <c r="A38" s="396" t="s">
        <v>949</v>
      </c>
      <c r="B38" s="499">
        <f>IFERROR(VLOOKUP($A38,'PP DS Query'!$C$1:$R$1005,5,FALSE),0)</f>
        <v>0</v>
      </c>
      <c r="C38" s="33">
        <f>IFERROR(VLOOKUP($A38,'PP DS Query'!$C$1:$R$1005,3,FALSE),0)</f>
        <v>0</v>
      </c>
      <c r="D38" s="34" t="s">
        <v>22</v>
      </c>
      <c r="E38" s="360">
        <f>IFERROR(VLOOKUP($A38,'PP DS Query'!$C$1:$R$1005,2,FALSE),0)</f>
        <v>0</v>
      </c>
      <c r="F38" s="358">
        <f>IFERROR(VLOOKUP($A38,'PP DS Query'!$C$1:$R$1005,6,FALSE),0)</f>
        <v>0</v>
      </c>
      <c r="G38" s="22">
        <f>IFERROR(VLOOKUP($A38,'PP DS Query'!$C$1:$R$1005,7,FALSE),0)</f>
        <v>0</v>
      </c>
      <c r="H38" s="358">
        <f>IFERROR(VLOOKUP($A38,'PP DS Query'!$C$1:$R$1005,8,FALSE),0)</f>
        <v>0</v>
      </c>
      <c r="I38" s="22">
        <f>IFERROR(VLOOKUP($A38,'PP DS Query'!$C$1:$R$1005,9,FALSE),0)</f>
        <v>0</v>
      </c>
      <c r="J38" s="358">
        <f>IFERROR(VLOOKUP($A38,'PP DS Query'!$C$1:$R$1005,10,FALSE),0)</f>
        <v>0</v>
      </c>
      <c r="K38" s="22">
        <f>IFERROR(VLOOKUP($A38,'PP DS Query'!$C$1:$R$1005,11,FALSE),0)</f>
        <v>0</v>
      </c>
      <c r="L38" s="358">
        <f>IFERROR(VLOOKUP($A38,'PP DS Query'!$C$1:$R$1005,12,FALSE),0)</f>
        <v>0</v>
      </c>
      <c r="M38" s="19">
        <f>IFERROR(VLOOKUP($A38,'PP DS Query'!$C$1:$R$1005,13,FALSE),0)</f>
        <v>0</v>
      </c>
      <c r="N38" s="358">
        <f>IFERROR(VLOOKUP($A38,'PP DS Query'!$C$1:$R$1005,14,FALSE),0)</f>
        <v>0</v>
      </c>
      <c r="O38" s="56">
        <f>IFERROR(VLOOKUP($A38,'PP DS Query'!$C$1:$R$1005,4,FALSE),0)</f>
        <v>0</v>
      </c>
      <c r="P38" s="358">
        <f>-IFERROR(VLOOKUP($A38,'PP DS Query'!$C$1:$R$1005,15,FALSE),0)</f>
        <v>0</v>
      </c>
      <c r="Q38" s="358">
        <f>IFERROR(VLOOKUP($A38,'PP DS Query'!$C$1:$R$1005,16,FALSE),0)</f>
        <v>0</v>
      </c>
      <c r="R38" s="48"/>
      <c r="S38" s="472">
        <f t="shared" ref="S38:S39" si="8">IFERROR(ROUND(LEFT(A38,7)*100,0),0)</f>
        <v>34699</v>
      </c>
      <c r="T38" s="472" t="s">
        <v>963</v>
      </c>
      <c r="U38" s="474">
        <f>IFERROR(VLOOKUP($S38,#REF!,7,FALSE),0)</f>
        <v>0</v>
      </c>
      <c r="V38" s="473">
        <f t="shared" ref="V38:V39" si="9">U38-F38</f>
        <v>0</v>
      </c>
    </row>
    <row r="39" spans="1:22" ht="15.95" customHeight="1" thickBot="1" x14ac:dyDescent="0.25">
      <c r="A39" s="396" t="s">
        <v>950</v>
      </c>
      <c r="B39" s="499">
        <f>IFERROR(VLOOKUP($A39,'PP DS Query'!$C$1:$R$1005,5,FALSE),0)</f>
        <v>0</v>
      </c>
      <c r="C39" s="33">
        <f>IFERROR(VLOOKUP($A39,'PP DS Query'!$C$1:$R$1005,3,FALSE),0)</f>
        <v>0</v>
      </c>
      <c r="D39" s="34" t="s">
        <v>22</v>
      </c>
      <c r="E39" s="61">
        <f>IFERROR(VLOOKUP($A39,'PP DS Query'!$C$1:$R$1005,2,FALSE),0)</f>
        <v>0</v>
      </c>
      <c r="F39" s="250">
        <f>IFERROR(VLOOKUP($A39,'PP DS Query'!$C$1:$R$1005,6,FALSE),0)</f>
        <v>0</v>
      </c>
      <c r="G39" s="20">
        <f>IFERROR(VLOOKUP($A39,'PP DS Query'!$C$1:$R$1005,7,FALSE),0)</f>
        <v>0</v>
      </c>
      <c r="H39" s="250">
        <f>IFERROR(VLOOKUP($A39,'PP DS Query'!$C$1:$R$1005,8,FALSE),0)</f>
        <v>0</v>
      </c>
      <c r="I39" s="20">
        <f>IFERROR(VLOOKUP($A39,'PP DS Query'!$C$1:$R$1005,9,FALSE),0)</f>
        <v>0</v>
      </c>
      <c r="J39" s="250">
        <f>IFERROR(VLOOKUP($A39,'PP DS Query'!$C$1:$R$1005,10,FALSE),0)</f>
        <v>0</v>
      </c>
      <c r="K39" s="20">
        <f>IFERROR(VLOOKUP($A39,'PP DS Query'!$C$1:$R$1005,11,FALSE),0)</f>
        <v>0</v>
      </c>
      <c r="L39" s="250">
        <f>IFERROR(VLOOKUP($A39,'PP DS Query'!$C$1:$R$1005,12,FALSE),0)</f>
        <v>0</v>
      </c>
      <c r="M39" s="21">
        <f>IFERROR(VLOOKUP($A39,'PP DS Query'!$C$1:$R$1005,13,FALSE),0)</f>
        <v>0</v>
      </c>
      <c r="N39" s="250">
        <f>IFERROR(VLOOKUP($A39,'PP DS Query'!$C$1:$R$1005,14,FALSE),0)</f>
        <v>0</v>
      </c>
      <c r="O39" s="57">
        <f>IFERROR(VLOOKUP($A39,'PP DS Query'!$C$1:$R$1005,4,FALSE),0)</f>
        <v>0</v>
      </c>
      <c r="P39" s="250">
        <f>-IFERROR(VLOOKUP($A39,'PP DS Query'!$C$1:$R$1005,15,FALSE),0)</f>
        <v>0</v>
      </c>
      <c r="Q39" s="250">
        <f>IFERROR(VLOOKUP($A39,'PP DS Query'!$C$1:$R$1005,16,FALSE),0)</f>
        <v>0</v>
      </c>
      <c r="R39" s="48"/>
      <c r="S39" s="472">
        <f t="shared" si="8"/>
        <v>34699</v>
      </c>
      <c r="T39" s="472" t="s">
        <v>964</v>
      </c>
      <c r="U39" s="475">
        <f>IFERROR(VLOOKUP($S39,#REF!,8,FALSE),0)</f>
        <v>0</v>
      </c>
      <c r="V39" s="476">
        <f t="shared" si="9"/>
        <v>0</v>
      </c>
    </row>
    <row r="40" spans="1:22" ht="15.95" customHeight="1" x14ac:dyDescent="0.2">
      <c r="A40" s="49" t="s">
        <v>1079</v>
      </c>
      <c r="B40" s="499">
        <f>IFERROR(VLOOKUP($A40,'PP DS Query'!$C$1:$R$1005,5,FALSE),0)</f>
        <v>0</v>
      </c>
      <c r="C40" s="33"/>
      <c r="D40" s="34"/>
      <c r="E40" s="15"/>
      <c r="F40" s="443">
        <f>IFERROR(VLOOKUP($A40,'PP DS Query'!$C$1:$R$1005,6,FALSE),0)</f>
        <v>0</v>
      </c>
      <c r="G40" s="444">
        <f>IFERROR(VLOOKUP($A40,'PP DS Query'!$C$1:$R$1005,7,FALSE),0)</f>
        <v>0</v>
      </c>
      <c r="H40" s="443">
        <f>IFERROR(VLOOKUP($A40,'PP DS Query'!$C$1:$R$1005,8,FALSE),0)</f>
        <v>0</v>
      </c>
      <c r="I40" s="444">
        <f>IFERROR(VLOOKUP($A40,'PP DS Query'!$C$1:$R$1005,9,FALSE),0)</f>
        <v>0</v>
      </c>
      <c r="J40" s="443">
        <f>IFERROR(VLOOKUP($A40,'PP DS Query'!$C$1:$R$1005,10,FALSE),0)</f>
        <v>0</v>
      </c>
      <c r="K40" s="444">
        <f>IFERROR(VLOOKUP($A40,'PP DS Query'!$C$1:$R$1005,11,FALSE),0)</f>
        <v>0</v>
      </c>
      <c r="L40" s="443">
        <f>IFERROR(VLOOKUP($A40,'PP DS Query'!$C$1:$R$1005,12,FALSE),0)</f>
        <v>0</v>
      </c>
      <c r="M40" s="445">
        <f>IFERROR(VLOOKUP($A40,'PP DS Query'!$C$1:$R$1005,13,FALSE),0)</f>
        <v>0</v>
      </c>
      <c r="N40" s="443">
        <f>IFERROR(VLOOKUP($A40,'PP DS Query'!$C$1:$R$1005,14,FALSE),0)</f>
        <v>0</v>
      </c>
      <c r="O40" s="446">
        <f>IFERROR(VLOOKUP($A40,'PP DS Query'!$C$1:$R$1005,4,FALSE),0)</f>
        <v>0</v>
      </c>
      <c r="P40" s="443">
        <f>-IFERROR(VLOOKUP($A40,'PP DS Query'!$C$1:$R$1005,15,FALSE),0)</f>
        <v>0</v>
      </c>
      <c r="Q40" s="443">
        <f>IFERROR(VLOOKUP($A40,'PP DS Query'!$C$1:$R$1005,16,FALSE),0)</f>
        <v>0</v>
      </c>
      <c r="R40" s="48"/>
      <c r="U40" s="473">
        <f>SUM(U37:U39)</f>
        <v>0</v>
      </c>
      <c r="V40" s="473">
        <f>SUM(V37:V39)</f>
        <v>0</v>
      </c>
    </row>
    <row r="41" spans="1:22" ht="15.95" customHeight="1" x14ac:dyDescent="0.2">
      <c r="A41" s="49"/>
      <c r="B41" s="49"/>
      <c r="C41" s="33"/>
      <c r="D41" s="34"/>
      <c r="E41" s="15"/>
      <c r="F41" s="30"/>
      <c r="G41" s="69"/>
      <c r="H41" s="30"/>
      <c r="I41" s="69"/>
      <c r="J41" s="30"/>
      <c r="K41" s="69"/>
      <c r="L41" s="30"/>
      <c r="M41" s="8"/>
      <c r="N41" s="30"/>
      <c r="O41" s="58"/>
      <c r="P41" s="30"/>
      <c r="Q41" s="30"/>
      <c r="R41" s="48"/>
    </row>
    <row r="42" spans="1:22" ht="15.95" customHeight="1" x14ac:dyDescent="0.2">
      <c r="A42" s="49"/>
      <c r="B42" s="49"/>
      <c r="C42" s="363" t="s">
        <v>1302</v>
      </c>
      <c r="E42" s="360"/>
      <c r="G42" s="22"/>
      <c r="O42" s="59"/>
      <c r="P42" s="29"/>
      <c r="Q42" s="29"/>
      <c r="R42" s="48"/>
    </row>
    <row r="43" spans="1:22" ht="15.95" customHeight="1" x14ac:dyDescent="0.2">
      <c r="A43" s="396" t="s">
        <v>954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22">
        <f>IFERROR(VLOOKUP($A43,'PP DS Query'!$C$1:$R$1005,7,FALSE),0)</f>
        <v>0</v>
      </c>
      <c r="H43" s="358">
        <f>IFERROR(VLOOKUP($A43,'PP DS Query'!$C$1:$R$1005,8,FALSE),0)</f>
        <v>0</v>
      </c>
      <c r="I43" s="22">
        <f>IFERROR(VLOOKUP($A43,'PP DS Query'!$C$1:$R$1005,9,FALSE),0)</f>
        <v>0</v>
      </c>
      <c r="J43" s="358">
        <f>IFERROR(VLOOKUP($A43,'PP DS Query'!$C$1:$R$1005,10,FALSE),0)</f>
        <v>0</v>
      </c>
      <c r="K43" s="22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>IFERROR(ROUND(LEFT(A43,7)*100,0),0)</f>
        <v>34899</v>
      </c>
      <c r="T43" s="472" t="s">
        <v>962</v>
      </c>
      <c r="U43" s="474">
        <f>IFERROR(VLOOKUP($S43,#REF!,6,FALSE),0)</f>
        <v>0</v>
      </c>
      <c r="V43" s="473">
        <f>U43-F43</f>
        <v>0</v>
      </c>
    </row>
    <row r="44" spans="1:22" ht="15.95" customHeight="1" x14ac:dyDescent="0.2">
      <c r="A44" s="396" t="s">
        <v>955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360">
        <f>IFERROR(VLOOKUP($A44,'PP DS Query'!$C$1:$R$1005,2,FALSE),0)</f>
        <v>0</v>
      </c>
      <c r="F44" s="358">
        <f>IFERROR(VLOOKUP($A44,'PP DS Query'!$C$1:$R$1005,6,FALSE),0)</f>
        <v>0</v>
      </c>
      <c r="G44" s="22">
        <f>IFERROR(VLOOKUP($A44,'PP DS Query'!$C$1:$R$1005,7,FALSE),0)</f>
        <v>0</v>
      </c>
      <c r="H44" s="358">
        <f>IFERROR(VLOOKUP($A44,'PP DS Query'!$C$1:$R$1005,8,FALSE),0)</f>
        <v>0</v>
      </c>
      <c r="I44" s="22">
        <f>IFERROR(VLOOKUP($A44,'PP DS Query'!$C$1:$R$1005,9,FALSE),0)</f>
        <v>0</v>
      </c>
      <c r="J44" s="358">
        <f>IFERROR(VLOOKUP($A44,'PP DS Query'!$C$1:$R$1005,10,FALSE),0)</f>
        <v>0</v>
      </c>
      <c r="K44" s="22">
        <f>IFERROR(VLOOKUP($A44,'PP DS Query'!$C$1:$R$1005,11,FALSE),0)</f>
        <v>0</v>
      </c>
      <c r="L44" s="358">
        <f>IFERROR(VLOOKUP($A44,'PP DS Query'!$C$1:$R$1005,12,FALSE),0)</f>
        <v>0</v>
      </c>
      <c r="M44" s="19">
        <f>IFERROR(VLOOKUP($A44,'PP DS Query'!$C$1:$R$1005,13,FALSE),0)</f>
        <v>0</v>
      </c>
      <c r="N44" s="358">
        <f>IFERROR(VLOOKUP($A44,'PP DS Query'!$C$1:$R$1005,14,FALSE),0)</f>
        <v>0</v>
      </c>
      <c r="O44" s="56">
        <f>IFERROR(VLOOKUP($A44,'PP DS Query'!$C$1:$R$1005,4,FALSE),0)</f>
        <v>0</v>
      </c>
      <c r="P44" s="358">
        <f>-IFERROR(VLOOKUP($A44,'PP DS Query'!$C$1:$R$1005,15,FALSE),0)</f>
        <v>0</v>
      </c>
      <c r="Q44" s="358">
        <f>IFERROR(VLOOKUP($A44,'PP DS Query'!$C$1:$R$1005,16,FALSE),0)</f>
        <v>0</v>
      </c>
      <c r="R44" s="48"/>
      <c r="S44" s="472">
        <f t="shared" ref="S44:S45" si="10">IFERROR(ROUND(LEFT(A44,7)*100,0),0)</f>
        <v>34899</v>
      </c>
      <c r="T44" s="472" t="s">
        <v>963</v>
      </c>
      <c r="U44" s="474">
        <f>IFERROR(VLOOKUP($S44,#REF!,7,FALSE),0)</f>
        <v>0</v>
      </c>
      <c r="V44" s="473">
        <f t="shared" ref="V44:V45" si="11">U44-F44</f>
        <v>0</v>
      </c>
    </row>
    <row r="45" spans="1:22" ht="15.95" customHeight="1" thickBot="1" x14ac:dyDescent="0.25">
      <c r="A45" s="396" t="s">
        <v>956</v>
      </c>
      <c r="B45" s="499">
        <f>IFERROR(VLOOKUP($A45,'PP DS Query'!$C$1:$R$1005,5,FALSE),0)</f>
        <v>0</v>
      </c>
      <c r="C45" s="33">
        <f>IFERROR(VLOOKUP($A45,'PP DS Query'!$C$1:$R$1005,3,FALSE),0)</f>
        <v>0</v>
      </c>
      <c r="D45" s="34" t="s">
        <v>22</v>
      </c>
      <c r="E45" s="61">
        <f>IFERROR(VLOOKUP($A45,'PP DS Query'!$C$1:$R$1005,2,FALSE),0)</f>
        <v>0</v>
      </c>
      <c r="F45" s="250">
        <f>IFERROR(VLOOKUP($A45,'PP DS Query'!$C$1:$R$1005,6,FALSE),0)</f>
        <v>0</v>
      </c>
      <c r="G45" s="20">
        <f>IFERROR(VLOOKUP($A45,'PP DS Query'!$C$1:$R$1005,7,FALSE),0)</f>
        <v>0</v>
      </c>
      <c r="H45" s="250">
        <f>IFERROR(VLOOKUP($A45,'PP DS Query'!$C$1:$R$1005,8,FALSE),0)</f>
        <v>0</v>
      </c>
      <c r="I45" s="20">
        <f>IFERROR(VLOOKUP($A45,'PP DS Query'!$C$1:$R$1005,9,FALSE),0)</f>
        <v>0</v>
      </c>
      <c r="J45" s="250">
        <f>IFERROR(VLOOKUP($A45,'PP DS Query'!$C$1:$R$1005,10,FALSE),0)</f>
        <v>0</v>
      </c>
      <c r="K45" s="20">
        <f>IFERROR(VLOOKUP($A45,'PP DS Query'!$C$1:$R$1005,11,FALSE),0)</f>
        <v>0</v>
      </c>
      <c r="L45" s="250">
        <f>IFERROR(VLOOKUP($A45,'PP DS Query'!$C$1:$R$1005,12,FALSE),0)</f>
        <v>0</v>
      </c>
      <c r="M45" s="21">
        <f>IFERROR(VLOOKUP($A45,'PP DS Query'!$C$1:$R$1005,13,FALSE),0)</f>
        <v>0</v>
      </c>
      <c r="N45" s="250">
        <f>IFERROR(VLOOKUP($A45,'PP DS Query'!$C$1:$R$1005,14,FALSE),0)</f>
        <v>0</v>
      </c>
      <c r="O45" s="57">
        <f>IFERROR(VLOOKUP($A45,'PP DS Query'!$C$1:$R$1005,4,FALSE),0)</f>
        <v>0</v>
      </c>
      <c r="P45" s="250">
        <f>-IFERROR(VLOOKUP($A45,'PP DS Query'!$C$1:$R$1005,15,FALSE),0)</f>
        <v>0</v>
      </c>
      <c r="Q45" s="250">
        <f>IFERROR(VLOOKUP($A45,'PP DS Query'!$C$1:$R$1005,16,FALSE),0)</f>
        <v>0</v>
      </c>
      <c r="R45" s="48"/>
      <c r="S45" s="472">
        <f t="shared" si="10"/>
        <v>34899</v>
      </c>
      <c r="T45" s="472" t="s">
        <v>964</v>
      </c>
      <c r="U45" s="475">
        <f>IFERROR(VLOOKUP($S45,#REF!,8,FALSE),0)</f>
        <v>0</v>
      </c>
      <c r="V45" s="476">
        <f t="shared" si="11"/>
        <v>0</v>
      </c>
    </row>
    <row r="46" spans="1:22" ht="15.95" customHeight="1" x14ac:dyDescent="0.2">
      <c r="A46" s="49" t="s">
        <v>1080</v>
      </c>
      <c r="B46" s="499">
        <f>IFERROR(VLOOKUP($A46,'PP DS Query'!$C$1:$R$1005,5,FALSE),0)</f>
        <v>0</v>
      </c>
      <c r="C46" s="33"/>
      <c r="D46" s="34"/>
      <c r="E46" s="15"/>
      <c r="F46" s="443">
        <f>IFERROR(VLOOKUP($A46,'PP DS Query'!$C$1:$R$1005,6,FALSE),0)</f>
        <v>0</v>
      </c>
      <c r="G46" s="444">
        <f>IFERROR(VLOOKUP($A46,'PP DS Query'!$C$1:$R$1005,7,FALSE),0)</f>
        <v>0</v>
      </c>
      <c r="H46" s="443">
        <f>IFERROR(VLOOKUP($A46,'PP DS Query'!$C$1:$R$1005,8,FALSE),0)</f>
        <v>0</v>
      </c>
      <c r="I46" s="444">
        <f>IFERROR(VLOOKUP($A46,'PP DS Query'!$C$1:$R$1005,9,FALSE),0)</f>
        <v>0</v>
      </c>
      <c r="J46" s="443">
        <f>IFERROR(VLOOKUP($A46,'PP DS Query'!$C$1:$R$1005,10,FALSE),0)</f>
        <v>0</v>
      </c>
      <c r="K46" s="444">
        <f>IFERROR(VLOOKUP($A46,'PP DS Query'!$C$1:$R$1005,11,FALSE),0)</f>
        <v>0</v>
      </c>
      <c r="L46" s="443">
        <f>IFERROR(VLOOKUP($A46,'PP DS Query'!$C$1:$R$1005,12,FALSE),0)</f>
        <v>0</v>
      </c>
      <c r="M46" s="445">
        <f>IFERROR(VLOOKUP($A46,'PP DS Query'!$C$1:$R$1005,13,FALSE),0)</f>
        <v>0</v>
      </c>
      <c r="N46" s="443">
        <f>IFERROR(VLOOKUP($A46,'PP DS Query'!$C$1:$R$1005,14,FALSE),0)</f>
        <v>0</v>
      </c>
      <c r="O46" s="446">
        <f>IFERROR(VLOOKUP($A46,'PP DS Query'!$C$1:$R$1005,4,FALSE),0)</f>
        <v>0</v>
      </c>
      <c r="P46" s="443">
        <f>-IFERROR(VLOOKUP($A46,'PP DS Query'!$C$1:$R$1005,15,FALSE),0)</f>
        <v>0</v>
      </c>
      <c r="Q46" s="443">
        <f>IFERROR(VLOOKUP($A46,'PP DS Query'!$C$1:$R$1005,16,FALSE),0)</f>
        <v>0</v>
      </c>
      <c r="R46" s="48"/>
      <c r="U46" s="473">
        <f>SUM(U43:U45)</f>
        <v>0</v>
      </c>
      <c r="V46" s="473">
        <f>SUM(V43:V45)</f>
        <v>0</v>
      </c>
    </row>
    <row r="47" spans="1:22" ht="15.95" customHeight="1" x14ac:dyDescent="0.2">
      <c r="A47" s="49"/>
      <c r="B47" s="49"/>
      <c r="C47" s="33"/>
      <c r="D47" s="34"/>
      <c r="E47" s="4"/>
      <c r="F47" s="30"/>
      <c r="G47" s="6"/>
      <c r="H47" s="30"/>
      <c r="I47" s="6"/>
      <c r="J47" s="30"/>
      <c r="K47" s="6"/>
      <c r="L47" s="30"/>
      <c r="M47" s="8"/>
      <c r="N47" s="30"/>
      <c r="O47" s="58"/>
      <c r="P47" s="30"/>
      <c r="Q47" s="30"/>
      <c r="R47" s="48"/>
    </row>
    <row r="48" spans="1:22" ht="15.95" customHeight="1" x14ac:dyDescent="0.25">
      <c r="A48" s="49"/>
      <c r="B48" s="49"/>
      <c r="C48" s="51" t="s">
        <v>25</v>
      </c>
      <c r="D48" s="34"/>
      <c r="E48" s="4"/>
      <c r="F48" s="30"/>
      <c r="G48" s="6"/>
      <c r="H48" s="30"/>
      <c r="I48" s="6"/>
      <c r="J48" s="30"/>
      <c r="K48" s="6"/>
      <c r="L48" s="30"/>
      <c r="M48" s="8"/>
      <c r="N48" s="30"/>
      <c r="O48" s="58"/>
      <c r="P48" s="30"/>
      <c r="Q48" s="30"/>
      <c r="R48" s="48"/>
    </row>
    <row r="49" spans="1:18" s="41" customFormat="1" ht="15.95" customHeight="1" x14ac:dyDescent="0.25">
      <c r="A49" s="49"/>
      <c r="B49" s="49"/>
      <c r="C49" s="36" t="str">
        <f>C$6</f>
        <v>Solar Sites</v>
      </c>
      <c r="D49" s="17"/>
      <c r="E49" s="360"/>
      <c r="F49" s="460" t="s">
        <v>1104</v>
      </c>
      <c r="G49" s="461" t="s">
        <v>1111</v>
      </c>
      <c r="H49" s="460" t="s">
        <v>1105</v>
      </c>
      <c r="I49" s="461" t="s">
        <v>1112</v>
      </c>
      <c r="J49" s="460" t="s">
        <v>1106</v>
      </c>
      <c r="K49" s="461" t="s">
        <v>1113</v>
      </c>
      <c r="L49" s="460" t="s">
        <v>1107</v>
      </c>
      <c r="M49" s="461" t="s">
        <v>1114</v>
      </c>
      <c r="N49" s="460" t="s">
        <v>1108</v>
      </c>
      <c r="O49" s="461" t="s">
        <v>1115</v>
      </c>
      <c r="P49" s="461" t="s">
        <v>1109</v>
      </c>
      <c r="Q49" s="461"/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442" t="s">
        <v>359</v>
      </c>
      <c r="F50" s="358">
        <f>F13+F19+F25+F31+F37+F43</f>
        <v>0</v>
      </c>
      <c r="G50" s="22">
        <f>IF($F50=0,0,H50/$F50)</f>
        <v>0</v>
      </c>
      <c r="H50" s="358">
        <f>H13+H19+H25+H31+H37+H43</f>
        <v>0</v>
      </c>
      <c r="I50" s="22">
        <f>IF($F50=0,0,J50/$F50)</f>
        <v>0</v>
      </c>
      <c r="J50" s="358">
        <f>J13+J19+J25+J31+J37+J43</f>
        <v>0</v>
      </c>
      <c r="K50" s="22">
        <f>IF($F50=0,0,L50/$F50)</f>
        <v>0</v>
      </c>
      <c r="L50" s="358">
        <f>L13+L19+L25+L31+L37+L43</f>
        <v>0</v>
      </c>
      <c r="M50" s="19">
        <f>IF($F50=0,0,N50/$F50)</f>
        <v>0</v>
      </c>
      <c r="N50" s="358">
        <f>N13+N19+N25+N31+N37+N43</f>
        <v>0</v>
      </c>
      <c r="O50" s="56">
        <f>-IF($F50=0,0,P50/$F50)</f>
        <v>0</v>
      </c>
      <c r="P50" s="358">
        <f>P13+P19+P25+P31+P37+P43</f>
        <v>0</v>
      </c>
      <c r="Q50" s="358">
        <f>Q13+Q19+Q25+Q31+Q37+Q43</f>
        <v>0</v>
      </c>
      <c r="R50" s="48"/>
    </row>
    <row r="51" spans="1:18" ht="15.95" customHeight="1" x14ac:dyDescent="0.2">
      <c r="A51" s="49"/>
      <c r="B51" s="49"/>
      <c r="C51" s="33">
        <v>30</v>
      </c>
      <c r="D51" s="34" t="s">
        <v>22</v>
      </c>
      <c r="E51" s="360" t="s">
        <v>359</v>
      </c>
      <c r="F51" s="358">
        <f t="shared" ref="F51:H53" si="12">F14+F20+F26+F32+F38+F44</f>
        <v>0</v>
      </c>
      <c r="G51" s="22">
        <f>IF($F51=0,0,H51/$F51)</f>
        <v>0</v>
      </c>
      <c r="H51" s="358">
        <f t="shared" si="12"/>
        <v>0</v>
      </c>
      <c r="I51" s="22">
        <f>IF($F51=0,0,J51/$F51)</f>
        <v>0</v>
      </c>
      <c r="J51" s="358">
        <f t="shared" ref="J51" si="13">J14+J20+J26+J32+J38+J44</f>
        <v>0</v>
      </c>
      <c r="K51" s="22">
        <f>IF($F51=0,0,L51/$F51)</f>
        <v>0</v>
      </c>
      <c r="L51" s="358">
        <f t="shared" ref="L51" si="14">L14+L20+L26+L32+L38+L44</f>
        <v>0</v>
      </c>
      <c r="M51" s="19">
        <f>IF($F51=0,0,N51/$F51)</f>
        <v>0</v>
      </c>
      <c r="N51" s="358">
        <f t="shared" ref="N51" si="15">N14+N20+N26+N32+N38+N44</f>
        <v>0</v>
      </c>
      <c r="O51" s="56">
        <f>-IF($F51=0,0,P51/$F51)</f>
        <v>0</v>
      </c>
      <c r="P51" s="358">
        <f t="shared" ref="P51:Q51" si="16">P14+P20+P26+P32+P38+P44</f>
        <v>0</v>
      </c>
      <c r="Q51" s="358">
        <f t="shared" si="16"/>
        <v>0</v>
      </c>
      <c r="R51" s="48"/>
    </row>
    <row r="52" spans="1:18" ht="15.95" customHeight="1" x14ac:dyDescent="0.2">
      <c r="A52" s="49"/>
      <c r="B52" s="49"/>
      <c r="C52" s="33">
        <v>30</v>
      </c>
      <c r="D52" s="34" t="s">
        <v>22</v>
      </c>
      <c r="E52" s="360" t="s">
        <v>359</v>
      </c>
      <c r="F52" s="358">
        <f t="shared" si="12"/>
        <v>0</v>
      </c>
      <c r="G52" s="22">
        <f>IF($F52=0,0,H52/$F52)</f>
        <v>0</v>
      </c>
      <c r="H52" s="358">
        <f t="shared" si="12"/>
        <v>0</v>
      </c>
      <c r="I52" s="22">
        <f>IF($F52=0,0,J52/$F52)</f>
        <v>0</v>
      </c>
      <c r="J52" s="358">
        <f t="shared" ref="J52" si="17">J15+J21+J27+J33+J39+J45</f>
        <v>0</v>
      </c>
      <c r="K52" s="22">
        <f>IF($F52=0,0,L52/$F52)</f>
        <v>0</v>
      </c>
      <c r="L52" s="358">
        <f t="shared" ref="L52" si="18">L15+L21+L27+L33+L39+L45</f>
        <v>0</v>
      </c>
      <c r="M52" s="19">
        <f>IF($F52=0,0,N52/$F52)</f>
        <v>0</v>
      </c>
      <c r="N52" s="358">
        <f t="shared" ref="N52" si="19">N15+N21+N27+N33+N39+N45</f>
        <v>0</v>
      </c>
      <c r="O52" s="56">
        <f>-IF($F52=0,0,P52/$F52)</f>
        <v>0</v>
      </c>
      <c r="P52" s="358">
        <f t="shared" ref="P52:Q52" si="20">P15+P21+P27+P33+P39+P45</f>
        <v>0</v>
      </c>
      <c r="Q52" s="358">
        <f t="shared" si="20"/>
        <v>0</v>
      </c>
      <c r="R52" s="48"/>
    </row>
    <row r="53" spans="1:18" ht="15.95" customHeight="1" thickBot="1" x14ac:dyDescent="0.25">
      <c r="A53" s="49"/>
      <c r="B53" s="49"/>
      <c r="C53" s="33">
        <v>10</v>
      </c>
      <c r="D53" s="34" t="s">
        <v>22</v>
      </c>
      <c r="E53" s="61" t="s">
        <v>359</v>
      </c>
      <c r="F53" s="250">
        <f t="shared" si="12"/>
        <v>0</v>
      </c>
      <c r="G53" s="20">
        <f>IF($F53=0,0,H53/$F53)</f>
        <v>0</v>
      </c>
      <c r="H53" s="250">
        <f t="shared" si="12"/>
        <v>0</v>
      </c>
      <c r="I53" s="20">
        <f>IF($F53=0,0,J53/$F53)</f>
        <v>0</v>
      </c>
      <c r="J53" s="250">
        <f t="shared" ref="J53" si="21">J16+J22+J28+J34+J40+J46</f>
        <v>0</v>
      </c>
      <c r="K53" s="20">
        <f>IF($F53=0,0,L53/$F53)</f>
        <v>0</v>
      </c>
      <c r="L53" s="250">
        <f t="shared" ref="L53" si="22">L16+L22+L28+L34+L40+L46</f>
        <v>0</v>
      </c>
      <c r="M53" s="21">
        <f>IF($F53=0,0,N53/$F53)</f>
        <v>0</v>
      </c>
      <c r="N53" s="250">
        <f t="shared" ref="N53" si="23">N16+N22+N28+N34+N40+N46</f>
        <v>0</v>
      </c>
      <c r="O53" s="57">
        <f>-IF($F53=0,0,P53/$F53)</f>
        <v>0</v>
      </c>
      <c r="P53" s="250">
        <f t="shared" ref="P53:Q53" si="24">P16+P22+P28+P34+P40+P46</f>
        <v>0</v>
      </c>
      <c r="Q53" s="250">
        <f t="shared" si="24"/>
        <v>0</v>
      </c>
      <c r="R53" s="48"/>
    </row>
    <row r="54" spans="1:18" ht="15.95" customHeight="1" x14ac:dyDescent="0.2">
      <c r="A54" s="49"/>
      <c r="B54" s="49"/>
      <c r="C54" s="33"/>
      <c r="D54" s="34"/>
      <c r="E54" s="15"/>
      <c r="F54" s="443">
        <f>SUM(F50:F53)</f>
        <v>0</v>
      </c>
      <c r="G54" s="444">
        <f>IF($F54=0,0,H54/$F54)</f>
        <v>0</v>
      </c>
      <c r="H54" s="443">
        <f>SUM(H50:H53)</f>
        <v>0</v>
      </c>
      <c r="I54" s="444">
        <f>IF($F54=0,0,J54/$F54)</f>
        <v>0</v>
      </c>
      <c r="J54" s="443">
        <f>SUM(J50:J53)</f>
        <v>0</v>
      </c>
      <c r="K54" s="444">
        <f>IF($F54=0,0,L54/$F54)</f>
        <v>0</v>
      </c>
      <c r="L54" s="443">
        <f>SUM(L50:L53)</f>
        <v>0</v>
      </c>
      <c r="M54" s="445">
        <f>IF($F54=0,0,N54/$F54)</f>
        <v>0</v>
      </c>
      <c r="N54" s="443">
        <f>SUM(N50:N53)</f>
        <v>0</v>
      </c>
      <c r="O54" s="446">
        <f>-IF($F54=0,0,P54/$F54)</f>
        <v>0</v>
      </c>
      <c r="P54" s="443">
        <f>SUM(P50:P53)</f>
        <v>0</v>
      </c>
      <c r="Q54" s="443">
        <f>SUM(Q50:Q53)</f>
        <v>0</v>
      </c>
      <c r="R54" s="48"/>
    </row>
    <row r="55" spans="1:18" x14ac:dyDescent="0.2">
      <c r="A55" s="49"/>
      <c r="B55" s="49"/>
      <c r="C55" s="42"/>
      <c r="D55" s="43"/>
      <c r="E55" s="42"/>
      <c r="F55" s="45"/>
      <c r="G55" s="44"/>
      <c r="H55" s="45"/>
      <c r="I55" s="46"/>
      <c r="J55" s="45"/>
      <c r="K55" s="46"/>
      <c r="L55" s="45"/>
      <c r="M55" s="47"/>
      <c r="N55" s="45"/>
      <c r="O55" s="45"/>
      <c r="P55" s="48"/>
      <c r="Q55" s="48"/>
      <c r="R55" s="48"/>
    </row>
    <row r="56" spans="1:18" x14ac:dyDescent="0.2">
      <c r="E56" s="350" t="s">
        <v>846</v>
      </c>
      <c r="F56" s="351" t="s">
        <v>847</v>
      </c>
      <c r="G56" s="351" t="s">
        <v>69</v>
      </c>
      <c r="P56" s="350" t="s">
        <v>866</v>
      </c>
      <c r="Q56" s="351" t="s">
        <v>847</v>
      </c>
      <c r="R56" s="351" t="s">
        <v>69</v>
      </c>
    </row>
    <row r="57" spans="1:18" x14ac:dyDescent="0.2">
      <c r="E57" s="260">
        <v>34199</v>
      </c>
      <c r="F57" s="352">
        <f>IFERROR(VLOOKUP(E57,'2019 B-7'!C:P,14,FALSE),0)</f>
        <v>176075355.94000003</v>
      </c>
      <c r="G57" s="353">
        <f>F57-F16</f>
        <v>176075355.94000003</v>
      </c>
      <c r="P57" s="260">
        <f>E57</f>
        <v>34199</v>
      </c>
      <c r="Q57" s="352">
        <f>IFERROR(VLOOKUP(P57,'2019 B-9'!C:R,16,FALSE),0)</f>
        <v>5959129.6600000001</v>
      </c>
      <c r="R57" s="353">
        <f>Q57-Q16</f>
        <v>5959129.6600000001</v>
      </c>
    </row>
    <row r="58" spans="1:18" x14ac:dyDescent="0.2">
      <c r="E58" s="260">
        <v>34299</v>
      </c>
      <c r="F58" s="352">
        <f>IFERROR(VLOOKUP(E58,'2019 B-7'!C:P,14,FALSE),0)</f>
        <v>0</v>
      </c>
      <c r="G58" s="353">
        <f>F58-F22</f>
        <v>0</v>
      </c>
      <c r="P58" s="260">
        <f t="shared" ref="P58:P62" si="25">E58</f>
        <v>34299</v>
      </c>
      <c r="Q58" s="352">
        <f>IFERROR(VLOOKUP(P58,'2019 B-9'!C:R,16,FALSE),0)</f>
        <v>0</v>
      </c>
      <c r="R58" s="353">
        <f>Q58-Q22</f>
        <v>0</v>
      </c>
    </row>
    <row r="59" spans="1:18" x14ac:dyDescent="0.2">
      <c r="E59" s="260">
        <v>34399</v>
      </c>
      <c r="F59" s="352">
        <f>IFERROR(VLOOKUP(E59,'2019 B-7'!C:P,14,FALSE),0)</f>
        <v>272856761.74000001</v>
      </c>
      <c r="G59" s="353">
        <f>F59-F28</f>
        <v>272856761.74000001</v>
      </c>
      <c r="P59" s="260">
        <f t="shared" si="25"/>
        <v>34399</v>
      </c>
      <c r="Q59" s="352">
        <f>IFERROR(VLOOKUP(P59,'2019 B-9'!C:R,16,FALSE),0)</f>
        <v>11221756.060000001</v>
      </c>
      <c r="R59" s="353">
        <f>Q59-Q28</f>
        <v>11221756.060000001</v>
      </c>
    </row>
    <row r="60" spans="1:18" x14ac:dyDescent="0.2">
      <c r="E60" s="260">
        <v>34599</v>
      </c>
      <c r="F60" s="352">
        <f>IFERROR(VLOOKUP(E60,'2019 B-7'!C:P,14,FALSE),0)</f>
        <v>96257197.900000006</v>
      </c>
      <c r="G60" s="353">
        <f>F60-F34</f>
        <v>96257197.900000006</v>
      </c>
      <c r="P60" s="260">
        <f t="shared" si="25"/>
        <v>34599</v>
      </c>
      <c r="Q60" s="352">
        <f>IFERROR(VLOOKUP(P60,'2019 B-9'!C:R,16,FALSE),0)</f>
        <v>3766749.69</v>
      </c>
      <c r="R60" s="353">
        <f>Q60-Q34</f>
        <v>3766749.69</v>
      </c>
    </row>
    <row r="61" spans="1:18" x14ac:dyDescent="0.2">
      <c r="E61" s="260">
        <v>34699</v>
      </c>
      <c r="F61" s="352">
        <f>IFERROR(VLOOKUP(E61,'2019 B-7'!C:P,14,FALSE),0)</f>
        <v>0</v>
      </c>
      <c r="G61" s="353">
        <f>F61-F40</f>
        <v>0</v>
      </c>
      <c r="P61" s="260">
        <f t="shared" si="25"/>
        <v>34699</v>
      </c>
      <c r="Q61" s="352">
        <f>IFERROR(VLOOKUP(P61,'2019 B-9'!C:R,16,FALSE),0)</f>
        <v>0</v>
      </c>
      <c r="R61" s="353">
        <f>Q61-Q40</f>
        <v>0</v>
      </c>
    </row>
    <row r="62" spans="1:18" x14ac:dyDescent="0.2">
      <c r="E62" s="260">
        <v>34899</v>
      </c>
      <c r="F62" s="352">
        <f>IFERROR(VLOOKUP(E62,'2019 B-7'!C:P,14,FALSE),0)</f>
        <v>0</v>
      </c>
      <c r="G62" s="353"/>
      <c r="P62" s="260">
        <f t="shared" si="25"/>
        <v>34899</v>
      </c>
      <c r="Q62" s="352">
        <f>IFERROR(VLOOKUP(P62,'2019 B-9'!C:R,16,FALSE),0)</f>
        <v>0</v>
      </c>
      <c r="R62" s="353"/>
    </row>
    <row r="63" spans="1:18" ht="13.5" thickBot="1" x14ac:dyDescent="0.25">
      <c r="E63" s="349" t="s">
        <v>40</v>
      </c>
      <c r="F63" s="354">
        <f>SUM(F57:F62)</f>
        <v>545189315.58000004</v>
      </c>
      <c r="G63" s="354">
        <f>SUM(G57:G62)</f>
        <v>545189315.58000004</v>
      </c>
      <c r="P63" s="349" t="s">
        <v>40</v>
      </c>
      <c r="Q63" s="354">
        <f>SUM(Q57:Q62)</f>
        <v>20947635.41</v>
      </c>
      <c r="R63" s="354">
        <f>SUM(R57:R62)</f>
        <v>20947635.41</v>
      </c>
    </row>
    <row r="64" spans="1:18" ht="13.5" thickTop="1" x14ac:dyDescent="0.2">
      <c r="E64" s="50"/>
      <c r="F64" s="353">
        <f>F63-F54</f>
        <v>545189315.58000004</v>
      </c>
      <c r="G64" s="353">
        <f>G63-F64</f>
        <v>0</v>
      </c>
      <c r="P64" s="50"/>
      <c r="Q64" s="353">
        <f>Q63-Q54</f>
        <v>20947635.41</v>
      </c>
      <c r="R64" s="353">
        <f>R63-Q64</f>
        <v>0</v>
      </c>
    </row>
    <row r="65" spans="5:7" x14ac:dyDescent="0.2">
      <c r="E65" s="50"/>
      <c r="G65" s="29"/>
    </row>
    <row r="66" spans="5:7" x14ac:dyDescent="0.2">
      <c r="E66" s="50"/>
      <c r="G66" s="29"/>
    </row>
    <row r="67" spans="5:7" x14ac:dyDescent="0.2">
      <c r="E67" s="50"/>
      <c r="G67" s="29"/>
    </row>
    <row r="68" spans="5:7" x14ac:dyDescent="0.2">
      <c r="E68" s="50"/>
    </row>
    <row r="69" spans="5:7" x14ac:dyDescent="0.2">
      <c r="E69" s="50"/>
    </row>
    <row r="70" spans="5:7" x14ac:dyDescent="0.2">
      <c r="E70" s="50"/>
    </row>
    <row r="71" spans="5:7" x14ac:dyDescent="0.2">
      <c r="E71" s="50"/>
    </row>
    <row r="72" spans="5:7" x14ac:dyDescent="0.2">
      <c r="E72" s="50"/>
    </row>
    <row r="73" spans="5:7" x14ac:dyDescent="0.2">
      <c r="E73" s="50"/>
    </row>
    <row r="74" spans="5:7" x14ac:dyDescent="0.2">
      <c r="E74" s="50"/>
    </row>
    <row r="75" spans="5:7" x14ac:dyDescent="0.2">
      <c r="E75" s="50"/>
    </row>
  </sheetData>
  <printOptions horizontalCentered="1"/>
  <pageMargins left="0.75" right="0.75" top="0.5" bottom="0.5" header="0" footer="0"/>
  <pageSetup scale="69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A91E7-B99F-4EBD-B084-AA0BD7D76CE3}">
  <sheetPr>
    <tabColor theme="9" tint="0.39997558519241921"/>
  </sheetPr>
  <dimension ref="A1:AN521"/>
  <sheetViews>
    <sheetView topLeftCell="A473" zoomScaleNormal="100" zoomScaleSheetLayoutView="100" workbookViewId="0">
      <selection activeCell="D422" sqref="D422"/>
    </sheetView>
  </sheetViews>
  <sheetFormatPr defaultRowHeight="14.1" customHeight="1" x14ac:dyDescent="0.2"/>
  <cols>
    <col min="1" max="1" width="4.5703125" style="252" customWidth="1"/>
    <col min="2" max="2" width="6.140625" style="252" customWidth="1"/>
    <col min="3" max="3" width="12" style="252" customWidth="1"/>
    <col min="4" max="4" width="42.140625" style="252" customWidth="1"/>
    <col min="5" max="5" width="2.28515625" style="252" customWidth="1"/>
    <col min="6" max="6" width="10.5703125" style="252" customWidth="1"/>
    <col min="7" max="7" width="2.28515625" style="252" customWidth="1"/>
    <col min="8" max="8" width="16.7109375" style="252" customWidth="1"/>
    <col min="9" max="9" width="2.28515625" style="252" customWidth="1"/>
    <col min="10" max="10" width="16.7109375" style="252" customWidth="1"/>
    <col min="11" max="11" width="2.28515625" style="252" customWidth="1"/>
    <col min="12" max="12" width="16.7109375" style="252" customWidth="1"/>
    <col min="13" max="13" width="2.28515625" style="252" customWidth="1"/>
    <col min="14" max="14" width="16.7109375" style="252" customWidth="1"/>
    <col min="15" max="15" width="2.28515625" style="252" customWidth="1"/>
    <col min="16" max="16" width="16.7109375" style="252" customWidth="1"/>
    <col min="17" max="17" width="2.28515625" style="252" customWidth="1"/>
    <col min="18" max="18" width="17.140625" style="252" customWidth="1"/>
    <col min="19" max="19" width="3.28515625" style="252" customWidth="1"/>
    <col min="20" max="20" width="5" style="252" customWidth="1"/>
    <col min="21" max="21" width="8.140625" style="252" customWidth="1"/>
    <col min="22" max="22" width="11.140625" style="252" customWidth="1"/>
    <col min="23" max="23" width="41.28515625" style="252" customWidth="1"/>
    <col min="24" max="24" width="2.28515625" style="252" customWidth="1"/>
    <col min="25" max="25" width="11" style="252" customWidth="1"/>
    <col min="26" max="26" width="2.28515625" style="252" customWidth="1"/>
    <col min="27" max="27" width="17.140625" style="252" customWidth="1"/>
    <col min="28" max="28" width="2.28515625" style="252" customWidth="1"/>
    <col min="29" max="29" width="17.140625" style="252" customWidth="1"/>
    <col min="30" max="30" width="2.28515625" style="252" customWidth="1"/>
    <col min="31" max="31" width="17.140625" style="252" customWidth="1"/>
    <col min="32" max="32" width="2.28515625" style="252" customWidth="1"/>
    <col min="33" max="33" width="17.140625" style="252" customWidth="1"/>
    <col min="34" max="34" width="2.28515625" style="252" customWidth="1"/>
    <col min="35" max="35" width="17.140625" style="252" customWidth="1"/>
    <col min="36" max="36" width="2.28515625" style="252" customWidth="1"/>
    <col min="37" max="37" width="17.140625" style="252" customWidth="1"/>
    <col min="38" max="38" width="5.42578125" style="252" customWidth="1"/>
    <col min="39" max="39" width="9.140625" style="252"/>
    <col min="40" max="40" width="13" style="252" bestFit="1" customWidth="1"/>
    <col min="41" max="256" width="9.140625" style="252"/>
    <col min="257" max="257" width="3.5703125" style="252" customWidth="1"/>
    <col min="258" max="258" width="6.7109375" style="252" bestFit="1" customWidth="1"/>
    <col min="259" max="259" width="10.7109375" style="252" bestFit="1" customWidth="1"/>
    <col min="260" max="260" width="40.28515625" style="252" bestFit="1" customWidth="1"/>
    <col min="261" max="261" width="2.28515625" style="252" customWidth="1"/>
    <col min="262" max="262" width="9.5703125" style="252" customWidth="1"/>
    <col min="263" max="263" width="2.28515625" style="252" customWidth="1"/>
    <col min="264" max="264" width="13.5703125" style="252" customWidth="1"/>
    <col min="265" max="265" width="2.28515625" style="252" customWidth="1"/>
    <col min="266" max="266" width="13.5703125" style="252" customWidth="1"/>
    <col min="267" max="267" width="2.28515625" style="252" customWidth="1"/>
    <col min="268" max="268" width="13.5703125" style="252" customWidth="1"/>
    <col min="269" max="269" width="2.28515625" style="252" customWidth="1"/>
    <col min="270" max="270" width="13.5703125" style="252" customWidth="1"/>
    <col min="271" max="271" width="2.28515625" style="252" customWidth="1"/>
    <col min="272" max="272" width="13.5703125" style="252" customWidth="1"/>
    <col min="273" max="273" width="2.28515625" style="252" customWidth="1"/>
    <col min="274" max="274" width="13.5703125" style="252" customWidth="1"/>
    <col min="275" max="275" width="3.28515625" style="252" customWidth="1"/>
    <col min="276" max="276" width="3.5703125" style="252" customWidth="1"/>
    <col min="277" max="277" width="11.28515625" style="252" customWidth="1"/>
    <col min="278" max="278" width="11.7109375" style="252" bestFit="1" customWidth="1"/>
    <col min="279" max="279" width="40.28515625" style="252" bestFit="1" customWidth="1"/>
    <col min="280" max="280" width="2.28515625" style="252" customWidth="1"/>
    <col min="281" max="281" width="9.5703125" style="252" customWidth="1"/>
    <col min="282" max="282" width="2.28515625" style="252" customWidth="1"/>
    <col min="283" max="283" width="13.5703125" style="252" customWidth="1"/>
    <col min="284" max="284" width="2.28515625" style="252" customWidth="1"/>
    <col min="285" max="285" width="13.5703125" style="252" customWidth="1"/>
    <col min="286" max="286" width="2.28515625" style="252" customWidth="1"/>
    <col min="287" max="287" width="13.5703125" style="252" customWidth="1"/>
    <col min="288" max="288" width="2.28515625" style="252" customWidth="1"/>
    <col min="289" max="289" width="13.5703125" style="252" customWidth="1"/>
    <col min="290" max="290" width="2.28515625" style="252" customWidth="1"/>
    <col min="291" max="291" width="13.5703125" style="252" customWidth="1"/>
    <col min="292" max="292" width="2.28515625" style="252" customWidth="1"/>
    <col min="293" max="294" width="13.5703125" style="252" customWidth="1"/>
    <col min="295" max="512" width="9.140625" style="252"/>
    <col min="513" max="513" width="3.5703125" style="252" customWidth="1"/>
    <col min="514" max="514" width="6.7109375" style="252" bestFit="1" customWidth="1"/>
    <col min="515" max="515" width="10.7109375" style="252" bestFit="1" customWidth="1"/>
    <col min="516" max="516" width="40.28515625" style="252" bestFit="1" customWidth="1"/>
    <col min="517" max="517" width="2.28515625" style="252" customWidth="1"/>
    <col min="518" max="518" width="9.5703125" style="252" customWidth="1"/>
    <col min="519" max="519" width="2.28515625" style="252" customWidth="1"/>
    <col min="520" max="520" width="13.5703125" style="252" customWidth="1"/>
    <col min="521" max="521" width="2.28515625" style="252" customWidth="1"/>
    <col min="522" max="522" width="13.5703125" style="252" customWidth="1"/>
    <col min="523" max="523" width="2.28515625" style="252" customWidth="1"/>
    <col min="524" max="524" width="13.5703125" style="252" customWidth="1"/>
    <col min="525" max="525" width="2.28515625" style="252" customWidth="1"/>
    <col min="526" max="526" width="13.5703125" style="252" customWidth="1"/>
    <col min="527" max="527" width="2.28515625" style="252" customWidth="1"/>
    <col min="528" max="528" width="13.5703125" style="252" customWidth="1"/>
    <col min="529" max="529" width="2.28515625" style="252" customWidth="1"/>
    <col min="530" max="530" width="13.5703125" style="252" customWidth="1"/>
    <col min="531" max="531" width="3.28515625" style="252" customWidth="1"/>
    <col min="532" max="532" width="3.5703125" style="252" customWidth="1"/>
    <col min="533" max="533" width="11.28515625" style="252" customWidth="1"/>
    <col min="534" max="534" width="11.7109375" style="252" bestFit="1" customWidth="1"/>
    <col min="535" max="535" width="40.28515625" style="252" bestFit="1" customWidth="1"/>
    <col min="536" max="536" width="2.28515625" style="252" customWidth="1"/>
    <col min="537" max="537" width="9.5703125" style="252" customWidth="1"/>
    <col min="538" max="538" width="2.28515625" style="252" customWidth="1"/>
    <col min="539" max="539" width="13.5703125" style="252" customWidth="1"/>
    <col min="540" max="540" width="2.28515625" style="252" customWidth="1"/>
    <col min="541" max="541" width="13.5703125" style="252" customWidth="1"/>
    <col min="542" max="542" width="2.28515625" style="252" customWidth="1"/>
    <col min="543" max="543" width="13.5703125" style="252" customWidth="1"/>
    <col min="544" max="544" width="2.28515625" style="252" customWidth="1"/>
    <col min="545" max="545" width="13.5703125" style="252" customWidth="1"/>
    <col min="546" max="546" width="2.28515625" style="252" customWidth="1"/>
    <col min="547" max="547" width="13.5703125" style="252" customWidth="1"/>
    <col min="548" max="548" width="2.28515625" style="252" customWidth="1"/>
    <col min="549" max="550" width="13.5703125" style="252" customWidth="1"/>
    <col min="551" max="768" width="9.140625" style="252"/>
    <col min="769" max="769" width="3.5703125" style="252" customWidth="1"/>
    <col min="770" max="770" width="6.7109375" style="252" bestFit="1" customWidth="1"/>
    <col min="771" max="771" width="10.7109375" style="252" bestFit="1" customWidth="1"/>
    <col min="772" max="772" width="40.28515625" style="252" bestFit="1" customWidth="1"/>
    <col min="773" max="773" width="2.28515625" style="252" customWidth="1"/>
    <col min="774" max="774" width="9.5703125" style="252" customWidth="1"/>
    <col min="775" max="775" width="2.28515625" style="252" customWidth="1"/>
    <col min="776" max="776" width="13.5703125" style="252" customWidth="1"/>
    <col min="777" max="777" width="2.28515625" style="252" customWidth="1"/>
    <col min="778" max="778" width="13.5703125" style="252" customWidth="1"/>
    <col min="779" max="779" width="2.28515625" style="252" customWidth="1"/>
    <col min="780" max="780" width="13.5703125" style="252" customWidth="1"/>
    <col min="781" max="781" width="2.28515625" style="252" customWidth="1"/>
    <col min="782" max="782" width="13.5703125" style="252" customWidth="1"/>
    <col min="783" max="783" width="2.28515625" style="252" customWidth="1"/>
    <col min="784" max="784" width="13.5703125" style="252" customWidth="1"/>
    <col min="785" max="785" width="2.28515625" style="252" customWidth="1"/>
    <col min="786" max="786" width="13.5703125" style="252" customWidth="1"/>
    <col min="787" max="787" width="3.28515625" style="252" customWidth="1"/>
    <col min="788" max="788" width="3.5703125" style="252" customWidth="1"/>
    <col min="789" max="789" width="11.28515625" style="252" customWidth="1"/>
    <col min="790" max="790" width="11.7109375" style="252" bestFit="1" customWidth="1"/>
    <col min="791" max="791" width="40.28515625" style="252" bestFit="1" customWidth="1"/>
    <col min="792" max="792" width="2.28515625" style="252" customWidth="1"/>
    <col min="793" max="793" width="9.5703125" style="252" customWidth="1"/>
    <col min="794" max="794" width="2.28515625" style="252" customWidth="1"/>
    <col min="795" max="795" width="13.5703125" style="252" customWidth="1"/>
    <col min="796" max="796" width="2.28515625" style="252" customWidth="1"/>
    <col min="797" max="797" width="13.5703125" style="252" customWidth="1"/>
    <col min="798" max="798" width="2.28515625" style="252" customWidth="1"/>
    <col min="799" max="799" width="13.5703125" style="252" customWidth="1"/>
    <col min="800" max="800" width="2.28515625" style="252" customWidth="1"/>
    <col min="801" max="801" width="13.5703125" style="252" customWidth="1"/>
    <col min="802" max="802" width="2.28515625" style="252" customWidth="1"/>
    <col min="803" max="803" width="13.5703125" style="252" customWidth="1"/>
    <col min="804" max="804" width="2.28515625" style="252" customWidth="1"/>
    <col min="805" max="806" width="13.5703125" style="252" customWidth="1"/>
    <col min="807" max="1024" width="9.140625" style="252"/>
    <col min="1025" max="1025" width="3.5703125" style="252" customWidth="1"/>
    <col min="1026" max="1026" width="6.7109375" style="252" bestFit="1" customWidth="1"/>
    <col min="1027" max="1027" width="10.7109375" style="252" bestFit="1" customWidth="1"/>
    <col min="1028" max="1028" width="40.28515625" style="252" bestFit="1" customWidth="1"/>
    <col min="1029" max="1029" width="2.28515625" style="252" customWidth="1"/>
    <col min="1030" max="1030" width="9.5703125" style="252" customWidth="1"/>
    <col min="1031" max="1031" width="2.28515625" style="252" customWidth="1"/>
    <col min="1032" max="1032" width="13.5703125" style="252" customWidth="1"/>
    <col min="1033" max="1033" width="2.28515625" style="252" customWidth="1"/>
    <col min="1034" max="1034" width="13.5703125" style="252" customWidth="1"/>
    <col min="1035" max="1035" width="2.28515625" style="252" customWidth="1"/>
    <col min="1036" max="1036" width="13.5703125" style="252" customWidth="1"/>
    <col min="1037" max="1037" width="2.28515625" style="252" customWidth="1"/>
    <col min="1038" max="1038" width="13.5703125" style="252" customWidth="1"/>
    <col min="1039" max="1039" width="2.28515625" style="252" customWidth="1"/>
    <col min="1040" max="1040" width="13.5703125" style="252" customWidth="1"/>
    <col min="1041" max="1041" width="2.28515625" style="252" customWidth="1"/>
    <col min="1042" max="1042" width="13.5703125" style="252" customWidth="1"/>
    <col min="1043" max="1043" width="3.28515625" style="252" customWidth="1"/>
    <col min="1044" max="1044" width="3.5703125" style="252" customWidth="1"/>
    <col min="1045" max="1045" width="11.28515625" style="252" customWidth="1"/>
    <col min="1046" max="1046" width="11.7109375" style="252" bestFit="1" customWidth="1"/>
    <col min="1047" max="1047" width="40.28515625" style="252" bestFit="1" customWidth="1"/>
    <col min="1048" max="1048" width="2.28515625" style="252" customWidth="1"/>
    <col min="1049" max="1049" width="9.5703125" style="252" customWidth="1"/>
    <col min="1050" max="1050" width="2.28515625" style="252" customWidth="1"/>
    <col min="1051" max="1051" width="13.5703125" style="252" customWidth="1"/>
    <col min="1052" max="1052" width="2.28515625" style="252" customWidth="1"/>
    <col min="1053" max="1053" width="13.5703125" style="252" customWidth="1"/>
    <col min="1054" max="1054" width="2.28515625" style="252" customWidth="1"/>
    <col min="1055" max="1055" width="13.5703125" style="252" customWidth="1"/>
    <col min="1056" max="1056" width="2.28515625" style="252" customWidth="1"/>
    <col min="1057" max="1057" width="13.5703125" style="252" customWidth="1"/>
    <col min="1058" max="1058" width="2.28515625" style="252" customWidth="1"/>
    <col min="1059" max="1059" width="13.5703125" style="252" customWidth="1"/>
    <col min="1060" max="1060" width="2.28515625" style="252" customWidth="1"/>
    <col min="1061" max="1062" width="13.5703125" style="252" customWidth="1"/>
    <col min="1063" max="1280" width="9.140625" style="252"/>
    <col min="1281" max="1281" width="3.5703125" style="252" customWidth="1"/>
    <col min="1282" max="1282" width="6.7109375" style="252" bestFit="1" customWidth="1"/>
    <col min="1283" max="1283" width="10.7109375" style="252" bestFit="1" customWidth="1"/>
    <col min="1284" max="1284" width="40.28515625" style="252" bestFit="1" customWidth="1"/>
    <col min="1285" max="1285" width="2.28515625" style="252" customWidth="1"/>
    <col min="1286" max="1286" width="9.5703125" style="252" customWidth="1"/>
    <col min="1287" max="1287" width="2.28515625" style="252" customWidth="1"/>
    <col min="1288" max="1288" width="13.5703125" style="252" customWidth="1"/>
    <col min="1289" max="1289" width="2.28515625" style="252" customWidth="1"/>
    <col min="1290" max="1290" width="13.5703125" style="252" customWidth="1"/>
    <col min="1291" max="1291" width="2.28515625" style="252" customWidth="1"/>
    <col min="1292" max="1292" width="13.5703125" style="252" customWidth="1"/>
    <col min="1293" max="1293" width="2.28515625" style="252" customWidth="1"/>
    <col min="1294" max="1294" width="13.5703125" style="252" customWidth="1"/>
    <col min="1295" max="1295" width="2.28515625" style="252" customWidth="1"/>
    <col min="1296" max="1296" width="13.5703125" style="252" customWidth="1"/>
    <col min="1297" max="1297" width="2.28515625" style="252" customWidth="1"/>
    <col min="1298" max="1298" width="13.5703125" style="252" customWidth="1"/>
    <col min="1299" max="1299" width="3.28515625" style="252" customWidth="1"/>
    <col min="1300" max="1300" width="3.5703125" style="252" customWidth="1"/>
    <col min="1301" max="1301" width="11.28515625" style="252" customWidth="1"/>
    <col min="1302" max="1302" width="11.7109375" style="252" bestFit="1" customWidth="1"/>
    <col min="1303" max="1303" width="40.28515625" style="252" bestFit="1" customWidth="1"/>
    <col min="1304" max="1304" width="2.28515625" style="252" customWidth="1"/>
    <col min="1305" max="1305" width="9.5703125" style="252" customWidth="1"/>
    <col min="1306" max="1306" width="2.28515625" style="252" customWidth="1"/>
    <col min="1307" max="1307" width="13.5703125" style="252" customWidth="1"/>
    <col min="1308" max="1308" width="2.28515625" style="252" customWidth="1"/>
    <col min="1309" max="1309" width="13.5703125" style="252" customWidth="1"/>
    <col min="1310" max="1310" width="2.28515625" style="252" customWidth="1"/>
    <col min="1311" max="1311" width="13.5703125" style="252" customWidth="1"/>
    <col min="1312" max="1312" width="2.28515625" style="252" customWidth="1"/>
    <col min="1313" max="1313" width="13.5703125" style="252" customWidth="1"/>
    <col min="1314" max="1314" width="2.28515625" style="252" customWidth="1"/>
    <col min="1315" max="1315" width="13.5703125" style="252" customWidth="1"/>
    <col min="1316" max="1316" width="2.28515625" style="252" customWidth="1"/>
    <col min="1317" max="1318" width="13.5703125" style="252" customWidth="1"/>
    <col min="1319" max="1536" width="9.140625" style="252"/>
    <col min="1537" max="1537" width="3.5703125" style="252" customWidth="1"/>
    <col min="1538" max="1538" width="6.7109375" style="252" bestFit="1" customWidth="1"/>
    <col min="1539" max="1539" width="10.7109375" style="252" bestFit="1" customWidth="1"/>
    <col min="1540" max="1540" width="40.28515625" style="252" bestFit="1" customWidth="1"/>
    <col min="1541" max="1541" width="2.28515625" style="252" customWidth="1"/>
    <col min="1542" max="1542" width="9.5703125" style="252" customWidth="1"/>
    <col min="1543" max="1543" width="2.28515625" style="252" customWidth="1"/>
    <col min="1544" max="1544" width="13.5703125" style="252" customWidth="1"/>
    <col min="1545" max="1545" width="2.28515625" style="252" customWidth="1"/>
    <col min="1546" max="1546" width="13.5703125" style="252" customWidth="1"/>
    <col min="1547" max="1547" width="2.28515625" style="252" customWidth="1"/>
    <col min="1548" max="1548" width="13.5703125" style="252" customWidth="1"/>
    <col min="1549" max="1549" width="2.28515625" style="252" customWidth="1"/>
    <col min="1550" max="1550" width="13.5703125" style="252" customWidth="1"/>
    <col min="1551" max="1551" width="2.28515625" style="252" customWidth="1"/>
    <col min="1552" max="1552" width="13.5703125" style="252" customWidth="1"/>
    <col min="1553" max="1553" width="2.28515625" style="252" customWidth="1"/>
    <col min="1554" max="1554" width="13.5703125" style="252" customWidth="1"/>
    <col min="1555" max="1555" width="3.28515625" style="252" customWidth="1"/>
    <col min="1556" max="1556" width="3.5703125" style="252" customWidth="1"/>
    <col min="1557" max="1557" width="11.28515625" style="252" customWidth="1"/>
    <col min="1558" max="1558" width="11.7109375" style="252" bestFit="1" customWidth="1"/>
    <col min="1559" max="1559" width="40.28515625" style="252" bestFit="1" customWidth="1"/>
    <col min="1560" max="1560" width="2.28515625" style="252" customWidth="1"/>
    <col min="1561" max="1561" width="9.5703125" style="252" customWidth="1"/>
    <col min="1562" max="1562" width="2.28515625" style="252" customWidth="1"/>
    <col min="1563" max="1563" width="13.5703125" style="252" customWidth="1"/>
    <col min="1564" max="1564" width="2.28515625" style="252" customWidth="1"/>
    <col min="1565" max="1565" width="13.5703125" style="252" customWidth="1"/>
    <col min="1566" max="1566" width="2.28515625" style="252" customWidth="1"/>
    <col min="1567" max="1567" width="13.5703125" style="252" customWidth="1"/>
    <col min="1568" max="1568" width="2.28515625" style="252" customWidth="1"/>
    <col min="1569" max="1569" width="13.5703125" style="252" customWidth="1"/>
    <col min="1570" max="1570" width="2.28515625" style="252" customWidth="1"/>
    <col min="1571" max="1571" width="13.5703125" style="252" customWidth="1"/>
    <col min="1572" max="1572" width="2.28515625" style="252" customWidth="1"/>
    <col min="1573" max="1574" width="13.5703125" style="252" customWidth="1"/>
    <col min="1575" max="1792" width="9.140625" style="252"/>
    <col min="1793" max="1793" width="3.5703125" style="252" customWidth="1"/>
    <col min="1794" max="1794" width="6.7109375" style="252" bestFit="1" customWidth="1"/>
    <col min="1795" max="1795" width="10.7109375" style="252" bestFit="1" customWidth="1"/>
    <col min="1796" max="1796" width="40.28515625" style="252" bestFit="1" customWidth="1"/>
    <col min="1797" max="1797" width="2.28515625" style="252" customWidth="1"/>
    <col min="1798" max="1798" width="9.5703125" style="252" customWidth="1"/>
    <col min="1799" max="1799" width="2.28515625" style="252" customWidth="1"/>
    <col min="1800" max="1800" width="13.5703125" style="252" customWidth="1"/>
    <col min="1801" max="1801" width="2.28515625" style="252" customWidth="1"/>
    <col min="1802" max="1802" width="13.5703125" style="252" customWidth="1"/>
    <col min="1803" max="1803" width="2.28515625" style="252" customWidth="1"/>
    <col min="1804" max="1804" width="13.5703125" style="252" customWidth="1"/>
    <col min="1805" max="1805" width="2.28515625" style="252" customWidth="1"/>
    <col min="1806" max="1806" width="13.5703125" style="252" customWidth="1"/>
    <col min="1807" max="1807" width="2.28515625" style="252" customWidth="1"/>
    <col min="1808" max="1808" width="13.5703125" style="252" customWidth="1"/>
    <col min="1809" max="1809" width="2.28515625" style="252" customWidth="1"/>
    <col min="1810" max="1810" width="13.5703125" style="252" customWidth="1"/>
    <col min="1811" max="1811" width="3.28515625" style="252" customWidth="1"/>
    <col min="1812" max="1812" width="3.5703125" style="252" customWidth="1"/>
    <col min="1813" max="1813" width="11.28515625" style="252" customWidth="1"/>
    <col min="1814" max="1814" width="11.7109375" style="252" bestFit="1" customWidth="1"/>
    <col min="1815" max="1815" width="40.28515625" style="252" bestFit="1" customWidth="1"/>
    <col min="1816" max="1816" width="2.28515625" style="252" customWidth="1"/>
    <col min="1817" max="1817" width="9.5703125" style="252" customWidth="1"/>
    <col min="1818" max="1818" width="2.28515625" style="252" customWidth="1"/>
    <col min="1819" max="1819" width="13.5703125" style="252" customWidth="1"/>
    <col min="1820" max="1820" width="2.28515625" style="252" customWidth="1"/>
    <col min="1821" max="1821" width="13.5703125" style="252" customWidth="1"/>
    <col min="1822" max="1822" width="2.28515625" style="252" customWidth="1"/>
    <col min="1823" max="1823" width="13.5703125" style="252" customWidth="1"/>
    <col min="1824" max="1824" width="2.28515625" style="252" customWidth="1"/>
    <col min="1825" max="1825" width="13.5703125" style="252" customWidth="1"/>
    <col min="1826" max="1826" width="2.28515625" style="252" customWidth="1"/>
    <col min="1827" max="1827" width="13.5703125" style="252" customWidth="1"/>
    <col min="1828" max="1828" width="2.28515625" style="252" customWidth="1"/>
    <col min="1829" max="1830" width="13.5703125" style="252" customWidth="1"/>
    <col min="1831" max="2048" width="9.140625" style="252"/>
    <col min="2049" max="2049" width="3.5703125" style="252" customWidth="1"/>
    <col min="2050" max="2050" width="6.7109375" style="252" bestFit="1" customWidth="1"/>
    <col min="2051" max="2051" width="10.7109375" style="252" bestFit="1" customWidth="1"/>
    <col min="2052" max="2052" width="40.28515625" style="252" bestFit="1" customWidth="1"/>
    <col min="2053" max="2053" width="2.28515625" style="252" customWidth="1"/>
    <col min="2054" max="2054" width="9.5703125" style="252" customWidth="1"/>
    <col min="2055" max="2055" width="2.28515625" style="252" customWidth="1"/>
    <col min="2056" max="2056" width="13.5703125" style="252" customWidth="1"/>
    <col min="2057" max="2057" width="2.28515625" style="252" customWidth="1"/>
    <col min="2058" max="2058" width="13.5703125" style="252" customWidth="1"/>
    <col min="2059" max="2059" width="2.28515625" style="252" customWidth="1"/>
    <col min="2060" max="2060" width="13.5703125" style="252" customWidth="1"/>
    <col min="2061" max="2061" width="2.28515625" style="252" customWidth="1"/>
    <col min="2062" max="2062" width="13.5703125" style="252" customWidth="1"/>
    <col min="2063" max="2063" width="2.28515625" style="252" customWidth="1"/>
    <col min="2064" max="2064" width="13.5703125" style="252" customWidth="1"/>
    <col min="2065" max="2065" width="2.28515625" style="252" customWidth="1"/>
    <col min="2066" max="2066" width="13.5703125" style="252" customWidth="1"/>
    <col min="2067" max="2067" width="3.28515625" style="252" customWidth="1"/>
    <col min="2068" max="2068" width="3.5703125" style="252" customWidth="1"/>
    <col min="2069" max="2069" width="11.28515625" style="252" customWidth="1"/>
    <col min="2070" max="2070" width="11.7109375" style="252" bestFit="1" customWidth="1"/>
    <col min="2071" max="2071" width="40.28515625" style="252" bestFit="1" customWidth="1"/>
    <col min="2072" max="2072" width="2.28515625" style="252" customWidth="1"/>
    <col min="2073" max="2073" width="9.5703125" style="252" customWidth="1"/>
    <col min="2074" max="2074" width="2.28515625" style="252" customWidth="1"/>
    <col min="2075" max="2075" width="13.5703125" style="252" customWidth="1"/>
    <col min="2076" max="2076" width="2.28515625" style="252" customWidth="1"/>
    <col min="2077" max="2077" width="13.5703125" style="252" customWidth="1"/>
    <col min="2078" max="2078" width="2.28515625" style="252" customWidth="1"/>
    <col min="2079" max="2079" width="13.5703125" style="252" customWidth="1"/>
    <col min="2080" max="2080" width="2.28515625" style="252" customWidth="1"/>
    <col min="2081" max="2081" width="13.5703125" style="252" customWidth="1"/>
    <col min="2082" max="2082" width="2.28515625" style="252" customWidth="1"/>
    <col min="2083" max="2083" width="13.5703125" style="252" customWidth="1"/>
    <col min="2084" max="2084" width="2.28515625" style="252" customWidth="1"/>
    <col min="2085" max="2086" width="13.5703125" style="252" customWidth="1"/>
    <col min="2087" max="2304" width="9.140625" style="252"/>
    <col min="2305" max="2305" width="3.5703125" style="252" customWidth="1"/>
    <col min="2306" max="2306" width="6.7109375" style="252" bestFit="1" customWidth="1"/>
    <col min="2307" max="2307" width="10.7109375" style="252" bestFit="1" customWidth="1"/>
    <col min="2308" max="2308" width="40.28515625" style="252" bestFit="1" customWidth="1"/>
    <col min="2309" max="2309" width="2.28515625" style="252" customWidth="1"/>
    <col min="2310" max="2310" width="9.5703125" style="252" customWidth="1"/>
    <col min="2311" max="2311" width="2.28515625" style="252" customWidth="1"/>
    <col min="2312" max="2312" width="13.5703125" style="252" customWidth="1"/>
    <col min="2313" max="2313" width="2.28515625" style="252" customWidth="1"/>
    <col min="2314" max="2314" width="13.5703125" style="252" customWidth="1"/>
    <col min="2315" max="2315" width="2.28515625" style="252" customWidth="1"/>
    <col min="2316" max="2316" width="13.5703125" style="252" customWidth="1"/>
    <col min="2317" max="2317" width="2.28515625" style="252" customWidth="1"/>
    <col min="2318" max="2318" width="13.5703125" style="252" customWidth="1"/>
    <col min="2319" max="2319" width="2.28515625" style="252" customWidth="1"/>
    <col min="2320" max="2320" width="13.5703125" style="252" customWidth="1"/>
    <col min="2321" max="2321" width="2.28515625" style="252" customWidth="1"/>
    <col min="2322" max="2322" width="13.5703125" style="252" customWidth="1"/>
    <col min="2323" max="2323" width="3.28515625" style="252" customWidth="1"/>
    <col min="2324" max="2324" width="3.5703125" style="252" customWidth="1"/>
    <col min="2325" max="2325" width="11.28515625" style="252" customWidth="1"/>
    <col min="2326" max="2326" width="11.7109375" style="252" bestFit="1" customWidth="1"/>
    <col min="2327" max="2327" width="40.28515625" style="252" bestFit="1" customWidth="1"/>
    <col min="2328" max="2328" width="2.28515625" style="252" customWidth="1"/>
    <col min="2329" max="2329" width="9.5703125" style="252" customWidth="1"/>
    <col min="2330" max="2330" width="2.28515625" style="252" customWidth="1"/>
    <col min="2331" max="2331" width="13.5703125" style="252" customWidth="1"/>
    <col min="2332" max="2332" width="2.28515625" style="252" customWidth="1"/>
    <col min="2333" max="2333" width="13.5703125" style="252" customWidth="1"/>
    <col min="2334" max="2334" width="2.28515625" style="252" customWidth="1"/>
    <col min="2335" max="2335" width="13.5703125" style="252" customWidth="1"/>
    <col min="2336" max="2336" width="2.28515625" style="252" customWidth="1"/>
    <col min="2337" max="2337" width="13.5703125" style="252" customWidth="1"/>
    <col min="2338" max="2338" width="2.28515625" style="252" customWidth="1"/>
    <col min="2339" max="2339" width="13.5703125" style="252" customWidth="1"/>
    <col min="2340" max="2340" width="2.28515625" style="252" customWidth="1"/>
    <col min="2341" max="2342" width="13.5703125" style="252" customWidth="1"/>
    <col min="2343" max="2560" width="9.140625" style="252"/>
    <col min="2561" max="2561" width="3.5703125" style="252" customWidth="1"/>
    <col min="2562" max="2562" width="6.7109375" style="252" bestFit="1" customWidth="1"/>
    <col min="2563" max="2563" width="10.7109375" style="252" bestFit="1" customWidth="1"/>
    <col min="2564" max="2564" width="40.28515625" style="252" bestFit="1" customWidth="1"/>
    <col min="2565" max="2565" width="2.28515625" style="252" customWidth="1"/>
    <col min="2566" max="2566" width="9.5703125" style="252" customWidth="1"/>
    <col min="2567" max="2567" width="2.28515625" style="252" customWidth="1"/>
    <col min="2568" max="2568" width="13.5703125" style="252" customWidth="1"/>
    <col min="2569" max="2569" width="2.28515625" style="252" customWidth="1"/>
    <col min="2570" max="2570" width="13.5703125" style="252" customWidth="1"/>
    <col min="2571" max="2571" width="2.28515625" style="252" customWidth="1"/>
    <col min="2572" max="2572" width="13.5703125" style="252" customWidth="1"/>
    <col min="2573" max="2573" width="2.28515625" style="252" customWidth="1"/>
    <col min="2574" max="2574" width="13.5703125" style="252" customWidth="1"/>
    <col min="2575" max="2575" width="2.28515625" style="252" customWidth="1"/>
    <col min="2576" max="2576" width="13.5703125" style="252" customWidth="1"/>
    <col min="2577" max="2577" width="2.28515625" style="252" customWidth="1"/>
    <col min="2578" max="2578" width="13.5703125" style="252" customWidth="1"/>
    <col min="2579" max="2579" width="3.28515625" style="252" customWidth="1"/>
    <col min="2580" max="2580" width="3.5703125" style="252" customWidth="1"/>
    <col min="2581" max="2581" width="11.28515625" style="252" customWidth="1"/>
    <col min="2582" max="2582" width="11.7109375" style="252" bestFit="1" customWidth="1"/>
    <col min="2583" max="2583" width="40.28515625" style="252" bestFit="1" customWidth="1"/>
    <col min="2584" max="2584" width="2.28515625" style="252" customWidth="1"/>
    <col min="2585" max="2585" width="9.5703125" style="252" customWidth="1"/>
    <col min="2586" max="2586" width="2.28515625" style="252" customWidth="1"/>
    <col min="2587" max="2587" width="13.5703125" style="252" customWidth="1"/>
    <col min="2588" max="2588" width="2.28515625" style="252" customWidth="1"/>
    <col min="2589" max="2589" width="13.5703125" style="252" customWidth="1"/>
    <col min="2590" max="2590" width="2.28515625" style="252" customWidth="1"/>
    <col min="2591" max="2591" width="13.5703125" style="252" customWidth="1"/>
    <col min="2592" max="2592" width="2.28515625" style="252" customWidth="1"/>
    <col min="2593" max="2593" width="13.5703125" style="252" customWidth="1"/>
    <col min="2594" max="2594" width="2.28515625" style="252" customWidth="1"/>
    <col min="2595" max="2595" width="13.5703125" style="252" customWidth="1"/>
    <col min="2596" max="2596" width="2.28515625" style="252" customWidth="1"/>
    <col min="2597" max="2598" width="13.5703125" style="252" customWidth="1"/>
    <col min="2599" max="2816" width="9.140625" style="252"/>
    <col min="2817" max="2817" width="3.5703125" style="252" customWidth="1"/>
    <col min="2818" max="2818" width="6.7109375" style="252" bestFit="1" customWidth="1"/>
    <col min="2819" max="2819" width="10.7109375" style="252" bestFit="1" customWidth="1"/>
    <col min="2820" max="2820" width="40.28515625" style="252" bestFit="1" customWidth="1"/>
    <col min="2821" max="2821" width="2.28515625" style="252" customWidth="1"/>
    <col min="2822" max="2822" width="9.5703125" style="252" customWidth="1"/>
    <col min="2823" max="2823" width="2.28515625" style="252" customWidth="1"/>
    <col min="2824" max="2824" width="13.5703125" style="252" customWidth="1"/>
    <col min="2825" max="2825" width="2.28515625" style="252" customWidth="1"/>
    <col min="2826" max="2826" width="13.5703125" style="252" customWidth="1"/>
    <col min="2827" max="2827" width="2.28515625" style="252" customWidth="1"/>
    <col min="2828" max="2828" width="13.5703125" style="252" customWidth="1"/>
    <col min="2829" max="2829" width="2.28515625" style="252" customWidth="1"/>
    <col min="2830" max="2830" width="13.5703125" style="252" customWidth="1"/>
    <col min="2831" max="2831" width="2.28515625" style="252" customWidth="1"/>
    <col min="2832" max="2832" width="13.5703125" style="252" customWidth="1"/>
    <col min="2833" max="2833" width="2.28515625" style="252" customWidth="1"/>
    <col min="2834" max="2834" width="13.5703125" style="252" customWidth="1"/>
    <col min="2835" max="2835" width="3.28515625" style="252" customWidth="1"/>
    <col min="2836" max="2836" width="3.5703125" style="252" customWidth="1"/>
    <col min="2837" max="2837" width="11.28515625" style="252" customWidth="1"/>
    <col min="2838" max="2838" width="11.7109375" style="252" bestFit="1" customWidth="1"/>
    <col min="2839" max="2839" width="40.28515625" style="252" bestFit="1" customWidth="1"/>
    <col min="2840" max="2840" width="2.28515625" style="252" customWidth="1"/>
    <col min="2841" max="2841" width="9.5703125" style="252" customWidth="1"/>
    <col min="2842" max="2842" width="2.28515625" style="252" customWidth="1"/>
    <col min="2843" max="2843" width="13.5703125" style="252" customWidth="1"/>
    <col min="2844" max="2844" width="2.28515625" style="252" customWidth="1"/>
    <col min="2845" max="2845" width="13.5703125" style="252" customWidth="1"/>
    <col min="2846" max="2846" width="2.28515625" style="252" customWidth="1"/>
    <col min="2847" max="2847" width="13.5703125" style="252" customWidth="1"/>
    <col min="2848" max="2848" width="2.28515625" style="252" customWidth="1"/>
    <col min="2849" max="2849" width="13.5703125" style="252" customWidth="1"/>
    <col min="2850" max="2850" width="2.28515625" style="252" customWidth="1"/>
    <col min="2851" max="2851" width="13.5703125" style="252" customWidth="1"/>
    <col min="2852" max="2852" width="2.28515625" style="252" customWidth="1"/>
    <col min="2853" max="2854" width="13.5703125" style="252" customWidth="1"/>
    <col min="2855" max="3072" width="9.140625" style="252"/>
    <col min="3073" max="3073" width="3.5703125" style="252" customWidth="1"/>
    <col min="3074" max="3074" width="6.7109375" style="252" bestFit="1" customWidth="1"/>
    <col min="3075" max="3075" width="10.7109375" style="252" bestFit="1" customWidth="1"/>
    <col min="3076" max="3076" width="40.28515625" style="252" bestFit="1" customWidth="1"/>
    <col min="3077" max="3077" width="2.28515625" style="252" customWidth="1"/>
    <col min="3078" max="3078" width="9.5703125" style="252" customWidth="1"/>
    <col min="3079" max="3079" width="2.28515625" style="252" customWidth="1"/>
    <col min="3080" max="3080" width="13.5703125" style="252" customWidth="1"/>
    <col min="3081" max="3081" width="2.28515625" style="252" customWidth="1"/>
    <col min="3082" max="3082" width="13.5703125" style="252" customWidth="1"/>
    <col min="3083" max="3083" width="2.28515625" style="252" customWidth="1"/>
    <col min="3084" max="3084" width="13.5703125" style="252" customWidth="1"/>
    <col min="3085" max="3085" width="2.28515625" style="252" customWidth="1"/>
    <col min="3086" max="3086" width="13.5703125" style="252" customWidth="1"/>
    <col min="3087" max="3087" width="2.28515625" style="252" customWidth="1"/>
    <col min="3088" max="3088" width="13.5703125" style="252" customWidth="1"/>
    <col min="3089" max="3089" width="2.28515625" style="252" customWidth="1"/>
    <col min="3090" max="3090" width="13.5703125" style="252" customWidth="1"/>
    <col min="3091" max="3091" width="3.28515625" style="252" customWidth="1"/>
    <col min="3092" max="3092" width="3.5703125" style="252" customWidth="1"/>
    <col min="3093" max="3093" width="11.28515625" style="252" customWidth="1"/>
    <col min="3094" max="3094" width="11.7109375" style="252" bestFit="1" customWidth="1"/>
    <col min="3095" max="3095" width="40.28515625" style="252" bestFit="1" customWidth="1"/>
    <col min="3096" max="3096" width="2.28515625" style="252" customWidth="1"/>
    <col min="3097" max="3097" width="9.5703125" style="252" customWidth="1"/>
    <col min="3098" max="3098" width="2.28515625" style="252" customWidth="1"/>
    <col min="3099" max="3099" width="13.5703125" style="252" customWidth="1"/>
    <col min="3100" max="3100" width="2.28515625" style="252" customWidth="1"/>
    <col min="3101" max="3101" width="13.5703125" style="252" customWidth="1"/>
    <col min="3102" max="3102" width="2.28515625" style="252" customWidth="1"/>
    <col min="3103" max="3103" width="13.5703125" style="252" customWidth="1"/>
    <col min="3104" max="3104" width="2.28515625" style="252" customWidth="1"/>
    <col min="3105" max="3105" width="13.5703125" style="252" customWidth="1"/>
    <col min="3106" max="3106" width="2.28515625" style="252" customWidth="1"/>
    <col min="3107" max="3107" width="13.5703125" style="252" customWidth="1"/>
    <col min="3108" max="3108" width="2.28515625" style="252" customWidth="1"/>
    <col min="3109" max="3110" width="13.5703125" style="252" customWidth="1"/>
    <col min="3111" max="3328" width="9.140625" style="252"/>
    <col min="3329" max="3329" width="3.5703125" style="252" customWidth="1"/>
    <col min="3330" max="3330" width="6.7109375" style="252" bestFit="1" customWidth="1"/>
    <col min="3331" max="3331" width="10.7109375" style="252" bestFit="1" customWidth="1"/>
    <col min="3332" max="3332" width="40.28515625" style="252" bestFit="1" customWidth="1"/>
    <col min="3333" max="3333" width="2.28515625" style="252" customWidth="1"/>
    <col min="3334" max="3334" width="9.5703125" style="252" customWidth="1"/>
    <col min="3335" max="3335" width="2.28515625" style="252" customWidth="1"/>
    <col min="3336" max="3336" width="13.5703125" style="252" customWidth="1"/>
    <col min="3337" max="3337" width="2.28515625" style="252" customWidth="1"/>
    <col min="3338" max="3338" width="13.5703125" style="252" customWidth="1"/>
    <col min="3339" max="3339" width="2.28515625" style="252" customWidth="1"/>
    <col min="3340" max="3340" width="13.5703125" style="252" customWidth="1"/>
    <col min="3341" max="3341" width="2.28515625" style="252" customWidth="1"/>
    <col min="3342" max="3342" width="13.5703125" style="252" customWidth="1"/>
    <col min="3343" max="3343" width="2.28515625" style="252" customWidth="1"/>
    <col min="3344" max="3344" width="13.5703125" style="252" customWidth="1"/>
    <col min="3345" max="3345" width="2.28515625" style="252" customWidth="1"/>
    <col min="3346" max="3346" width="13.5703125" style="252" customWidth="1"/>
    <col min="3347" max="3347" width="3.28515625" style="252" customWidth="1"/>
    <col min="3348" max="3348" width="3.5703125" style="252" customWidth="1"/>
    <col min="3349" max="3349" width="11.28515625" style="252" customWidth="1"/>
    <col min="3350" max="3350" width="11.7109375" style="252" bestFit="1" customWidth="1"/>
    <col min="3351" max="3351" width="40.28515625" style="252" bestFit="1" customWidth="1"/>
    <col min="3352" max="3352" width="2.28515625" style="252" customWidth="1"/>
    <col min="3353" max="3353" width="9.5703125" style="252" customWidth="1"/>
    <col min="3354" max="3354" width="2.28515625" style="252" customWidth="1"/>
    <col min="3355" max="3355" width="13.5703125" style="252" customWidth="1"/>
    <col min="3356" max="3356" width="2.28515625" style="252" customWidth="1"/>
    <col min="3357" max="3357" width="13.5703125" style="252" customWidth="1"/>
    <col min="3358" max="3358" width="2.28515625" style="252" customWidth="1"/>
    <col min="3359" max="3359" width="13.5703125" style="252" customWidth="1"/>
    <col min="3360" max="3360" width="2.28515625" style="252" customWidth="1"/>
    <col min="3361" max="3361" width="13.5703125" style="252" customWidth="1"/>
    <col min="3362" max="3362" width="2.28515625" style="252" customWidth="1"/>
    <col min="3363" max="3363" width="13.5703125" style="252" customWidth="1"/>
    <col min="3364" max="3364" width="2.28515625" style="252" customWidth="1"/>
    <col min="3365" max="3366" width="13.5703125" style="252" customWidth="1"/>
    <col min="3367" max="3584" width="9.140625" style="252"/>
    <col min="3585" max="3585" width="3.5703125" style="252" customWidth="1"/>
    <col min="3586" max="3586" width="6.7109375" style="252" bestFit="1" customWidth="1"/>
    <col min="3587" max="3587" width="10.7109375" style="252" bestFit="1" customWidth="1"/>
    <col min="3588" max="3588" width="40.28515625" style="252" bestFit="1" customWidth="1"/>
    <col min="3589" max="3589" width="2.28515625" style="252" customWidth="1"/>
    <col min="3590" max="3590" width="9.5703125" style="252" customWidth="1"/>
    <col min="3591" max="3591" width="2.28515625" style="252" customWidth="1"/>
    <col min="3592" max="3592" width="13.5703125" style="252" customWidth="1"/>
    <col min="3593" max="3593" width="2.28515625" style="252" customWidth="1"/>
    <col min="3594" max="3594" width="13.5703125" style="252" customWidth="1"/>
    <col min="3595" max="3595" width="2.28515625" style="252" customWidth="1"/>
    <col min="3596" max="3596" width="13.5703125" style="252" customWidth="1"/>
    <col min="3597" max="3597" width="2.28515625" style="252" customWidth="1"/>
    <col min="3598" max="3598" width="13.5703125" style="252" customWidth="1"/>
    <col min="3599" max="3599" width="2.28515625" style="252" customWidth="1"/>
    <col min="3600" max="3600" width="13.5703125" style="252" customWidth="1"/>
    <col min="3601" max="3601" width="2.28515625" style="252" customWidth="1"/>
    <col min="3602" max="3602" width="13.5703125" style="252" customWidth="1"/>
    <col min="3603" max="3603" width="3.28515625" style="252" customWidth="1"/>
    <col min="3604" max="3604" width="3.5703125" style="252" customWidth="1"/>
    <col min="3605" max="3605" width="11.28515625" style="252" customWidth="1"/>
    <col min="3606" max="3606" width="11.7109375" style="252" bestFit="1" customWidth="1"/>
    <col min="3607" max="3607" width="40.28515625" style="252" bestFit="1" customWidth="1"/>
    <col min="3608" max="3608" width="2.28515625" style="252" customWidth="1"/>
    <col min="3609" max="3609" width="9.5703125" style="252" customWidth="1"/>
    <col min="3610" max="3610" width="2.28515625" style="252" customWidth="1"/>
    <col min="3611" max="3611" width="13.5703125" style="252" customWidth="1"/>
    <col min="3612" max="3612" width="2.28515625" style="252" customWidth="1"/>
    <col min="3613" max="3613" width="13.5703125" style="252" customWidth="1"/>
    <col min="3614" max="3614" width="2.28515625" style="252" customWidth="1"/>
    <col min="3615" max="3615" width="13.5703125" style="252" customWidth="1"/>
    <col min="3616" max="3616" width="2.28515625" style="252" customWidth="1"/>
    <col min="3617" max="3617" width="13.5703125" style="252" customWidth="1"/>
    <col min="3618" max="3618" width="2.28515625" style="252" customWidth="1"/>
    <col min="3619" max="3619" width="13.5703125" style="252" customWidth="1"/>
    <col min="3620" max="3620" width="2.28515625" style="252" customWidth="1"/>
    <col min="3621" max="3622" width="13.5703125" style="252" customWidth="1"/>
    <col min="3623" max="3840" width="9.140625" style="252"/>
    <col min="3841" max="3841" width="3.5703125" style="252" customWidth="1"/>
    <col min="3842" max="3842" width="6.7109375" style="252" bestFit="1" customWidth="1"/>
    <col min="3843" max="3843" width="10.7109375" style="252" bestFit="1" customWidth="1"/>
    <col min="3844" max="3844" width="40.28515625" style="252" bestFit="1" customWidth="1"/>
    <col min="3845" max="3845" width="2.28515625" style="252" customWidth="1"/>
    <col min="3846" max="3846" width="9.5703125" style="252" customWidth="1"/>
    <col min="3847" max="3847" width="2.28515625" style="252" customWidth="1"/>
    <col min="3848" max="3848" width="13.5703125" style="252" customWidth="1"/>
    <col min="3849" max="3849" width="2.28515625" style="252" customWidth="1"/>
    <col min="3850" max="3850" width="13.5703125" style="252" customWidth="1"/>
    <col min="3851" max="3851" width="2.28515625" style="252" customWidth="1"/>
    <col min="3852" max="3852" width="13.5703125" style="252" customWidth="1"/>
    <col min="3853" max="3853" width="2.28515625" style="252" customWidth="1"/>
    <col min="3854" max="3854" width="13.5703125" style="252" customWidth="1"/>
    <col min="3855" max="3855" width="2.28515625" style="252" customWidth="1"/>
    <col min="3856" max="3856" width="13.5703125" style="252" customWidth="1"/>
    <col min="3857" max="3857" width="2.28515625" style="252" customWidth="1"/>
    <col min="3858" max="3858" width="13.5703125" style="252" customWidth="1"/>
    <col min="3859" max="3859" width="3.28515625" style="252" customWidth="1"/>
    <col min="3860" max="3860" width="3.5703125" style="252" customWidth="1"/>
    <col min="3861" max="3861" width="11.28515625" style="252" customWidth="1"/>
    <col min="3862" max="3862" width="11.7109375" style="252" bestFit="1" customWidth="1"/>
    <col min="3863" max="3863" width="40.28515625" style="252" bestFit="1" customWidth="1"/>
    <col min="3864" max="3864" width="2.28515625" style="252" customWidth="1"/>
    <col min="3865" max="3865" width="9.5703125" style="252" customWidth="1"/>
    <col min="3866" max="3866" width="2.28515625" style="252" customWidth="1"/>
    <col min="3867" max="3867" width="13.5703125" style="252" customWidth="1"/>
    <col min="3868" max="3868" width="2.28515625" style="252" customWidth="1"/>
    <col min="3869" max="3869" width="13.5703125" style="252" customWidth="1"/>
    <col min="3870" max="3870" width="2.28515625" style="252" customWidth="1"/>
    <col min="3871" max="3871" width="13.5703125" style="252" customWidth="1"/>
    <col min="3872" max="3872" width="2.28515625" style="252" customWidth="1"/>
    <col min="3873" max="3873" width="13.5703125" style="252" customWidth="1"/>
    <col min="3874" max="3874" width="2.28515625" style="252" customWidth="1"/>
    <col min="3875" max="3875" width="13.5703125" style="252" customWidth="1"/>
    <col min="3876" max="3876" width="2.28515625" style="252" customWidth="1"/>
    <col min="3877" max="3878" width="13.5703125" style="252" customWidth="1"/>
    <col min="3879" max="4096" width="9.140625" style="252"/>
    <col min="4097" max="4097" width="3.5703125" style="252" customWidth="1"/>
    <col min="4098" max="4098" width="6.7109375" style="252" bestFit="1" customWidth="1"/>
    <col min="4099" max="4099" width="10.7109375" style="252" bestFit="1" customWidth="1"/>
    <col min="4100" max="4100" width="40.28515625" style="252" bestFit="1" customWidth="1"/>
    <col min="4101" max="4101" width="2.28515625" style="252" customWidth="1"/>
    <col min="4102" max="4102" width="9.5703125" style="252" customWidth="1"/>
    <col min="4103" max="4103" width="2.28515625" style="252" customWidth="1"/>
    <col min="4104" max="4104" width="13.5703125" style="252" customWidth="1"/>
    <col min="4105" max="4105" width="2.28515625" style="252" customWidth="1"/>
    <col min="4106" max="4106" width="13.5703125" style="252" customWidth="1"/>
    <col min="4107" max="4107" width="2.28515625" style="252" customWidth="1"/>
    <col min="4108" max="4108" width="13.5703125" style="252" customWidth="1"/>
    <col min="4109" max="4109" width="2.28515625" style="252" customWidth="1"/>
    <col min="4110" max="4110" width="13.5703125" style="252" customWidth="1"/>
    <col min="4111" max="4111" width="2.28515625" style="252" customWidth="1"/>
    <col min="4112" max="4112" width="13.5703125" style="252" customWidth="1"/>
    <col min="4113" max="4113" width="2.28515625" style="252" customWidth="1"/>
    <col min="4114" max="4114" width="13.5703125" style="252" customWidth="1"/>
    <col min="4115" max="4115" width="3.28515625" style="252" customWidth="1"/>
    <col min="4116" max="4116" width="3.5703125" style="252" customWidth="1"/>
    <col min="4117" max="4117" width="11.28515625" style="252" customWidth="1"/>
    <col min="4118" max="4118" width="11.7109375" style="252" bestFit="1" customWidth="1"/>
    <col min="4119" max="4119" width="40.28515625" style="252" bestFit="1" customWidth="1"/>
    <col min="4120" max="4120" width="2.28515625" style="252" customWidth="1"/>
    <col min="4121" max="4121" width="9.5703125" style="252" customWidth="1"/>
    <col min="4122" max="4122" width="2.28515625" style="252" customWidth="1"/>
    <col min="4123" max="4123" width="13.5703125" style="252" customWidth="1"/>
    <col min="4124" max="4124" width="2.28515625" style="252" customWidth="1"/>
    <col min="4125" max="4125" width="13.5703125" style="252" customWidth="1"/>
    <col min="4126" max="4126" width="2.28515625" style="252" customWidth="1"/>
    <col min="4127" max="4127" width="13.5703125" style="252" customWidth="1"/>
    <col min="4128" max="4128" width="2.28515625" style="252" customWidth="1"/>
    <col min="4129" max="4129" width="13.5703125" style="252" customWidth="1"/>
    <col min="4130" max="4130" width="2.28515625" style="252" customWidth="1"/>
    <col min="4131" max="4131" width="13.5703125" style="252" customWidth="1"/>
    <col min="4132" max="4132" width="2.28515625" style="252" customWidth="1"/>
    <col min="4133" max="4134" width="13.5703125" style="252" customWidth="1"/>
    <col min="4135" max="4352" width="9.140625" style="252"/>
    <col min="4353" max="4353" width="3.5703125" style="252" customWidth="1"/>
    <col min="4354" max="4354" width="6.7109375" style="252" bestFit="1" customWidth="1"/>
    <col min="4355" max="4355" width="10.7109375" style="252" bestFit="1" customWidth="1"/>
    <col min="4356" max="4356" width="40.28515625" style="252" bestFit="1" customWidth="1"/>
    <col min="4357" max="4357" width="2.28515625" style="252" customWidth="1"/>
    <col min="4358" max="4358" width="9.5703125" style="252" customWidth="1"/>
    <col min="4359" max="4359" width="2.28515625" style="252" customWidth="1"/>
    <col min="4360" max="4360" width="13.5703125" style="252" customWidth="1"/>
    <col min="4361" max="4361" width="2.28515625" style="252" customWidth="1"/>
    <col min="4362" max="4362" width="13.5703125" style="252" customWidth="1"/>
    <col min="4363" max="4363" width="2.28515625" style="252" customWidth="1"/>
    <col min="4364" max="4364" width="13.5703125" style="252" customWidth="1"/>
    <col min="4365" max="4365" width="2.28515625" style="252" customWidth="1"/>
    <col min="4366" max="4366" width="13.5703125" style="252" customWidth="1"/>
    <col min="4367" max="4367" width="2.28515625" style="252" customWidth="1"/>
    <col min="4368" max="4368" width="13.5703125" style="252" customWidth="1"/>
    <col min="4369" max="4369" width="2.28515625" style="252" customWidth="1"/>
    <col min="4370" max="4370" width="13.5703125" style="252" customWidth="1"/>
    <col min="4371" max="4371" width="3.28515625" style="252" customWidth="1"/>
    <col min="4372" max="4372" width="3.5703125" style="252" customWidth="1"/>
    <col min="4373" max="4373" width="11.28515625" style="252" customWidth="1"/>
    <col min="4374" max="4374" width="11.7109375" style="252" bestFit="1" customWidth="1"/>
    <col min="4375" max="4375" width="40.28515625" style="252" bestFit="1" customWidth="1"/>
    <col min="4376" max="4376" width="2.28515625" style="252" customWidth="1"/>
    <col min="4377" max="4377" width="9.5703125" style="252" customWidth="1"/>
    <col min="4378" max="4378" width="2.28515625" style="252" customWidth="1"/>
    <col min="4379" max="4379" width="13.5703125" style="252" customWidth="1"/>
    <col min="4380" max="4380" width="2.28515625" style="252" customWidth="1"/>
    <col min="4381" max="4381" width="13.5703125" style="252" customWidth="1"/>
    <col min="4382" max="4382" width="2.28515625" style="252" customWidth="1"/>
    <col min="4383" max="4383" width="13.5703125" style="252" customWidth="1"/>
    <col min="4384" max="4384" width="2.28515625" style="252" customWidth="1"/>
    <col min="4385" max="4385" width="13.5703125" style="252" customWidth="1"/>
    <col min="4386" max="4386" width="2.28515625" style="252" customWidth="1"/>
    <col min="4387" max="4387" width="13.5703125" style="252" customWidth="1"/>
    <col min="4388" max="4388" width="2.28515625" style="252" customWidth="1"/>
    <col min="4389" max="4390" width="13.5703125" style="252" customWidth="1"/>
    <col min="4391" max="4608" width="9.140625" style="252"/>
    <col min="4609" max="4609" width="3.5703125" style="252" customWidth="1"/>
    <col min="4610" max="4610" width="6.7109375" style="252" bestFit="1" customWidth="1"/>
    <col min="4611" max="4611" width="10.7109375" style="252" bestFit="1" customWidth="1"/>
    <col min="4612" max="4612" width="40.28515625" style="252" bestFit="1" customWidth="1"/>
    <col min="4613" max="4613" width="2.28515625" style="252" customWidth="1"/>
    <col min="4614" max="4614" width="9.5703125" style="252" customWidth="1"/>
    <col min="4615" max="4615" width="2.28515625" style="252" customWidth="1"/>
    <col min="4616" max="4616" width="13.5703125" style="252" customWidth="1"/>
    <col min="4617" max="4617" width="2.28515625" style="252" customWidth="1"/>
    <col min="4618" max="4618" width="13.5703125" style="252" customWidth="1"/>
    <col min="4619" max="4619" width="2.28515625" style="252" customWidth="1"/>
    <col min="4620" max="4620" width="13.5703125" style="252" customWidth="1"/>
    <col min="4621" max="4621" width="2.28515625" style="252" customWidth="1"/>
    <col min="4622" max="4622" width="13.5703125" style="252" customWidth="1"/>
    <col min="4623" max="4623" width="2.28515625" style="252" customWidth="1"/>
    <col min="4624" max="4624" width="13.5703125" style="252" customWidth="1"/>
    <col min="4625" max="4625" width="2.28515625" style="252" customWidth="1"/>
    <col min="4626" max="4626" width="13.5703125" style="252" customWidth="1"/>
    <col min="4627" max="4627" width="3.28515625" style="252" customWidth="1"/>
    <col min="4628" max="4628" width="3.5703125" style="252" customWidth="1"/>
    <col min="4629" max="4629" width="11.28515625" style="252" customWidth="1"/>
    <col min="4630" max="4630" width="11.7109375" style="252" bestFit="1" customWidth="1"/>
    <col min="4631" max="4631" width="40.28515625" style="252" bestFit="1" customWidth="1"/>
    <col min="4632" max="4632" width="2.28515625" style="252" customWidth="1"/>
    <col min="4633" max="4633" width="9.5703125" style="252" customWidth="1"/>
    <col min="4634" max="4634" width="2.28515625" style="252" customWidth="1"/>
    <col min="4635" max="4635" width="13.5703125" style="252" customWidth="1"/>
    <col min="4636" max="4636" width="2.28515625" style="252" customWidth="1"/>
    <col min="4637" max="4637" width="13.5703125" style="252" customWidth="1"/>
    <col min="4638" max="4638" width="2.28515625" style="252" customWidth="1"/>
    <col min="4639" max="4639" width="13.5703125" style="252" customWidth="1"/>
    <col min="4640" max="4640" width="2.28515625" style="252" customWidth="1"/>
    <col min="4641" max="4641" width="13.5703125" style="252" customWidth="1"/>
    <col min="4642" max="4642" width="2.28515625" style="252" customWidth="1"/>
    <col min="4643" max="4643" width="13.5703125" style="252" customWidth="1"/>
    <col min="4644" max="4644" width="2.28515625" style="252" customWidth="1"/>
    <col min="4645" max="4646" width="13.5703125" style="252" customWidth="1"/>
    <col min="4647" max="4864" width="9.140625" style="252"/>
    <col min="4865" max="4865" width="3.5703125" style="252" customWidth="1"/>
    <col min="4866" max="4866" width="6.7109375" style="252" bestFit="1" customWidth="1"/>
    <col min="4867" max="4867" width="10.7109375" style="252" bestFit="1" customWidth="1"/>
    <col min="4868" max="4868" width="40.28515625" style="252" bestFit="1" customWidth="1"/>
    <col min="4869" max="4869" width="2.28515625" style="252" customWidth="1"/>
    <col min="4870" max="4870" width="9.5703125" style="252" customWidth="1"/>
    <col min="4871" max="4871" width="2.28515625" style="252" customWidth="1"/>
    <col min="4872" max="4872" width="13.5703125" style="252" customWidth="1"/>
    <col min="4873" max="4873" width="2.28515625" style="252" customWidth="1"/>
    <col min="4874" max="4874" width="13.5703125" style="252" customWidth="1"/>
    <col min="4875" max="4875" width="2.28515625" style="252" customWidth="1"/>
    <col min="4876" max="4876" width="13.5703125" style="252" customWidth="1"/>
    <col min="4877" max="4877" width="2.28515625" style="252" customWidth="1"/>
    <col min="4878" max="4878" width="13.5703125" style="252" customWidth="1"/>
    <col min="4879" max="4879" width="2.28515625" style="252" customWidth="1"/>
    <col min="4880" max="4880" width="13.5703125" style="252" customWidth="1"/>
    <col min="4881" max="4881" width="2.28515625" style="252" customWidth="1"/>
    <col min="4882" max="4882" width="13.5703125" style="252" customWidth="1"/>
    <col min="4883" max="4883" width="3.28515625" style="252" customWidth="1"/>
    <col min="4884" max="4884" width="3.5703125" style="252" customWidth="1"/>
    <col min="4885" max="4885" width="11.28515625" style="252" customWidth="1"/>
    <col min="4886" max="4886" width="11.7109375" style="252" bestFit="1" customWidth="1"/>
    <col min="4887" max="4887" width="40.28515625" style="252" bestFit="1" customWidth="1"/>
    <col min="4888" max="4888" width="2.28515625" style="252" customWidth="1"/>
    <col min="4889" max="4889" width="9.5703125" style="252" customWidth="1"/>
    <col min="4890" max="4890" width="2.28515625" style="252" customWidth="1"/>
    <col min="4891" max="4891" width="13.5703125" style="252" customWidth="1"/>
    <col min="4892" max="4892" width="2.28515625" style="252" customWidth="1"/>
    <col min="4893" max="4893" width="13.5703125" style="252" customWidth="1"/>
    <col min="4894" max="4894" width="2.28515625" style="252" customWidth="1"/>
    <col min="4895" max="4895" width="13.5703125" style="252" customWidth="1"/>
    <col min="4896" max="4896" width="2.28515625" style="252" customWidth="1"/>
    <col min="4897" max="4897" width="13.5703125" style="252" customWidth="1"/>
    <col min="4898" max="4898" width="2.28515625" style="252" customWidth="1"/>
    <col min="4899" max="4899" width="13.5703125" style="252" customWidth="1"/>
    <col min="4900" max="4900" width="2.28515625" style="252" customWidth="1"/>
    <col min="4901" max="4902" width="13.5703125" style="252" customWidth="1"/>
    <col min="4903" max="5120" width="9.140625" style="252"/>
    <col min="5121" max="5121" width="3.5703125" style="252" customWidth="1"/>
    <col min="5122" max="5122" width="6.7109375" style="252" bestFit="1" customWidth="1"/>
    <col min="5123" max="5123" width="10.7109375" style="252" bestFit="1" customWidth="1"/>
    <col min="5124" max="5124" width="40.28515625" style="252" bestFit="1" customWidth="1"/>
    <col min="5125" max="5125" width="2.28515625" style="252" customWidth="1"/>
    <col min="5126" max="5126" width="9.5703125" style="252" customWidth="1"/>
    <col min="5127" max="5127" width="2.28515625" style="252" customWidth="1"/>
    <col min="5128" max="5128" width="13.5703125" style="252" customWidth="1"/>
    <col min="5129" max="5129" width="2.28515625" style="252" customWidth="1"/>
    <col min="5130" max="5130" width="13.5703125" style="252" customWidth="1"/>
    <col min="5131" max="5131" width="2.28515625" style="252" customWidth="1"/>
    <col min="5132" max="5132" width="13.5703125" style="252" customWidth="1"/>
    <col min="5133" max="5133" width="2.28515625" style="252" customWidth="1"/>
    <col min="5134" max="5134" width="13.5703125" style="252" customWidth="1"/>
    <col min="5135" max="5135" width="2.28515625" style="252" customWidth="1"/>
    <col min="5136" max="5136" width="13.5703125" style="252" customWidth="1"/>
    <col min="5137" max="5137" width="2.28515625" style="252" customWidth="1"/>
    <col min="5138" max="5138" width="13.5703125" style="252" customWidth="1"/>
    <col min="5139" max="5139" width="3.28515625" style="252" customWidth="1"/>
    <col min="5140" max="5140" width="3.5703125" style="252" customWidth="1"/>
    <col min="5141" max="5141" width="11.28515625" style="252" customWidth="1"/>
    <col min="5142" max="5142" width="11.7109375" style="252" bestFit="1" customWidth="1"/>
    <col min="5143" max="5143" width="40.28515625" style="252" bestFit="1" customWidth="1"/>
    <col min="5144" max="5144" width="2.28515625" style="252" customWidth="1"/>
    <col min="5145" max="5145" width="9.5703125" style="252" customWidth="1"/>
    <col min="5146" max="5146" width="2.28515625" style="252" customWidth="1"/>
    <col min="5147" max="5147" width="13.5703125" style="252" customWidth="1"/>
    <col min="5148" max="5148" width="2.28515625" style="252" customWidth="1"/>
    <col min="5149" max="5149" width="13.5703125" style="252" customWidth="1"/>
    <col min="5150" max="5150" width="2.28515625" style="252" customWidth="1"/>
    <col min="5151" max="5151" width="13.5703125" style="252" customWidth="1"/>
    <col min="5152" max="5152" width="2.28515625" style="252" customWidth="1"/>
    <col min="5153" max="5153" width="13.5703125" style="252" customWidth="1"/>
    <col min="5154" max="5154" width="2.28515625" style="252" customWidth="1"/>
    <col min="5155" max="5155" width="13.5703125" style="252" customWidth="1"/>
    <col min="5156" max="5156" width="2.28515625" style="252" customWidth="1"/>
    <col min="5157" max="5158" width="13.5703125" style="252" customWidth="1"/>
    <col min="5159" max="5376" width="9.140625" style="252"/>
    <col min="5377" max="5377" width="3.5703125" style="252" customWidth="1"/>
    <col min="5378" max="5378" width="6.7109375" style="252" bestFit="1" customWidth="1"/>
    <col min="5379" max="5379" width="10.7109375" style="252" bestFit="1" customWidth="1"/>
    <col min="5380" max="5380" width="40.28515625" style="252" bestFit="1" customWidth="1"/>
    <col min="5381" max="5381" width="2.28515625" style="252" customWidth="1"/>
    <col min="5382" max="5382" width="9.5703125" style="252" customWidth="1"/>
    <col min="5383" max="5383" width="2.28515625" style="252" customWidth="1"/>
    <col min="5384" max="5384" width="13.5703125" style="252" customWidth="1"/>
    <col min="5385" max="5385" width="2.28515625" style="252" customWidth="1"/>
    <col min="5386" max="5386" width="13.5703125" style="252" customWidth="1"/>
    <col min="5387" max="5387" width="2.28515625" style="252" customWidth="1"/>
    <col min="5388" max="5388" width="13.5703125" style="252" customWidth="1"/>
    <col min="5389" max="5389" width="2.28515625" style="252" customWidth="1"/>
    <col min="5390" max="5390" width="13.5703125" style="252" customWidth="1"/>
    <col min="5391" max="5391" width="2.28515625" style="252" customWidth="1"/>
    <col min="5392" max="5392" width="13.5703125" style="252" customWidth="1"/>
    <col min="5393" max="5393" width="2.28515625" style="252" customWidth="1"/>
    <col min="5394" max="5394" width="13.5703125" style="252" customWidth="1"/>
    <col min="5395" max="5395" width="3.28515625" style="252" customWidth="1"/>
    <col min="5396" max="5396" width="3.5703125" style="252" customWidth="1"/>
    <col min="5397" max="5397" width="11.28515625" style="252" customWidth="1"/>
    <col min="5398" max="5398" width="11.7109375" style="252" bestFit="1" customWidth="1"/>
    <col min="5399" max="5399" width="40.28515625" style="252" bestFit="1" customWidth="1"/>
    <col min="5400" max="5400" width="2.28515625" style="252" customWidth="1"/>
    <col min="5401" max="5401" width="9.5703125" style="252" customWidth="1"/>
    <col min="5402" max="5402" width="2.28515625" style="252" customWidth="1"/>
    <col min="5403" max="5403" width="13.5703125" style="252" customWidth="1"/>
    <col min="5404" max="5404" width="2.28515625" style="252" customWidth="1"/>
    <col min="5405" max="5405" width="13.5703125" style="252" customWidth="1"/>
    <col min="5406" max="5406" width="2.28515625" style="252" customWidth="1"/>
    <col min="5407" max="5407" width="13.5703125" style="252" customWidth="1"/>
    <col min="5408" max="5408" width="2.28515625" style="252" customWidth="1"/>
    <col min="5409" max="5409" width="13.5703125" style="252" customWidth="1"/>
    <col min="5410" max="5410" width="2.28515625" style="252" customWidth="1"/>
    <col min="5411" max="5411" width="13.5703125" style="252" customWidth="1"/>
    <col min="5412" max="5412" width="2.28515625" style="252" customWidth="1"/>
    <col min="5413" max="5414" width="13.5703125" style="252" customWidth="1"/>
    <col min="5415" max="5632" width="9.140625" style="252"/>
    <col min="5633" max="5633" width="3.5703125" style="252" customWidth="1"/>
    <col min="5634" max="5634" width="6.7109375" style="252" bestFit="1" customWidth="1"/>
    <col min="5635" max="5635" width="10.7109375" style="252" bestFit="1" customWidth="1"/>
    <col min="5636" max="5636" width="40.28515625" style="252" bestFit="1" customWidth="1"/>
    <col min="5637" max="5637" width="2.28515625" style="252" customWidth="1"/>
    <col min="5638" max="5638" width="9.5703125" style="252" customWidth="1"/>
    <col min="5639" max="5639" width="2.28515625" style="252" customWidth="1"/>
    <col min="5640" max="5640" width="13.5703125" style="252" customWidth="1"/>
    <col min="5641" max="5641" width="2.28515625" style="252" customWidth="1"/>
    <col min="5642" max="5642" width="13.5703125" style="252" customWidth="1"/>
    <col min="5643" max="5643" width="2.28515625" style="252" customWidth="1"/>
    <col min="5644" max="5644" width="13.5703125" style="252" customWidth="1"/>
    <col min="5645" max="5645" width="2.28515625" style="252" customWidth="1"/>
    <col min="5646" max="5646" width="13.5703125" style="252" customWidth="1"/>
    <col min="5647" max="5647" width="2.28515625" style="252" customWidth="1"/>
    <col min="5648" max="5648" width="13.5703125" style="252" customWidth="1"/>
    <col min="5649" max="5649" width="2.28515625" style="252" customWidth="1"/>
    <col min="5650" max="5650" width="13.5703125" style="252" customWidth="1"/>
    <col min="5651" max="5651" width="3.28515625" style="252" customWidth="1"/>
    <col min="5652" max="5652" width="3.5703125" style="252" customWidth="1"/>
    <col min="5653" max="5653" width="11.28515625" style="252" customWidth="1"/>
    <col min="5654" max="5654" width="11.7109375" style="252" bestFit="1" customWidth="1"/>
    <col min="5655" max="5655" width="40.28515625" style="252" bestFit="1" customWidth="1"/>
    <col min="5656" max="5656" width="2.28515625" style="252" customWidth="1"/>
    <col min="5657" max="5657" width="9.5703125" style="252" customWidth="1"/>
    <col min="5658" max="5658" width="2.28515625" style="252" customWidth="1"/>
    <col min="5659" max="5659" width="13.5703125" style="252" customWidth="1"/>
    <col min="5660" max="5660" width="2.28515625" style="252" customWidth="1"/>
    <col min="5661" max="5661" width="13.5703125" style="252" customWidth="1"/>
    <col min="5662" max="5662" width="2.28515625" style="252" customWidth="1"/>
    <col min="5663" max="5663" width="13.5703125" style="252" customWidth="1"/>
    <col min="5664" max="5664" width="2.28515625" style="252" customWidth="1"/>
    <col min="5665" max="5665" width="13.5703125" style="252" customWidth="1"/>
    <col min="5666" max="5666" width="2.28515625" style="252" customWidth="1"/>
    <col min="5667" max="5667" width="13.5703125" style="252" customWidth="1"/>
    <col min="5668" max="5668" width="2.28515625" style="252" customWidth="1"/>
    <col min="5669" max="5670" width="13.5703125" style="252" customWidth="1"/>
    <col min="5671" max="5888" width="9.140625" style="252"/>
    <col min="5889" max="5889" width="3.5703125" style="252" customWidth="1"/>
    <col min="5890" max="5890" width="6.7109375" style="252" bestFit="1" customWidth="1"/>
    <col min="5891" max="5891" width="10.7109375" style="252" bestFit="1" customWidth="1"/>
    <col min="5892" max="5892" width="40.28515625" style="252" bestFit="1" customWidth="1"/>
    <col min="5893" max="5893" width="2.28515625" style="252" customWidth="1"/>
    <col min="5894" max="5894" width="9.5703125" style="252" customWidth="1"/>
    <col min="5895" max="5895" width="2.28515625" style="252" customWidth="1"/>
    <col min="5896" max="5896" width="13.5703125" style="252" customWidth="1"/>
    <col min="5897" max="5897" width="2.28515625" style="252" customWidth="1"/>
    <col min="5898" max="5898" width="13.5703125" style="252" customWidth="1"/>
    <col min="5899" max="5899" width="2.28515625" style="252" customWidth="1"/>
    <col min="5900" max="5900" width="13.5703125" style="252" customWidth="1"/>
    <col min="5901" max="5901" width="2.28515625" style="252" customWidth="1"/>
    <col min="5902" max="5902" width="13.5703125" style="252" customWidth="1"/>
    <col min="5903" max="5903" width="2.28515625" style="252" customWidth="1"/>
    <col min="5904" max="5904" width="13.5703125" style="252" customWidth="1"/>
    <col min="5905" max="5905" width="2.28515625" style="252" customWidth="1"/>
    <col min="5906" max="5906" width="13.5703125" style="252" customWidth="1"/>
    <col min="5907" max="5907" width="3.28515625" style="252" customWidth="1"/>
    <col min="5908" max="5908" width="3.5703125" style="252" customWidth="1"/>
    <col min="5909" max="5909" width="11.28515625" style="252" customWidth="1"/>
    <col min="5910" max="5910" width="11.7109375" style="252" bestFit="1" customWidth="1"/>
    <col min="5911" max="5911" width="40.28515625" style="252" bestFit="1" customWidth="1"/>
    <col min="5912" max="5912" width="2.28515625" style="252" customWidth="1"/>
    <col min="5913" max="5913" width="9.5703125" style="252" customWidth="1"/>
    <col min="5914" max="5914" width="2.28515625" style="252" customWidth="1"/>
    <col min="5915" max="5915" width="13.5703125" style="252" customWidth="1"/>
    <col min="5916" max="5916" width="2.28515625" style="252" customWidth="1"/>
    <col min="5917" max="5917" width="13.5703125" style="252" customWidth="1"/>
    <col min="5918" max="5918" width="2.28515625" style="252" customWidth="1"/>
    <col min="5919" max="5919" width="13.5703125" style="252" customWidth="1"/>
    <col min="5920" max="5920" width="2.28515625" style="252" customWidth="1"/>
    <col min="5921" max="5921" width="13.5703125" style="252" customWidth="1"/>
    <col min="5922" max="5922" width="2.28515625" style="252" customWidth="1"/>
    <col min="5923" max="5923" width="13.5703125" style="252" customWidth="1"/>
    <col min="5924" max="5924" width="2.28515625" style="252" customWidth="1"/>
    <col min="5925" max="5926" width="13.5703125" style="252" customWidth="1"/>
    <col min="5927" max="6144" width="9.140625" style="252"/>
    <col min="6145" max="6145" width="3.5703125" style="252" customWidth="1"/>
    <col min="6146" max="6146" width="6.7109375" style="252" bestFit="1" customWidth="1"/>
    <col min="6147" max="6147" width="10.7109375" style="252" bestFit="1" customWidth="1"/>
    <col min="6148" max="6148" width="40.28515625" style="252" bestFit="1" customWidth="1"/>
    <col min="6149" max="6149" width="2.28515625" style="252" customWidth="1"/>
    <col min="6150" max="6150" width="9.5703125" style="252" customWidth="1"/>
    <col min="6151" max="6151" width="2.28515625" style="252" customWidth="1"/>
    <col min="6152" max="6152" width="13.5703125" style="252" customWidth="1"/>
    <col min="6153" max="6153" width="2.28515625" style="252" customWidth="1"/>
    <col min="6154" max="6154" width="13.5703125" style="252" customWidth="1"/>
    <col min="6155" max="6155" width="2.28515625" style="252" customWidth="1"/>
    <col min="6156" max="6156" width="13.5703125" style="252" customWidth="1"/>
    <col min="6157" max="6157" width="2.28515625" style="252" customWidth="1"/>
    <col min="6158" max="6158" width="13.5703125" style="252" customWidth="1"/>
    <col min="6159" max="6159" width="2.28515625" style="252" customWidth="1"/>
    <col min="6160" max="6160" width="13.5703125" style="252" customWidth="1"/>
    <col min="6161" max="6161" width="2.28515625" style="252" customWidth="1"/>
    <col min="6162" max="6162" width="13.5703125" style="252" customWidth="1"/>
    <col min="6163" max="6163" width="3.28515625" style="252" customWidth="1"/>
    <col min="6164" max="6164" width="3.5703125" style="252" customWidth="1"/>
    <col min="6165" max="6165" width="11.28515625" style="252" customWidth="1"/>
    <col min="6166" max="6166" width="11.7109375" style="252" bestFit="1" customWidth="1"/>
    <col min="6167" max="6167" width="40.28515625" style="252" bestFit="1" customWidth="1"/>
    <col min="6168" max="6168" width="2.28515625" style="252" customWidth="1"/>
    <col min="6169" max="6169" width="9.5703125" style="252" customWidth="1"/>
    <col min="6170" max="6170" width="2.28515625" style="252" customWidth="1"/>
    <col min="6171" max="6171" width="13.5703125" style="252" customWidth="1"/>
    <col min="6172" max="6172" width="2.28515625" style="252" customWidth="1"/>
    <col min="6173" max="6173" width="13.5703125" style="252" customWidth="1"/>
    <col min="6174" max="6174" width="2.28515625" style="252" customWidth="1"/>
    <col min="6175" max="6175" width="13.5703125" style="252" customWidth="1"/>
    <col min="6176" max="6176" width="2.28515625" style="252" customWidth="1"/>
    <col min="6177" max="6177" width="13.5703125" style="252" customWidth="1"/>
    <col min="6178" max="6178" width="2.28515625" style="252" customWidth="1"/>
    <col min="6179" max="6179" width="13.5703125" style="252" customWidth="1"/>
    <col min="6180" max="6180" width="2.28515625" style="252" customWidth="1"/>
    <col min="6181" max="6182" width="13.5703125" style="252" customWidth="1"/>
    <col min="6183" max="6400" width="9.140625" style="252"/>
    <col min="6401" max="6401" width="3.5703125" style="252" customWidth="1"/>
    <col min="6402" max="6402" width="6.7109375" style="252" bestFit="1" customWidth="1"/>
    <col min="6403" max="6403" width="10.7109375" style="252" bestFit="1" customWidth="1"/>
    <col min="6404" max="6404" width="40.28515625" style="252" bestFit="1" customWidth="1"/>
    <col min="6405" max="6405" width="2.28515625" style="252" customWidth="1"/>
    <col min="6406" max="6406" width="9.5703125" style="252" customWidth="1"/>
    <col min="6407" max="6407" width="2.28515625" style="252" customWidth="1"/>
    <col min="6408" max="6408" width="13.5703125" style="252" customWidth="1"/>
    <col min="6409" max="6409" width="2.28515625" style="252" customWidth="1"/>
    <col min="6410" max="6410" width="13.5703125" style="252" customWidth="1"/>
    <col min="6411" max="6411" width="2.28515625" style="252" customWidth="1"/>
    <col min="6412" max="6412" width="13.5703125" style="252" customWidth="1"/>
    <col min="6413" max="6413" width="2.28515625" style="252" customWidth="1"/>
    <col min="6414" max="6414" width="13.5703125" style="252" customWidth="1"/>
    <col min="6415" max="6415" width="2.28515625" style="252" customWidth="1"/>
    <col min="6416" max="6416" width="13.5703125" style="252" customWidth="1"/>
    <col min="6417" max="6417" width="2.28515625" style="252" customWidth="1"/>
    <col min="6418" max="6418" width="13.5703125" style="252" customWidth="1"/>
    <col min="6419" max="6419" width="3.28515625" style="252" customWidth="1"/>
    <col min="6420" max="6420" width="3.5703125" style="252" customWidth="1"/>
    <col min="6421" max="6421" width="11.28515625" style="252" customWidth="1"/>
    <col min="6422" max="6422" width="11.7109375" style="252" bestFit="1" customWidth="1"/>
    <col min="6423" max="6423" width="40.28515625" style="252" bestFit="1" customWidth="1"/>
    <col min="6424" max="6424" width="2.28515625" style="252" customWidth="1"/>
    <col min="6425" max="6425" width="9.5703125" style="252" customWidth="1"/>
    <col min="6426" max="6426" width="2.28515625" style="252" customWidth="1"/>
    <col min="6427" max="6427" width="13.5703125" style="252" customWidth="1"/>
    <col min="6428" max="6428" width="2.28515625" style="252" customWidth="1"/>
    <col min="6429" max="6429" width="13.5703125" style="252" customWidth="1"/>
    <col min="6430" max="6430" width="2.28515625" style="252" customWidth="1"/>
    <col min="6431" max="6431" width="13.5703125" style="252" customWidth="1"/>
    <col min="6432" max="6432" width="2.28515625" style="252" customWidth="1"/>
    <col min="6433" max="6433" width="13.5703125" style="252" customWidth="1"/>
    <col min="6434" max="6434" width="2.28515625" style="252" customWidth="1"/>
    <col min="6435" max="6435" width="13.5703125" style="252" customWidth="1"/>
    <col min="6436" max="6436" width="2.28515625" style="252" customWidth="1"/>
    <col min="6437" max="6438" width="13.5703125" style="252" customWidth="1"/>
    <col min="6439" max="6656" width="9.140625" style="252"/>
    <col min="6657" max="6657" width="3.5703125" style="252" customWidth="1"/>
    <col min="6658" max="6658" width="6.7109375" style="252" bestFit="1" customWidth="1"/>
    <col min="6659" max="6659" width="10.7109375" style="252" bestFit="1" customWidth="1"/>
    <col min="6660" max="6660" width="40.28515625" style="252" bestFit="1" customWidth="1"/>
    <col min="6661" max="6661" width="2.28515625" style="252" customWidth="1"/>
    <col min="6662" max="6662" width="9.5703125" style="252" customWidth="1"/>
    <col min="6663" max="6663" width="2.28515625" style="252" customWidth="1"/>
    <col min="6664" max="6664" width="13.5703125" style="252" customWidth="1"/>
    <col min="6665" max="6665" width="2.28515625" style="252" customWidth="1"/>
    <col min="6666" max="6666" width="13.5703125" style="252" customWidth="1"/>
    <col min="6667" max="6667" width="2.28515625" style="252" customWidth="1"/>
    <col min="6668" max="6668" width="13.5703125" style="252" customWidth="1"/>
    <col min="6669" max="6669" width="2.28515625" style="252" customWidth="1"/>
    <col min="6670" max="6670" width="13.5703125" style="252" customWidth="1"/>
    <col min="6671" max="6671" width="2.28515625" style="252" customWidth="1"/>
    <col min="6672" max="6672" width="13.5703125" style="252" customWidth="1"/>
    <col min="6673" max="6673" width="2.28515625" style="252" customWidth="1"/>
    <col min="6674" max="6674" width="13.5703125" style="252" customWidth="1"/>
    <col min="6675" max="6675" width="3.28515625" style="252" customWidth="1"/>
    <col min="6676" max="6676" width="3.5703125" style="252" customWidth="1"/>
    <col min="6677" max="6677" width="11.28515625" style="252" customWidth="1"/>
    <col min="6678" max="6678" width="11.7109375" style="252" bestFit="1" customWidth="1"/>
    <col min="6679" max="6679" width="40.28515625" style="252" bestFit="1" customWidth="1"/>
    <col min="6680" max="6680" width="2.28515625" style="252" customWidth="1"/>
    <col min="6681" max="6681" width="9.5703125" style="252" customWidth="1"/>
    <col min="6682" max="6682" width="2.28515625" style="252" customWidth="1"/>
    <col min="6683" max="6683" width="13.5703125" style="252" customWidth="1"/>
    <col min="6684" max="6684" width="2.28515625" style="252" customWidth="1"/>
    <col min="6685" max="6685" width="13.5703125" style="252" customWidth="1"/>
    <col min="6686" max="6686" width="2.28515625" style="252" customWidth="1"/>
    <col min="6687" max="6687" width="13.5703125" style="252" customWidth="1"/>
    <col min="6688" max="6688" width="2.28515625" style="252" customWidth="1"/>
    <col min="6689" max="6689" width="13.5703125" style="252" customWidth="1"/>
    <col min="6690" max="6690" width="2.28515625" style="252" customWidth="1"/>
    <col min="6691" max="6691" width="13.5703125" style="252" customWidth="1"/>
    <col min="6692" max="6692" width="2.28515625" style="252" customWidth="1"/>
    <col min="6693" max="6694" width="13.5703125" style="252" customWidth="1"/>
    <col min="6695" max="6912" width="9.140625" style="252"/>
    <col min="6913" max="6913" width="3.5703125" style="252" customWidth="1"/>
    <col min="6914" max="6914" width="6.7109375" style="252" bestFit="1" customWidth="1"/>
    <col min="6915" max="6915" width="10.7109375" style="252" bestFit="1" customWidth="1"/>
    <col min="6916" max="6916" width="40.28515625" style="252" bestFit="1" customWidth="1"/>
    <col min="6917" max="6917" width="2.28515625" style="252" customWidth="1"/>
    <col min="6918" max="6918" width="9.5703125" style="252" customWidth="1"/>
    <col min="6919" max="6919" width="2.28515625" style="252" customWidth="1"/>
    <col min="6920" max="6920" width="13.5703125" style="252" customWidth="1"/>
    <col min="6921" max="6921" width="2.28515625" style="252" customWidth="1"/>
    <col min="6922" max="6922" width="13.5703125" style="252" customWidth="1"/>
    <col min="6923" max="6923" width="2.28515625" style="252" customWidth="1"/>
    <col min="6924" max="6924" width="13.5703125" style="252" customWidth="1"/>
    <col min="6925" max="6925" width="2.28515625" style="252" customWidth="1"/>
    <col min="6926" max="6926" width="13.5703125" style="252" customWidth="1"/>
    <col min="6927" max="6927" width="2.28515625" style="252" customWidth="1"/>
    <col min="6928" max="6928" width="13.5703125" style="252" customWidth="1"/>
    <col min="6929" max="6929" width="2.28515625" style="252" customWidth="1"/>
    <col min="6930" max="6930" width="13.5703125" style="252" customWidth="1"/>
    <col min="6931" max="6931" width="3.28515625" style="252" customWidth="1"/>
    <col min="6932" max="6932" width="3.5703125" style="252" customWidth="1"/>
    <col min="6933" max="6933" width="11.28515625" style="252" customWidth="1"/>
    <col min="6934" max="6934" width="11.7109375" style="252" bestFit="1" customWidth="1"/>
    <col min="6935" max="6935" width="40.28515625" style="252" bestFit="1" customWidth="1"/>
    <col min="6936" max="6936" width="2.28515625" style="252" customWidth="1"/>
    <col min="6937" max="6937" width="9.5703125" style="252" customWidth="1"/>
    <col min="6938" max="6938" width="2.28515625" style="252" customWidth="1"/>
    <col min="6939" max="6939" width="13.5703125" style="252" customWidth="1"/>
    <col min="6940" max="6940" width="2.28515625" style="252" customWidth="1"/>
    <col min="6941" max="6941" width="13.5703125" style="252" customWidth="1"/>
    <col min="6942" max="6942" width="2.28515625" style="252" customWidth="1"/>
    <col min="6943" max="6943" width="13.5703125" style="252" customWidth="1"/>
    <col min="6944" max="6944" width="2.28515625" style="252" customWidth="1"/>
    <col min="6945" max="6945" width="13.5703125" style="252" customWidth="1"/>
    <col min="6946" max="6946" width="2.28515625" style="252" customWidth="1"/>
    <col min="6947" max="6947" width="13.5703125" style="252" customWidth="1"/>
    <col min="6948" max="6948" width="2.28515625" style="252" customWidth="1"/>
    <col min="6949" max="6950" width="13.5703125" style="252" customWidth="1"/>
    <col min="6951" max="7168" width="9.140625" style="252"/>
    <col min="7169" max="7169" width="3.5703125" style="252" customWidth="1"/>
    <col min="7170" max="7170" width="6.7109375" style="252" bestFit="1" customWidth="1"/>
    <col min="7171" max="7171" width="10.7109375" style="252" bestFit="1" customWidth="1"/>
    <col min="7172" max="7172" width="40.28515625" style="252" bestFit="1" customWidth="1"/>
    <col min="7173" max="7173" width="2.28515625" style="252" customWidth="1"/>
    <col min="7174" max="7174" width="9.5703125" style="252" customWidth="1"/>
    <col min="7175" max="7175" width="2.28515625" style="252" customWidth="1"/>
    <col min="7176" max="7176" width="13.5703125" style="252" customWidth="1"/>
    <col min="7177" max="7177" width="2.28515625" style="252" customWidth="1"/>
    <col min="7178" max="7178" width="13.5703125" style="252" customWidth="1"/>
    <col min="7179" max="7179" width="2.28515625" style="252" customWidth="1"/>
    <col min="7180" max="7180" width="13.5703125" style="252" customWidth="1"/>
    <col min="7181" max="7181" width="2.28515625" style="252" customWidth="1"/>
    <col min="7182" max="7182" width="13.5703125" style="252" customWidth="1"/>
    <col min="7183" max="7183" width="2.28515625" style="252" customWidth="1"/>
    <col min="7184" max="7184" width="13.5703125" style="252" customWidth="1"/>
    <col min="7185" max="7185" width="2.28515625" style="252" customWidth="1"/>
    <col min="7186" max="7186" width="13.5703125" style="252" customWidth="1"/>
    <col min="7187" max="7187" width="3.28515625" style="252" customWidth="1"/>
    <col min="7188" max="7188" width="3.5703125" style="252" customWidth="1"/>
    <col min="7189" max="7189" width="11.28515625" style="252" customWidth="1"/>
    <col min="7190" max="7190" width="11.7109375" style="252" bestFit="1" customWidth="1"/>
    <col min="7191" max="7191" width="40.28515625" style="252" bestFit="1" customWidth="1"/>
    <col min="7192" max="7192" width="2.28515625" style="252" customWidth="1"/>
    <col min="7193" max="7193" width="9.5703125" style="252" customWidth="1"/>
    <col min="7194" max="7194" width="2.28515625" style="252" customWidth="1"/>
    <col min="7195" max="7195" width="13.5703125" style="252" customWidth="1"/>
    <col min="7196" max="7196" width="2.28515625" style="252" customWidth="1"/>
    <col min="7197" max="7197" width="13.5703125" style="252" customWidth="1"/>
    <col min="7198" max="7198" width="2.28515625" style="252" customWidth="1"/>
    <col min="7199" max="7199" width="13.5703125" style="252" customWidth="1"/>
    <col min="7200" max="7200" width="2.28515625" style="252" customWidth="1"/>
    <col min="7201" max="7201" width="13.5703125" style="252" customWidth="1"/>
    <col min="7202" max="7202" width="2.28515625" style="252" customWidth="1"/>
    <col min="7203" max="7203" width="13.5703125" style="252" customWidth="1"/>
    <col min="7204" max="7204" width="2.28515625" style="252" customWidth="1"/>
    <col min="7205" max="7206" width="13.5703125" style="252" customWidth="1"/>
    <col min="7207" max="7424" width="9.140625" style="252"/>
    <col min="7425" max="7425" width="3.5703125" style="252" customWidth="1"/>
    <col min="7426" max="7426" width="6.7109375" style="252" bestFit="1" customWidth="1"/>
    <col min="7427" max="7427" width="10.7109375" style="252" bestFit="1" customWidth="1"/>
    <col min="7428" max="7428" width="40.28515625" style="252" bestFit="1" customWidth="1"/>
    <col min="7429" max="7429" width="2.28515625" style="252" customWidth="1"/>
    <col min="7430" max="7430" width="9.5703125" style="252" customWidth="1"/>
    <col min="7431" max="7431" width="2.28515625" style="252" customWidth="1"/>
    <col min="7432" max="7432" width="13.5703125" style="252" customWidth="1"/>
    <col min="7433" max="7433" width="2.28515625" style="252" customWidth="1"/>
    <col min="7434" max="7434" width="13.5703125" style="252" customWidth="1"/>
    <col min="7435" max="7435" width="2.28515625" style="252" customWidth="1"/>
    <col min="7436" max="7436" width="13.5703125" style="252" customWidth="1"/>
    <col min="7437" max="7437" width="2.28515625" style="252" customWidth="1"/>
    <col min="7438" max="7438" width="13.5703125" style="252" customWidth="1"/>
    <col min="7439" max="7439" width="2.28515625" style="252" customWidth="1"/>
    <col min="7440" max="7440" width="13.5703125" style="252" customWidth="1"/>
    <col min="7441" max="7441" width="2.28515625" style="252" customWidth="1"/>
    <col min="7442" max="7442" width="13.5703125" style="252" customWidth="1"/>
    <col min="7443" max="7443" width="3.28515625" style="252" customWidth="1"/>
    <col min="7444" max="7444" width="3.5703125" style="252" customWidth="1"/>
    <col min="7445" max="7445" width="11.28515625" style="252" customWidth="1"/>
    <col min="7446" max="7446" width="11.7109375" style="252" bestFit="1" customWidth="1"/>
    <col min="7447" max="7447" width="40.28515625" style="252" bestFit="1" customWidth="1"/>
    <col min="7448" max="7448" width="2.28515625" style="252" customWidth="1"/>
    <col min="7449" max="7449" width="9.5703125" style="252" customWidth="1"/>
    <col min="7450" max="7450" width="2.28515625" style="252" customWidth="1"/>
    <col min="7451" max="7451" width="13.5703125" style="252" customWidth="1"/>
    <col min="7452" max="7452" width="2.28515625" style="252" customWidth="1"/>
    <col min="7453" max="7453" width="13.5703125" style="252" customWidth="1"/>
    <col min="7454" max="7454" width="2.28515625" style="252" customWidth="1"/>
    <col min="7455" max="7455" width="13.5703125" style="252" customWidth="1"/>
    <col min="7456" max="7456" width="2.28515625" style="252" customWidth="1"/>
    <col min="7457" max="7457" width="13.5703125" style="252" customWidth="1"/>
    <col min="7458" max="7458" width="2.28515625" style="252" customWidth="1"/>
    <col min="7459" max="7459" width="13.5703125" style="252" customWidth="1"/>
    <col min="7460" max="7460" width="2.28515625" style="252" customWidth="1"/>
    <col min="7461" max="7462" width="13.5703125" style="252" customWidth="1"/>
    <col min="7463" max="7680" width="9.140625" style="252"/>
    <col min="7681" max="7681" width="3.5703125" style="252" customWidth="1"/>
    <col min="7682" max="7682" width="6.7109375" style="252" bestFit="1" customWidth="1"/>
    <col min="7683" max="7683" width="10.7109375" style="252" bestFit="1" customWidth="1"/>
    <col min="7684" max="7684" width="40.28515625" style="252" bestFit="1" customWidth="1"/>
    <col min="7685" max="7685" width="2.28515625" style="252" customWidth="1"/>
    <col min="7686" max="7686" width="9.5703125" style="252" customWidth="1"/>
    <col min="7687" max="7687" width="2.28515625" style="252" customWidth="1"/>
    <col min="7688" max="7688" width="13.5703125" style="252" customWidth="1"/>
    <col min="7689" max="7689" width="2.28515625" style="252" customWidth="1"/>
    <col min="7690" max="7690" width="13.5703125" style="252" customWidth="1"/>
    <col min="7691" max="7691" width="2.28515625" style="252" customWidth="1"/>
    <col min="7692" max="7692" width="13.5703125" style="252" customWidth="1"/>
    <col min="7693" max="7693" width="2.28515625" style="252" customWidth="1"/>
    <col min="7694" max="7694" width="13.5703125" style="252" customWidth="1"/>
    <col min="7695" max="7695" width="2.28515625" style="252" customWidth="1"/>
    <col min="7696" max="7696" width="13.5703125" style="252" customWidth="1"/>
    <col min="7697" max="7697" width="2.28515625" style="252" customWidth="1"/>
    <col min="7698" max="7698" width="13.5703125" style="252" customWidth="1"/>
    <col min="7699" max="7699" width="3.28515625" style="252" customWidth="1"/>
    <col min="7700" max="7700" width="3.5703125" style="252" customWidth="1"/>
    <col min="7701" max="7701" width="11.28515625" style="252" customWidth="1"/>
    <col min="7702" max="7702" width="11.7109375" style="252" bestFit="1" customWidth="1"/>
    <col min="7703" max="7703" width="40.28515625" style="252" bestFit="1" customWidth="1"/>
    <col min="7704" max="7704" width="2.28515625" style="252" customWidth="1"/>
    <col min="7705" max="7705" width="9.5703125" style="252" customWidth="1"/>
    <col min="7706" max="7706" width="2.28515625" style="252" customWidth="1"/>
    <col min="7707" max="7707" width="13.5703125" style="252" customWidth="1"/>
    <col min="7708" max="7708" width="2.28515625" style="252" customWidth="1"/>
    <col min="7709" max="7709" width="13.5703125" style="252" customWidth="1"/>
    <col min="7710" max="7710" width="2.28515625" style="252" customWidth="1"/>
    <col min="7711" max="7711" width="13.5703125" style="252" customWidth="1"/>
    <col min="7712" max="7712" width="2.28515625" style="252" customWidth="1"/>
    <col min="7713" max="7713" width="13.5703125" style="252" customWidth="1"/>
    <col min="7714" max="7714" width="2.28515625" style="252" customWidth="1"/>
    <col min="7715" max="7715" width="13.5703125" style="252" customWidth="1"/>
    <col min="7716" max="7716" width="2.28515625" style="252" customWidth="1"/>
    <col min="7717" max="7718" width="13.5703125" style="252" customWidth="1"/>
    <col min="7719" max="7936" width="9.140625" style="252"/>
    <col min="7937" max="7937" width="3.5703125" style="252" customWidth="1"/>
    <col min="7938" max="7938" width="6.7109375" style="252" bestFit="1" customWidth="1"/>
    <col min="7939" max="7939" width="10.7109375" style="252" bestFit="1" customWidth="1"/>
    <col min="7940" max="7940" width="40.28515625" style="252" bestFit="1" customWidth="1"/>
    <col min="7941" max="7941" width="2.28515625" style="252" customWidth="1"/>
    <col min="7942" max="7942" width="9.5703125" style="252" customWidth="1"/>
    <col min="7943" max="7943" width="2.28515625" style="252" customWidth="1"/>
    <col min="7944" max="7944" width="13.5703125" style="252" customWidth="1"/>
    <col min="7945" max="7945" width="2.28515625" style="252" customWidth="1"/>
    <col min="7946" max="7946" width="13.5703125" style="252" customWidth="1"/>
    <col min="7947" max="7947" width="2.28515625" style="252" customWidth="1"/>
    <col min="7948" max="7948" width="13.5703125" style="252" customWidth="1"/>
    <col min="7949" max="7949" width="2.28515625" style="252" customWidth="1"/>
    <col min="7950" max="7950" width="13.5703125" style="252" customWidth="1"/>
    <col min="7951" max="7951" width="2.28515625" style="252" customWidth="1"/>
    <col min="7952" max="7952" width="13.5703125" style="252" customWidth="1"/>
    <col min="7953" max="7953" width="2.28515625" style="252" customWidth="1"/>
    <col min="7954" max="7954" width="13.5703125" style="252" customWidth="1"/>
    <col min="7955" max="7955" width="3.28515625" style="252" customWidth="1"/>
    <col min="7956" max="7956" width="3.5703125" style="252" customWidth="1"/>
    <col min="7957" max="7957" width="11.28515625" style="252" customWidth="1"/>
    <col min="7958" max="7958" width="11.7109375" style="252" bestFit="1" customWidth="1"/>
    <col min="7959" max="7959" width="40.28515625" style="252" bestFit="1" customWidth="1"/>
    <col min="7960" max="7960" width="2.28515625" style="252" customWidth="1"/>
    <col min="7961" max="7961" width="9.5703125" style="252" customWidth="1"/>
    <col min="7962" max="7962" width="2.28515625" style="252" customWidth="1"/>
    <col min="7963" max="7963" width="13.5703125" style="252" customWidth="1"/>
    <col min="7964" max="7964" width="2.28515625" style="252" customWidth="1"/>
    <col min="7965" max="7965" width="13.5703125" style="252" customWidth="1"/>
    <col min="7966" max="7966" width="2.28515625" style="252" customWidth="1"/>
    <col min="7967" max="7967" width="13.5703125" style="252" customWidth="1"/>
    <col min="7968" max="7968" width="2.28515625" style="252" customWidth="1"/>
    <col min="7969" max="7969" width="13.5703125" style="252" customWidth="1"/>
    <col min="7970" max="7970" width="2.28515625" style="252" customWidth="1"/>
    <col min="7971" max="7971" width="13.5703125" style="252" customWidth="1"/>
    <col min="7972" max="7972" width="2.28515625" style="252" customWidth="1"/>
    <col min="7973" max="7974" width="13.5703125" style="252" customWidth="1"/>
    <col min="7975" max="8192" width="9.140625" style="252"/>
    <col min="8193" max="8193" width="3.5703125" style="252" customWidth="1"/>
    <col min="8194" max="8194" width="6.7109375" style="252" bestFit="1" customWidth="1"/>
    <col min="8195" max="8195" width="10.7109375" style="252" bestFit="1" customWidth="1"/>
    <col min="8196" max="8196" width="40.28515625" style="252" bestFit="1" customWidth="1"/>
    <col min="8197" max="8197" width="2.28515625" style="252" customWidth="1"/>
    <col min="8198" max="8198" width="9.5703125" style="252" customWidth="1"/>
    <col min="8199" max="8199" width="2.28515625" style="252" customWidth="1"/>
    <col min="8200" max="8200" width="13.5703125" style="252" customWidth="1"/>
    <col min="8201" max="8201" width="2.28515625" style="252" customWidth="1"/>
    <col min="8202" max="8202" width="13.5703125" style="252" customWidth="1"/>
    <col min="8203" max="8203" width="2.28515625" style="252" customWidth="1"/>
    <col min="8204" max="8204" width="13.5703125" style="252" customWidth="1"/>
    <col min="8205" max="8205" width="2.28515625" style="252" customWidth="1"/>
    <col min="8206" max="8206" width="13.5703125" style="252" customWidth="1"/>
    <col min="8207" max="8207" width="2.28515625" style="252" customWidth="1"/>
    <col min="8208" max="8208" width="13.5703125" style="252" customWidth="1"/>
    <col min="8209" max="8209" width="2.28515625" style="252" customWidth="1"/>
    <col min="8210" max="8210" width="13.5703125" style="252" customWidth="1"/>
    <col min="8211" max="8211" width="3.28515625" style="252" customWidth="1"/>
    <col min="8212" max="8212" width="3.5703125" style="252" customWidth="1"/>
    <col min="8213" max="8213" width="11.28515625" style="252" customWidth="1"/>
    <col min="8214" max="8214" width="11.7109375" style="252" bestFit="1" customWidth="1"/>
    <col min="8215" max="8215" width="40.28515625" style="252" bestFit="1" customWidth="1"/>
    <col min="8216" max="8216" width="2.28515625" style="252" customWidth="1"/>
    <col min="8217" max="8217" width="9.5703125" style="252" customWidth="1"/>
    <col min="8218" max="8218" width="2.28515625" style="252" customWidth="1"/>
    <col min="8219" max="8219" width="13.5703125" style="252" customWidth="1"/>
    <col min="8220" max="8220" width="2.28515625" style="252" customWidth="1"/>
    <col min="8221" max="8221" width="13.5703125" style="252" customWidth="1"/>
    <col min="8222" max="8222" width="2.28515625" style="252" customWidth="1"/>
    <col min="8223" max="8223" width="13.5703125" style="252" customWidth="1"/>
    <col min="8224" max="8224" width="2.28515625" style="252" customWidth="1"/>
    <col min="8225" max="8225" width="13.5703125" style="252" customWidth="1"/>
    <col min="8226" max="8226" width="2.28515625" style="252" customWidth="1"/>
    <col min="8227" max="8227" width="13.5703125" style="252" customWidth="1"/>
    <col min="8228" max="8228" width="2.28515625" style="252" customWidth="1"/>
    <col min="8229" max="8230" width="13.5703125" style="252" customWidth="1"/>
    <col min="8231" max="8448" width="9.140625" style="252"/>
    <col min="8449" max="8449" width="3.5703125" style="252" customWidth="1"/>
    <col min="8450" max="8450" width="6.7109375" style="252" bestFit="1" customWidth="1"/>
    <col min="8451" max="8451" width="10.7109375" style="252" bestFit="1" customWidth="1"/>
    <col min="8452" max="8452" width="40.28515625" style="252" bestFit="1" customWidth="1"/>
    <col min="8453" max="8453" width="2.28515625" style="252" customWidth="1"/>
    <col min="8454" max="8454" width="9.5703125" style="252" customWidth="1"/>
    <col min="8455" max="8455" width="2.28515625" style="252" customWidth="1"/>
    <col min="8456" max="8456" width="13.5703125" style="252" customWidth="1"/>
    <col min="8457" max="8457" width="2.28515625" style="252" customWidth="1"/>
    <col min="8458" max="8458" width="13.5703125" style="252" customWidth="1"/>
    <col min="8459" max="8459" width="2.28515625" style="252" customWidth="1"/>
    <col min="8460" max="8460" width="13.5703125" style="252" customWidth="1"/>
    <col min="8461" max="8461" width="2.28515625" style="252" customWidth="1"/>
    <col min="8462" max="8462" width="13.5703125" style="252" customWidth="1"/>
    <col min="8463" max="8463" width="2.28515625" style="252" customWidth="1"/>
    <col min="8464" max="8464" width="13.5703125" style="252" customWidth="1"/>
    <col min="8465" max="8465" width="2.28515625" style="252" customWidth="1"/>
    <col min="8466" max="8466" width="13.5703125" style="252" customWidth="1"/>
    <col min="8467" max="8467" width="3.28515625" style="252" customWidth="1"/>
    <col min="8468" max="8468" width="3.5703125" style="252" customWidth="1"/>
    <col min="8469" max="8469" width="11.28515625" style="252" customWidth="1"/>
    <col min="8470" max="8470" width="11.7109375" style="252" bestFit="1" customWidth="1"/>
    <col min="8471" max="8471" width="40.28515625" style="252" bestFit="1" customWidth="1"/>
    <col min="8472" max="8472" width="2.28515625" style="252" customWidth="1"/>
    <col min="8473" max="8473" width="9.5703125" style="252" customWidth="1"/>
    <col min="8474" max="8474" width="2.28515625" style="252" customWidth="1"/>
    <col min="8475" max="8475" width="13.5703125" style="252" customWidth="1"/>
    <col min="8476" max="8476" width="2.28515625" style="252" customWidth="1"/>
    <col min="8477" max="8477" width="13.5703125" style="252" customWidth="1"/>
    <col min="8478" max="8478" width="2.28515625" style="252" customWidth="1"/>
    <col min="8479" max="8479" width="13.5703125" style="252" customWidth="1"/>
    <col min="8480" max="8480" width="2.28515625" style="252" customWidth="1"/>
    <col min="8481" max="8481" width="13.5703125" style="252" customWidth="1"/>
    <col min="8482" max="8482" width="2.28515625" style="252" customWidth="1"/>
    <col min="8483" max="8483" width="13.5703125" style="252" customWidth="1"/>
    <col min="8484" max="8484" width="2.28515625" style="252" customWidth="1"/>
    <col min="8485" max="8486" width="13.5703125" style="252" customWidth="1"/>
    <col min="8487" max="8704" width="9.140625" style="252"/>
    <col min="8705" max="8705" width="3.5703125" style="252" customWidth="1"/>
    <col min="8706" max="8706" width="6.7109375" style="252" bestFit="1" customWidth="1"/>
    <col min="8707" max="8707" width="10.7109375" style="252" bestFit="1" customWidth="1"/>
    <col min="8708" max="8708" width="40.28515625" style="252" bestFit="1" customWidth="1"/>
    <col min="8709" max="8709" width="2.28515625" style="252" customWidth="1"/>
    <col min="8710" max="8710" width="9.5703125" style="252" customWidth="1"/>
    <col min="8711" max="8711" width="2.28515625" style="252" customWidth="1"/>
    <col min="8712" max="8712" width="13.5703125" style="252" customWidth="1"/>
    <col min="8713" max="8713" width="2.28515625" style="252" customWidth="1"/>
    <col min="8714" max="8714" width="13.5703125" style="252" customWidth="1"/>
    <col min="8715" max="8715" width="2.28515625" style="252" customWidth="1"/>
    <col min="8716" max="8716" width="13.5703125" style="252" customWidth="1"/>
    <col min="8717" max="8717" width="2.28515625" style="252" customWidth="1"/>
    <col min="8718" max="8718" width="13.5703125" style="252" customWidth="1"/>
    <col min="8719" max="8719" width="2.28515625" style="252" customWidth="1"/>
    <col min="8720" max="8720" width="13.5703125" style="252" customWidth="1"/>
    <col min="8721" max="8721" width="2.28515625" style="252" customWidth="1"/>
    <col min="8722" max="8722" width="13.5703125" style="252" customWidth="1"/>
    <col min="8723" max="8723" width="3.28515625" style="252" customWidth="1"/>
    <col min="8724" max="8724" width="3.5703125" style="252" customWidth="1"/>
    <col min="8725" max="8725" width="11.28515625" style="252" customWidth="1"/>
    <col min="8726" max="8726" width="11.7109375" style="252" bestFit="1" customWidth="1"/>
    <col min="8727" max="8727" width="40.28515625" style="252" bestFit="1" customWidth="1"/>
    <col min="8728" max="8728" width="2.28515625" style="252" customWidth="1"/>
    <col min="8729" max="8729" width="9.5703125" style="252" customWidth="1"/>
    <col min="8730" max="8730" width="2.28515625" style="252" customWidth="1"/>
    <col min="8731" max="8731" width="13.5703125" style="252" customWidth="1"/>
    <col min="8732" max="8732" width="2.28515625" style="252" customWidth="1"/>
    <col min="8733" max="8733" width="13.5703125" style="252" customWidth="1"/>
    <col min="8734" max="8734" width="2.28515625" style="252" customWidth="1"/>
    <col min="8735" max="8735" width="13.5703125" style="252" customWidth="1"/>
    <col min="8736" max="8736" width="2.28515625" style="252" customWidth="1"/>
    <col min="8737" max="8737" width="13.5703125" style="252" customWidth="1"/>
    <col min="8738" max="8738" width="2.28515625" style="252" customWidth="1"/>
    <col min="8739" max="8739" width="13.5703125" style="252" customWidth="1"/>
    <col min="8740" max="8740" width="2.28515625" style="252" customWidth="1"/>
    <col min="8741" max="8742" width="13.5703125" style="252" customWidth="1"/>
    <col min="8743" max="8960" width="9.140625" style="252"/>
    <col min="8961" max="8961" width="3.5703125" style="252" customWidth="1"/>
    <col min="8962" max="8962" width="6.7109375" style="252" bestFit="1" customWidth="1"/>
    <col min="8963" max="8963" width="10.7109375" style="252" bestFit="1" customWidth="1"/>
    <col min="8964" max="8964" width="40.28515625" style="252" bestFit="1" customWidth="1"/>
    <col min="8965" max="8965" width="2.28515625" style="252" customWidth="1"/>
    <col min="8966" max="8966" width="9.5703125" style="252" customWidth="1"/>
    <col min="8967" max="8967" width="2.28515625" style="252" customWidth="1"/>
    <col min="8968" max="8968" width="13.5703125" style="252" customWidth="1"/>
    <col min="8969" max="8969" width="2.28515625" style="252" customWidth="1"/>
    <col min="8970" max="8970" width="13.5703125" style="252" customWidth="1"/>
    <col min="8971" max="8971" width="2.28515625" style="252" customWidth="1"/>
    <col min="8972" max="8972" width="13.5703125" style="252" customWidth="1"/>
    <col min="8973" max="8973" width="2.28515625" style="252" customWidth="1"/>
    <col min="8974" max="8974" width="13.5703125" style="252" customWidth="1"/>
    <col min="8975" max="8975" width="2.28515625" style="252" customWidth="1"/>
    <col min="8976" max="8976" width="13.5703125" style="252" customWidth="1"/>
    <col min="8977" max="8977" width="2.28515625" style="252" customWidth="1"/>
    <col min="8978" max="8978" width="13.5703125" style="252" customWidth="1"/>
    <col min="8979" max="8979" width="3.28515625" style="252" customWidth="1"/>
    <col min="8980" max="8980" width="3.5703125" style="252" customWidth="1"/>
    <col min="8981" max="8981" width="11.28515625" style="252" customWidth="1"/>
    <col min="8982" max="8982" width="11.7109375" style="252" bestFit="1" customWidth="1"/>
    <col min="8983" max="8983" width="40.28515625" style="252" bestFit="1" customWidth="1"/>
    <col min="8984" max="8984" width="2.28515625" style="252" customWidth="1"/>
    <col min="8985" max="8985" width="9.5703125" style="252" customWidth="1"/>
    <col min="8986" max="8986" width="2.28515625" style="252" customWidth="1"/>
    <col min="8987" max="8987" width="13.5703125" style="252" customWidth="1"/>
    <col min="8988" max="8988" width="2.28515625" style="252" customWidth="1"/>
    <col min="8989" max="8989" width="13.5703125" style="252" customWidth="1"/>
    <col min="8990" max="8990" width="2.28515625" style="252" customWidth="1"/>
    <col min="8991" max="8991" width="13.5703125" style="252" customWidth="1"/>
    <col min="8992" max="8992" width="2.28515625" style="252" customWidth="1"/>
    <col min="8993" max="8993" width="13.5703125" style="252" customWidth="1"/>
    <col min="8994" max="8994" width="2.28515625" style="252" customWidth="1"/>
    <col min="8995" max="8995" width="13.5703125" style="252" customWidth="1"/>
    <col min="8996" max="8996" width="2.28515625" style="252" customWidth="1"/>
    <col min="8997" max="8998" width="13.5703125" style="252" customWidth="1"/>
    <col min="8999" max="9216" width="9.140625" style="252"/>
    <col min="9217" max="9217" width="3.5703125" style="252" customWidth="1"/>
    <col min="9218" max="9218" width="6.7109375" style="252" bestFit="1" customWidth="1"/>
    <col min="9219" max="9219" width="10.7109375" style="252" bestFit="1" customWidth="1"/>
    <col min="9220" max="9220" width="40.28515625" style="252" bestFit="1" customWidth="1"/>
    <col min="9221" max="9221" width="2.28515625" style="252" customWidth="1"/>
    <col min="9222" max="9222" width="9.5703125" style="252" customWidth="1"/>
    <col min="9223" max="9223" width="2.28515625" style="252" customWidth="1"/>
    <col min="9224" max="9224" width="13.5703125" style="252" customWidth="1"/>
    <col min="9225" max="9225" width="2.28515625" style="252" customWidth="1"/>
    <col min="9226" max="9226" width="13.5703125" style="252" customWidth="1"/>
    <col min="9227" max="9227" width="2.28515625" style="252" customWidth="1"/>
    <col min="9228" max="9228" width="13.5703125" style="252" customWidth="1"/>
    <col min="9229" max="9229" width="2.28515625" style="252" customWidth="1"/>
    <col min="9230" max="9230" width="13.5703125" style="252" customWidth="1"/>
    <col min="9231" max="9231" width="2.28515625" style="252" customWidth="1"/>
    <col min="9232" max="9232" width="13.5703125" style="252" customWidth="1"/>
    <col min="9233" max="9233" width="2.28515625" style="252" customWidth="1"/>
    <col min="9234" max="9234" width="13.5703125" style="252" customWidth="1"/>
    <col min="9235" max="9235" width="3.28515625" style="252" customWidth="1"/>
    <col min="9236" max="9236" width="3.5703125" style="252" customWidth="1"/>
    <col min="9237" max="9237" width="11.28515625" style="252" customWidth="1"/>
    <col min="9238" max="9238" width="11.7109375" style="252" bestFit="1" customWidth="1"/>
    <col min="9239" max="9239" width="40.28515625" style="252" bestFit="1" customWidth="1"/>
    <col min="9240" max="9240" width="2.28515625" style="252" customWidth="1"/>
    <col min="9241" max="9241" width="9.5703125" style="252" customWidth="1"/>
    <col min="9242" max="9242" width="2.28515625" style="252" customWidth="1"/>
    <col min="9243" max="9243" width="13.5703125" style="252" customWidth="1"/>
    <col min="9244" max="9244" width="2.28515625" style="252" customWidth="1"/>
    <col min="9245" max="9245" width="13.5703125" style="252" customWidth="1"/>
    <col min="9246" max="9246" width="2.28515625" style="252" customWidth="1"/>
    <col min="9247" max="9247" width="13.5703125" style="252" customWidth="1"/>
    <col min="9248" max="9248" width="2.28515625" style="252" customWidth="1"/>
    <col min="9249" max="9249" width="13.5703125" style="252" customWidth="1"/>
    <col min="9250" max="9250" width="2.28515625" style="252" customWidth="1"/>
    <col min="9251" max="9251" width="13.5703125" style="252" customWidth="1"/>
    <col min="9252" max="9252" width="2.28515625" style="252" customWidth="1"/>
    <col min="9253" max="9254" width="13.5703125" style="252" customWidth="1"/>
    <col min="9255" max="9472" width="9.140625" style="252"/>
    <col min="9473" max="9473" width="3.5703125" style="252" customWidth="1"/>
    <col min="9474" max="9474" width="6.7109375" style="252" bestFit="1" customWidth="1"/>
    <col min="9475" max="9475" width="10.7109375" style="252" bestFit="1" customWidth="1"/>
    <col min="9476" max="9476" width="40.28515625" style="252" bestFit="1" customWidth="1"/>
    <col min="9477" max="9477" width="2.28515625" style="252" customWidth="1"/>
    <col min="9478" max="9478" width="9.5703125" style="252" customWidth="1"/>
    <col min="9479" max="9479" width="2.28515625" style="252" customWidth="1"/>
    <col min="9480" max="9480" width="13.5703125" style="252" customWidth="1"/>
    <col min="9481" max="9481" width="2.28515625" style="252" customWidth="1"/>
    <col min="9482" max="9482" width="13.5703125" style="252" customWidth="1"/>
    <col min="9483" max="9483" width="2.28515625" style="252" customWidth="1"/>
    <col min="9484" max="9484" width="13.5703125" style="252" customWidth="1"/>
    <col min="9485" max="9485" width="2.28515625" style="252" customWidth="1"/>
    <col min="9486" max="9486" width="13.5703125" style="252" customWidth="1"/>
    <col min="9487" max="9487" width="2.28515625" style="252" customWidth="1"/>
    <col min="9488" max="9488" width="13.5703125" style="252" customWidth="1"/>
    <col min="9489" max="9489" width="2.28515625" style="252" customWidth="1"/>
    <col min="9490" max="9490" width="13.5703125" style="252" customWidth="1"/>
    <col min="9491" max="9491" width="3.28515625" style="252" customWidth="1"/>
    <col min="9492" max="9492" width="3.5703125" style="252" customWidth="1"/>
    <col min="9493" max="9493" width="11.28515625" style="252" customWidth="1"/>
    <col min="9494" max="9494" width="11.7109375" style="252" bestFit="1" customWidth="1"/>
    <col min="9495" max="9495" width="40.28515625" style="252" bestFit="1" customWidth="1"/>
    <col min="9496" max="9496" width="2.28515625" style="252" customWidth="1"/>
    <col min="9497" max="9497" width="9.5703125" style="252" customWidth="1"/>
    <col min="9498" max="9498" width="2.28515625" style="252" customWidth="1"/>
    <col min="9499" max="9499" width="13.5703125" style="252" customWidth="1"/>
    <col min="9500" max="9500" width="2.28515625" style="252" customWidth="1"/>
    <col min="9501" max="9501" width="13.5703125" style="252" customWidth="1"/>
    <col min="9502" max="9502" width="2.28515625" style="252" customWidth="1"/>
    <col min="9503" max="9503" width="13.5703125" style="252" customWidth="1"/>
    <col min="9504" max="9504" width="2.28515625" style="252" customWidth="1"/>
    <col min="9505" max="9505" width="13.5703125" style="252" customWidth="1"/>
    <col min="9506" max="9506" width="2.28515625" style="252" customWidth="1"/>
    <col min="9507" max="9507" width="13.5703125" style="252" customWidth="1"/>
    <col min="9508" max="9508" width="2.28515625" style="252" customWidth="1"/>
    <col min="9509" max="9510" width="13.5703125" style="252" customWidth="1"/>
    <col min="9511" max="9728" width="9.140625" style="252"/>
    <col min="9729" max="9729" width="3.5703125" style="252" customWidth="1"/>
    <col min="9730" max="9730" width="6.7109375" style="252" bestFit="1" customWidth="1"/>
    <col min="9731" max="9731" width="10.7109375" style="252" bestFit="1" customWidth="1"/>
    <col min="9732" max="9732" width="40.28515625" style="252" bestFit="1" customWidth="1"/>
    <col min="9733" max="9733" width="2.28515625" style="252" customWidth="1"/>
    <col min="9734" max="9734" width="9.5703125" style="252" customWidth="1"/>
    <col min="9735" max="9735" width="2.28515625" style="252" customWidth="1"/>
    <col min="9736" max="9736" width="13.5703125" style="252" customWidth="1"/>
    <col min="9737" max="9737" width="2.28515625" style="252" customWidth="1"/>
    <col min="9738" max="9738" width="13.5703125" style="252" customWidth="1"/>
    <col min="9739" max="9739" width="2.28515625" style="252" customWidth="1"/>
    <col min="9740" max="9740" width="13.5703125" style="252" customWidth="1"/>
    <col min="9741" max="9741" width="2.28515625" style="252" customWidth="1"/>
    <col min="9742" max="9742" width="13.5703125" style="252" customWidth="1"/>
    <col min="9743" max="9743" width="2.28515625" style="252" customWidth="1"/>
    <col min="9744" max="9744" width="13.5703125" style="252" customWidth="1"/>
    <col min="9745" max="9745" width="2.28515625" style="252" customWidth="1"/>
    <col min="9746" max="9746" width="13.5703125" style="252" customWidth="1"/>
    <col min="9747" max="9747" width="3.28515625" style="252" customWidth="1"/>
    <col min="9748" max="9748" width="3.5703125" style="252" customWidth="1"/>
    <col min="9749" max="9749" width="11.28515625" style="252" customWidth="1"/>
    <col min="9750" max="9750" width="11.7109375" style="252" bestFit="1" customWidth="1"/>
    <col min="9751" max="9751" width="40.28515625" style="252" bestFit="1" customWidth="1"/>
    <col min="9752" max="9752" width="2.28515625" style="252" customWidth="1"/>
    <col min="9753" max="9753" width="9.5703125" style="252" customWidth="1"/>
    <col min="9754" max="9754" width="2.28515625" style="252" customWidth="1"/>
    <col min="9755" max="9755" width="13.5703125" style="252" customWidth="1"/>
    <col min="9756" max="9756" width="2.28515625" style="252" customWidth="1"/>
    <col min="9757" max="9757" width="13.5703125" style="252" customWidth="1"/>
    <col min="9758" max="9758" width="2.28515625" style="252" customWidth="1"/>
    <col min="9759" max="9759" width="13.5703125" style="252" customWidth="1"/>
    <col min="9760" max="9760" width="2.28515625" style="252" customWidth="1"/>
    <col min="9761" max="9761" width="13.5703125" style="252" customWidth="1"/>
    <col min="9762" max="9762" width="2.28515625" style="252" customWidth="1"/>
    <col min="9763" max="9763" width="13.5703125" style="252" customWidth="1"/>
    <col min="9764" max="9764" width="2.28515625" style="252" customWidth="1"/>
    <col min="9765" max="9766" width="13.5703125" style="252" customWidth="1"/>
    <col min="9767" max="9984" width="9.140625" style="252"/>
    <col min="9985" max="9985" width="3.5703125" style="252" customWidth="1"/>
    <col min="9986" max="9986" width="6.7109375" style="252" bestFit="1" customWidth="1"/>
    <col min="9987" max="9987" width="10.7109375" style="252" bestFit="1" customWidth="1"/>
    <col min="9988" max="9988" width="40.28515625" style="252" bestFit="1" customWidth="1"/>
    <col min="9989" max="9989" width="2.28515625" style="252" customWidth="1"/>
    <col min="9990" max="9990" width="9.5703125" style="252" customWidth="1"/>
    <col min="9991" max="9991" width="2.28515625" style="252" customWidth="1"/>
    <col min="9992" max="9992" width="13.5703125" style="252" customWidth="1"/>
    <col min="9993" max="9993" width="2.28515625" style="252" customWidth="1"/>
    <col min="9994" max="9994" width="13.5703125" style="252" customWidth="1"/>
    <col min="9995" max="9995" width="2.28515625" style="252" customWidth="1"/>
    <col min="9996" max="9996" width="13.5703125" style="252" customWidth="1"/>
    <col min="9997" max="9997" width="2.28515625" style="252" customWidth="1"/>
    <col min="9998" max="9998" width="13.5703125" style="252" customWidth="1"/>
    <col min="9999" max="9999" width="2.28515625" style="252" customWidth="1"/>
    <col min="10000" max="10000" width="13.5703125" style="252" customWidth="1"/>
    <col min="10001" max="10001" width="2.28515625" style="252" customWidth="1"/>
    <col min="10002" max="10002" width="13.5703125" style="252" customWidth="1"/>
    <col min="10003" max="10003" width="3.28515625" style="252" customWidth="1"/>
    <col min="10004" max="10004" width="3.5703125" style="252" customWidth="1"/>
    <col min="10005" max="10005" width="11.28515625" style="252" customWidth="1"/>
    <col min="10006" max="10006" width="11.7109375" style="252" bestFit="1" customWidth="1"/>
    <col min="10007" max="10007" width="40.28515625" style="252" bestFit="1" customWidth="1"/>
    <col min="10008" max="10008" width="2.28515625" style="252" customWidth="1"/>
    <col min="10009" max="10009" width="9.5703125" style="252" customWidth="1"/>
    <col min="10010" max="10010" width="2.28515625" style="252" customWidth="1"/>
    <col min="10011" max="10011" width="13.5703125" style="252" customWidth="1"/>
    <col min="10012" max="10012" width="2.28515625" style="252" customWidth="1"/>
    <col min="10013" max="10013" width="13.5703125" style="252" customWidth="1"/>
    <col min="10014" max="10014" width="2.28515625" style="252" customWidth="1"/>
    <col min="10015" max="10015" width="13.5703125" style="252" customWidth="1"/>
    <col min="10016" max="10016" width="2.28515625" style="252" customWidth="1"/>
    <col min="10017" max="10017" width="13.5703125" style="252" customWidth="1"/>
    <col min="10018" max="10018" width="2.28515625" style="252" customWidth="1"/>
    <col min="10019" max="10019" width="13.5703125" style="252" customWidth="1"/>
    <col min="10020" max="10020" width="2.28515625" style="252" customWidth="1"/>
    <col min="10021" max="10022" width="13.5703125" style="252" customWidth="1"/>
    <col min="10023" max="10240" width="9.140625" style="252"/>
    <col min="10241" max="10241" width="3.5703125" style="252" customWidth="1"/>
    <col min="10242" max="10242" width="6.7109375" style="252" bestFit="1" customWidth="1"/>
    <col min="10243" max="10243" width="10.7109375" style="252" bestFit="1" customWidth="1"/>
    <col min="10244" max="10244" width="40.28515625" style="252" bestFit="1" customWidth="1"/>
    <col min="10245" max="10245" width="2.28515625" style="252" customWidth="1"/>
    <col min="10246" max="10246" width="9.5703125" style="252" customWidth="1"/>
    <col min="10247" max="10247" width="2.28515625" style="252" customWidth="1"/>
    <col min="10248" max="10248" width="13.5703125" style="252" customWidth="1"/>
    <col min="10249" max="10249" width="2.28515625" style="252" customWidth="1"/>
    <col min="10250" max="10250" width="13.5703125" style="252" customWidth="1"/>
    <col min="10251" max="10251" width="2.28515625" style="252" customWidth="1"/>
    <col min="10252" max="10252" width="13.5703125" style="252" customWidth="1"/>
    <col min="10253" max="10253" width="2.28515625" style="252" customWidth="1"/>
    <col min="10254" max="10254" width="13.5703125" style="252" customWidth="1"/>
    <col min="10255" max="10255" width="2.28515625" style="252" customWidth="1"/>
    <col min="10256" max="10256" width="13.5703125" style="252" customWidth="1"/>
    <col min="10257" max="10257" width="2.28515625" style="252" customWidth="1"/>
    <col min="10258" max="10258" width="13.5703125" style="252" customWidth="1"/>
    <col min="10259" max="10259" width="3.28515625" style="252" customWidth="1"/>
    <col min="10260" max="10260" width="3.5703125" style="252" customWidth="1"/>
    <col min="10261" max="10261" width="11.28515625" style="252" customWidth="1"/>
    <col min="10262" max="10262" width="11.7109375" style="252" bestFit="1" customWidth="1"/>
    <col min="10263" max="10263" width="40.28515625" style="252" bestFit="1" customWidth="1"/>
    <col min="10264" max="10264" width="2.28515625" style="252" customWidth="1"/>
    <col min="10265" max="10265" width="9.5703125" style="252" customWidth="1"/>
    <col min="10266" max="10266" width="2.28515625" style="252" customWidth="1"/>
    <col min="10267" max="10267" width="13.5703125" style="252" customWidth="1"/>
    <col min="10268" max="10268" width="2.28515625" style="252" customWidth="1"/>
    <col min="10269" max="10269" width="13.5703125" style="252" customWidth="1"/>
    <col min="10270" max="10270" width="2.28515625" style="252" customWidth="1"/>
    <col min="10271" max="10271" width="13.5703125" style="252" customWidth="1"/>
    <col min="10272" max="10272" width="2.28515625" style="252" customWidth="1"/>
    <col min="10273" max="10273" width="13.5703125" style="252" customWidth="1"/>
    <col min="10274" max="10274" width="2.28515625" style="252" customWidth="1"/>
    <col min="10275" max="10275" width="13.5703125" style="252" customWidth="1"/>
    <col min="10276" max="10276" width="2.28515625" style="252" customWidth="1"/>
    <col min="10277" max="10278" width="13.5703125" style="252" customWidth="1"/>
    <col min="10279" max="10496" width="9.140625" style="252"/>
    <col min="10497" max="10497" width="3.5703125" style="252" customWidth="1"/>
    <col min="10498" max="10498" width="6.7109375" style="252" bestFit="1" customWidth="1"/>
    <col min="10499" max="10499" width="10.7109375" style="252" bestFit="1" customWidth="1"/>
    <col min="10500" max="10500" width="40.28515625" style="252" bestFit="1" customWidth="1"/>
    <col min="10501" max="10501" width="2.28515625" style="252" customWidth="1"/>
    <col min="10502" max="10502" width="9.5703125" style="252" customWidth="1"/>
    <col min="10503" max="10503" width="2.28515625" style="252" customWidth="1"/>
    <col min="10504" max="10504" width="13.5703125" style="252" customWidth="1"/>
    <col min="10505" max="10505" width="2.28515625" style="252" customWidth="1"/>
    <col min="10506" max="10506" width="13.5703125" style="252" customWidth="1"/>
    <col min="10507" max="10507" width="2.28515625" style="252" customWidth="1"/>
    <col min="10508" max="10508" width="13.5703125" style="252" customWidth="1"/>
    <col min="10509" max="10509" width="2.28515625" style="252" customWidth="1"/>
    <col min="10510" max="10510" width="13.5703125" style="252" customWidth="1"/>
    <col min="10511" max="10511" width="2.28515625" style="252" customWidth="1"/>
    <col min="10512" max="10512" width="13.5703125" style="252" customWidth="1"/>
    <col min="10513" max="10513" width="2.28515625" style="252" customWidth="1"/>
    <col min="10514" max="10514" width="13.5703125" style="252" customWidth="1"/>
    <col min="10515" max="10515" width="3.28515625" style="252" customWidth="1"/>
    <col min="10516" max="10516" width="3.5703125" style="252" customWidth="1"/>
    <col min="10517" max="10517" width="11.28515625" style="252" customWidth="1"/>
    <col min="10518" max="10518" width="11.7109375" style="252" bestFit="1" customWidth="1"/>
    <col min="10519" max="10519" width="40.28515625" style="252" bestFit="1" customWidth="1"/>
    <col min="10520" max="10520" width="2.28515625" style="252" customWidth="1"/>
    <col min="10521" max="10521" width="9.5703125" style="252" customWidth="1"/>
    <col min="10522" max="10522" width="2.28515625" style="252" customWidth="1"/>
    <col min="10523" max="10523" width="13.5703125" style="252" customWidth="1"/>
    <col min="10524" max="10524" width="2.28515625" style="252" customWidth="1"/>
    <col min="10525" max="10525" width="13.5703125" style="252" customWidth="1"/>
    <col min="10526" max="10526" width="2.28515625" style="252" customWidth="1"/>
    <col min="10527" max="10527" width="13.5703125" style="252" customWidth="1"/>
    <col min="10528" max="10528" width="2.28515625" style="252" customWidth="1"/>
    <col min="10529" max="10529" width="13.5703125" style="252" customWidth="1"/>
    <col min="10530" max="10530" width="2.28515625" style="252" customWidth="1"/>
    <col min="10531" max="10531" width="13.5703125" style="252" customWidth="1"/>
    <col min="10532" max="10532" width="2.28515625" style="252" customWidth="1"/>
    <col min="10533" max="10534" width="13.5703125" style="252" customWidth="1"/>
    <col min="10535" max="10752" width="9.140625" style="252"/>
    <col min="10753" max="10753" width="3.5703125" style="252" customWidth="1"/>
    <col min="10754" max="10754" width="6.7109375" style="252" bestFit="1" customWidth="1"/>
    <col min="10755" max="10755" width="10.7109375" style="252" bestFit="1" customWidth="1"/>
    <col min="10756" max="10756" width="40.28515625" style="252" bestFit="1" customWidth="1"/>
    <col min="10757" max="10757" width="2.28515625" style="252" customWidth="1"/>
    <col min="10758" max="10758" width="9.5703125" style="252" customWidth="1"/>
    <col min="10759" max="10759" width="2.28515625" style="252" customWidth="1"/>
    <col min="10760" max="10760" width="13.5703125" style="252" customWidth="1"/>
    <col min="10761" max="10761" width="2.28515625" style="252" customWidth="1"/>
    <col min="10762" max="10762" width="13.5703125" style="252" customWidth="1"/>
    <col min="10763" max="10763" width="2.28515625" style="252" customWidth="1"/>
    <col min="10764" max="10764" width="13.5703125" style="252" customWidth="1"/>
    <col min="10765" max="10765" width="2.28515625" style="252" customWidth="1"/>
    <col min="10766" max="10766" width="13.5703125" style="252" customWidth="1"/>
    <col min="10767" max="10767" width="2.28515625" style="252" customWidth="1"/>
    <col min="10768" max="10768" width="13.5703125" style="252" customWidth="1"/>
    <col min="10769" max="10769" width="2.28515625" style="252" customWidth="1"/>
    <col min="10770" max="10770" width="13.5703125" style="252" customWidth="1"/>
    <col min="10771" max="10771" width="3.28515625" style="252" customWidth="1"/>
    <col min="10772" max="10772" width="3.5703125" style="252" customWidth="1"/>
    <col min="10773" max="10773" width="11.28515625" style="252" customWidth="1"/>
    <col min="10774" max="10774" width="11.7109375" style="252" bestFit="1" customWidth="1"/>
    <col min="10775" max="10775" width="40.28515625" style="252" bestFit="1" customWidth="1"/>
    <col min="10776" max="10776" width="2.28515625" style="252" customWidth="1"/>
    <col min="10777" max="10777" width="9.5703125" style="252" customWidth="1"/>
    <col min="10778" max="10778" width="2.28515625" style="252" customWidth="1"/>
    <col min="10779" max="10779" width="13.5703125" style="252" customWidth="1"/>
    <col min="10780" max="10780" width="2.28515625" style="252" customWidth="1"/>
    <col min="10781" max="10781" width="13.5703125" style="252" customWidth="1"/>
    <col min="10782" max="10782" width="2.28515625" style="252" customWidth="1"/>
    <col min="10783" max="10783" width="13.5703125" style="252" customWidth="1"/>
    <col min="10784" max="10784" width="2.28515625" style="252" customWidth="1"/>
    <col min="10785" max="10785" width="13.5703125" style="252" customWidth="1"/>
    <col min="10786" max="10786" width="2.28515625" style="252" customWidth="1"/>
    <col min="10787" max="10787" width="13.5703125" style="252" customWidth="1"/>
    <col min="10788" max="10788" width="2.28515625" style="252" customWidth="1"/>
    <col min="10789" max="10790" width="13.5703125" style="252" customWidth="1"/>
    <col min="10791" max="11008" width="9.140625" style="252"/>
    <col min="11009" max="11009" width="3.5703125" style="252" customWidth="1"/>
    <col min="11010" max="11010" width="6.7109375" style="252" bestFit="1" customWidth="1"/>
    <col min="11011" max="11011" width="10.7109375" style="252" bestFit="1" customWidth="1"/>
    <col min="11012" max="11012" width="40.28515625" style="252" bestFit="1" customWidth="1"/>
    <col min="11013" max="11013" width="2.28515625" style="252" customWidth="1"/>
    <col min="11014" max="11014" width="9.5703125" style="252" customWidth="1"/>
    <col min="11015" max="11015" width="2.28515625" style="252" customWidth="1"/>
    <col min="11016" max="11016" width="13.5703125" style="252" customWidth="1"/>
    <col min="11017" max="11017" width="2.28515625" style="252" customWidth="1"/>
    <col min="11018" max="11018" width="13.5703125" style="252" customWidth="1"/>
    <col min="11019" max="11019" width="2.28515625" style="252" customWidth="1"/>
    <col min="11020" max="11020" width="13.5703125" style="252" customWidth="1"/>
    <col min="11021" max="11021" width="2.28515625" style="252" customWidth="1"/>
    <col min="11022" max="11022" width="13.5703125" style="252" customWidth="1"/>
    <col min="11023" max="11023" width="2.28515625" style="252" customWidth="1"/>
    <col min="11024" max="11024" width="13.5703125" style="252" customWidth="1"/>
    <col min="11025" max="11025" width="2.28515625" style="252" customWidth="1"/>
    <col min="11026" max="11026" width="13.5703125" style="252" customWidth="1"/>
    <col min="11027" max="11027" width="3.28515625" style="252" customWidth="1"/>
    <col min="11028" max="11028" width="3.5703125" style="252" customWidth="1"/>
    <col min="11029" max="11029" width="11.28515625" style="252" customWidth="1"/>
    <col min="11030" max="11030" width="11.7109375" style="252" bestFit="1" customWidth="1"/>
    <col min="11031" max="11031" width="40.28515625" style="252" bestFit="1" customWidth="1"/>
    <col min="11032" max="11032" width="2.28515625" style="252" customWidth="1"/>
    <col min="11033" max="11033" width="9.5703125" style="252" customWidth="1"/>
    <col min="11034" max="11034" width="2.28515625" style="252" customWidth="1"/>
    <col min="11035" max="11035" width="13.5703125" style="252" customWidth="1"/>
    <col min="11036" max="11036" width="2.28515625" style="252" customWidth="1"/>
    <col min="11037" max="11037" width="13.5703125" style="252" customWidth="1"/>
    <col min="11038" max="11038" width="2.28515625" style="252" customWidth="1"/>
    <col min="11039" max="11039" width="13.5703125" style="252" customWidth="1"/>
    <col min="11040" max="11040" width="2.28515625" style="252" customWidth="1"/>
    <col min="11041" max="11041" width="13.5703125" style="252" customWidth="1"/>
    <col min="11042" max="11042" width="2.28515625" style="252" customWidth="1"/>
    <col min="11043" max="11043" width="13.5703125" style="252" customWidth="1"/>
    <col min="11044" max="11044" width="2.28515625" style="252" customWidth="1"/>
    <col min="11045" max="11046" width="13.5703125" style="252" customWidth="1"/>
    <col min="11047" max="11264" width="9.140625" style="252"/>
    <col min="11265" max="11265" width="3.5703125" style="252" customWidth="1"/>
    <col min="11266" max="11266" width="6.7109375" style="252" bestFit="1" customWidth="1"/>
    <col min="11267" max="11267" width="10.7109375" style="252" bestFit="1" customWidth="1"/>
    <col min="11268" max="11268" width="40.28515625" style="252" bestFit="1" customWidth="1"/>
    <col min="11269" max="11269" width="2.28515625" style="252" customWidth="1"/>
    <col min="11270" max="11270" width="9.5703125" style="252" customWidth="1"/>
    <col min="11271" max="11271" width="2.28515625" style="252" customWidth="1"/>
    <col min="11272" max="11272" width="13.5703125" style="252" customWidth="1"/>
    <col min="11273" max="11273" width="2.28515625" style="252" customWidth="1"/>
    <col min="11274" max="11274" width="13.5703125" style="252" customWidth="1"/>
    <col min="11275" max="11275" width="2.28515625" style="252" customWidth="1"/>
    <col min="11276" max="11276" width="13.5703125" style="252" customWidth="1"/>
    <col min="11277" max="11277" width="2.28515625" style="252" customWidth="1"/>
    <col min="11278" max="11278" width="13.5703125" style="252" customWidth="1"/>
    <col min="11279" max="11279" width="2.28515625" style="252" customWidth="1"/>
    <col min="11280" max="11280" width="13.5703125" style="252" customWidth="1"/>
    <col min="11281" max="11281" width="2.28515625" style="252" customWidth="1"/>
    <col min="11282" max="11282" width="13.5703125" style="252" customWidth="1"/>
    <col min="11283" max="11283" width="3.28515625" style="252" customWidth="1"/>
    <col min="11284" max="11284" width="3.5703125" style="252" customWidth="1"/>
    <col min="11285" max="11285" width="11.28515625" style="252" customWidth="1"/>
    <col min="11286" max="11286" width="11.7109375" style="252" bestFit="1" customWidth="1"/>
    <col min="11287" max="11287" width="40.28515625" style="252" bestFit="1" customWidth="1"/>
    <col min="11288" max="11288" width="2.28515625" style="252" customWidth="1"/>
    <col min="11289" max="11289" width="9.5703125" style="252" customWidth="1"/>
    <col min="11290" max="11290" width="2.28515625" style="252" customWidth="1"/>
    <col min="11291" max="11291" width="13.5703125" style="252" customWidth="1"/>
    <col min="11292" max="11292" width="2.28515625" style="252" customWidth="1"/>
    <col min="11293" max="11293" width="13.5703125" style="252" customWidth="1"/>
    <col min="11294" max="11294" width="2.28515625" style="252" customWidth="1"/>
    <col min="11295" max="11295" width="13.5703125" style="252" customWidth="1"/>
    <col min="11296" max="11296" width="2.28515625" style="252" customWidth="1"/>
    <col min="11297" max="11297" width="13.5703125" style="252" customWidth="1"/>
    <col min="11298" max="11298" width="2.28515625" style="252" customWidth="1"/>
    <col min="11299" max="11299" width="13.5703125" style="252" customWidth="1"/>
    <col min="11300" max="11300" width="2.28515625" style="252" customWidth="1"/>
    <col min="11301" max="11302" width="13.5703125" style="252" customWidth="1"/>
    <col min="11303" max="11520" width="9.140625" style="252"/>
    <col min="11521" max="11521" width="3.5703125" style="252" customWidth="1"/>
    <col min="11522" max="11522" width="6.7109375" style="252" bestFit="1" customWidth="1"/>
    <col min="11523" max="11523" width="10.7109375" style="252" bestFit="1" customWidth="1"/>
    <col min="11524" max="11524" width="40.28515625" style="252" bestFit="1" customWidth="1"/>
    <col min="11525" max="11525" width="2.28515625" style="252" customWidth="1"/>
    <col min="11526" max="11526" width="9.5703125" style="252" customWidth="1"/>
    <col min="11527" max="11527" width="2.28515625" style="252" customWidth="1"/>
    <col min="11528" max="11528" width="13.5703125" style="252" customWidth="1"/>
    <col min="11529" max="11529" width="2.28515625" style="252" customWidth="1"/>
    <col min="11530" max="11530" width="13.5703125" style="252" customWidth="1"/>
    <col min="11531" max="11531" width="2.28515625" style="252" customWidth="1"/>
    <col min="11532" max="11532" width="13.5703125" style="252" customWidth="1"/>
    <col min="11533" max="11533" width="2.28515625" style="252" customWidth="1"/>
    <col min="11534" max="11534" width="13.5703125" style="252" customWidth="1"/>
    <col min="11535" max="11535" width="2.28515625" style="252" customWidth="1"/>
    <col min="11536" max="11536" width="13.5703125" style="252" customWidth="1"/>
    <col min="11537" max="11537" width="2.28515625" style="252" customWidth="1"/>
    <col min="11538" max="11538" width="13.5703125" style="252" customWidth="1"/>
    <col min="11539" max="11539" width="3.28515625" style="252" customWidth="1"/>
    <col min="11540" max="11540" width="3.5703125" style="252" customWidth="1"/>
    <col min="11541" max="11541" width="11.28515625" style="252" customWidth="1"/>
    <col min="11542" max="11542" width="11.7109375" style="252" bestFit="1" customWidth="1"/>
    <col min="11543" max="11543" width="40.28515625" style="252" bestFit="1" customWidth="1"/>
    <col min="11544" max="11544" width="2.28515625" style="252" customWidth="1"/>
    <col min="11545" max="11545" width="9.5703125" style="252" customWidth="1"/>
    <col min="11546" max="11546" width="2.28515625" style="252" customWidth="1"/>
    <col min="11547" max="11547" width="13.5703125" style="252" customWidth="1"/>
    <col min="11548" max="11548" width="2.28515625" style="252" customWidth="1"/>
    <col min="11549" max="11549" width="13.5703125" style="252" customWidth="1"/>
    <col min="11550" max="11550" width="2.28515625" style="252" customWidth="1"/>
    <col min="11551" max="11551" width="13.5703125" style="252" customWidth="1"/>
    <col min="11552" max="11552" width="2.28515625" style="252" customWidth="1"/>
    <col min="11553" max="11553" width="13.5703125" style="252" customWidth="1"/>
    <col min="11554" max="11554" width="2.28515625" style="252" customWidth="1"/>
    <col min="11555" max="11555" width="13.5703125" style="252" customWidth="1"/>
    <col min="11556" max="11556" width="2.28515625" style="252" customWidth="1"/>
    <col min="11557" max="11558" width="13.5703125" style="252" customWidth="1"/>
    <col min="11559" max="11776" width="9.140625" style="252"/>
    <col min="11777" max="11777" width="3.5703125" style="252" customWidth="1"/>
    <col min="11778" max="11778" width="6.7109375" style="252" bestFit="1" customWidth="1"/>
    <col min="11779" max="11779" width="10.7109375" style="252" bestFit="1" customWidth="1"/>
    <col min="11780" max="11780" width="40.28515625" style="252" bestFit="1" customWidth="1"/>
    <col min="11781" max="11781" width="2.28515625" style="252" customWidth="1"/>
    <col min="11782" max="11782" width="9.5703125" style="252" customWidth="1"/>
    <col min="11783" max="11783" width="2.28515625" style="252" customWidth="1"/>
    <col min="11784" max="11784" width="13.5703125" style="252" customWidth="1"/>
    <col min="11785" max="11785" width="2.28515625" style="252" customWidth="1"/>
    <col min="11786" max="11786" width="13.5703125" style="252" customWidth="1"/>
    <col min="11787" max="11787" width="2.28515625" style="252" customWidth="1"/>
    <col min="11788" max="11788" width="13.5703125" style="252" customWidth="1"/>
    <col min="11789" max="11789" width="2.28515625" style="252" customWidth="1"/>
    <col min="11790" max="11790" width="13.5703125" style="252" customWidth="1"/>
    <col min="11791" max="11791" width="2.28515625" style="252" customWidth="1"/>
    <col min="11792" max="11792" width="13.5703125" style="252" customWidth="1"/>
    <col min="11793" max="11793" width="2.28515625" style="252" customWidth="1"/>
    <col min="11794" max="11794" width="13.5703125" style="252" customWidth="1"/>
    <col min="11795" max="11795" width="3.28515625" style="252" customWidth="1"/>
    <col min="11796" max="11796" width="3.5703125" style="252" customWidth="1"/>
    <col min="11797" max="11797" width="11.28515625" style="252" customWidth="1"/>
    <col min="11798" max="11798" width="11.7109375" style="252" bestFit="1" customWidth="1"/>
    <col min="11799" max="11799" width="40.28515625" style="252" bestFit="1" customWidth="1"/>
    <col min="11800" max="11800" width="2.28515625" style="252" customWidth="1"/>
    <col min="11801" max="11801" width="9.5703125" style="252" customWidth="1"/>
    <col min="11802" max="11802" width="2.28515625" style="252" customWidth="1"/>
    <col min="11803" max="11803" width="13.5703125" style="252" customWidth="1"/>
    <col min="11804" max="11804" width="2.28515625" style="252" customWidth="1"/>
    <col min="11805" max="11805" width="13.5703125" style="252" customWidth="1"/>
    <col min="11806" max="11806" width="2.28515625" style="252" customWidth="1"/>
    <col min="11807" max="11807" width="13.5703125" style="252" customWidth="1"/>
    <col min="11808" max="11808" width="2.28515625" style="252" customWidth="1"/>
    <col min="11809" max="11809" width="13.5703125" style="252" customWidth="1"/>
    <col min="11810" max="11810" width="2.28515625" style="252" customWidth="1"/>
    <col min="11811" max="11811" width="13.5703125" style="252" customWidth="1"/>
    <col min="11812" max="11812" width="2.28515625" style="252" customWidth="1"/>
    <col min="11813" max="11814" width="13.5703125" style="252" customWidth="1"/>
    <col min="11815" max="12032" width="9.140625" style="252"/>
    <col min="12033" max="12033" width="3.5703125" style="252" customWidth="1"/>
    <col min="12034" max="12034" width="6.7109375" style="252" bestFit="1" customWidth="1"/>
    <col min="12035" max="12035" width="10.7109375" style="252" bestFit="1" customWidth="1"/>
    <col min="12036" max="12036" width="40.28515625" style="252" bestFit="1" customWidth="1"/>
    <col min="12037" max="12037" width="2.28515625" style="252" customWidth="1"/>
    <col min="12038" max="12038" width="9.5703125" style="252" customWidth="1"/>
    <col min="12039" max="12039" width="2.28515625" style="252" customWidth="1"/>
    <col min="12040" max="12040" width="13.5703125" style="252" customWidth="1"/>
    <col min="12041" max="12041" width="2.28515625" style="252" customWidth="1"/>
    <col min="12042" max="12042" width="13.5703125" style="252" customWidth="1"/>
    <col min="12043" max="12043" width="2.28515625" style="252" customWidth="1"/>
    <col min="12044" max="12044" width="13.5703125" style="252" customWidth="1"/>
    <col min="12045" max="12045" width="2.28515625" style="252" customWidth="1"/>
    <col min="12046" max="12046" width="13.5703125" style="252" customWidth="1"/>
    <col min="12047" max="12047" width="2.28515625" style="252" customWidth="1"/>
    <col min="12048" max="12048" width="13.5703125" style="252" customWidth="1"/>
    <col min="12049" max="12049" width="2.28515625" style="252" customWidth="1"/>
    <col min="12050" max="12050" width="13.5703125" style="252" customWidth="1"/>
    <col min="12051" max="12051" width="3.28515625" style="252" customWidth="1"/>
    <col min="12052" max="12052" width="3.5703125" style="252" customWidth="1"/>
    <col min="12053" max="12053" width="11.28515625" style="252" customWidth="1"/>
    <col min="12054" max="12054" width="11.7109375" style="252" bestFit="1" customWidth="1"/>
    <col min="12055" max="12055" width="40.28515625" style="252" bestFit="1" customWidth="1"/>
    <col min="12056" max="12056" width="2.28515625" style="252" customWidth="1"/>
    <col min="12057" max="12057" width="9.5703125" style="252" customWidth="1"/>
    <col min="12058" max="12058" width="2.28515625" style="252" customWidth="1"/>
    <col min="12059" max="12059" width="13.5703125" style="252" customWidth="1"/>
    <col min="12060" max="12060" width="2.28515625" style="252" customWidth="1"/>
    <col min="12061" max="12061" width="13.5703125" style="252" customWidth="1"/>
    <col min="12062" max="12062" width="2.28515625" style="252" customWidth="1"/>
    <col min="12063" max="12063" width="13.5703125" style="252" customWidth="1"/>
    <col min="12064" max="12064" width="2.28515625" style="252" customWidth="1"/>
    <col min="12065" max="12065" width="13.5703125" style="252" customWidth="1"/>
    <col min="12066" max="12066" width="2.28515625" style="252" customWidth="1"/>
    <col min="12067" max="12067" width="13.5703125" style="252" customWidth="1"/>
    <col min="12068" max="12068" width="2.28515625" style="252" customWidth="1"/>
    <col min="12069" max="12070" width="13.5703125" style="252" customWidth="1"/>
    <col min="12071" max="12288" width="9.140625" style="252"/>
    <col min="12289" max="12289" width="3.5703125" style="252" customWidth="1"/>
    <col min="12290" max="12290" width="6.7109375" style="252" bestFit="1" customWidth="1"/>
    <col min="12291" max="12291" width="10.7109375" style="252" bestFit="1" customWidth="1"/>
    <col min="12292" max="12292" width="40.28515625" style="252" bestFit="1" customWidth="1"/>
    <col min="12293" max="12293" width="2.28515625" style="252" customWidth="1"/>
    <col min="12294" max="12294" width="9.5703125" style="252" customWidth="1"/>
    <col min="12295" max="12295" width="2.28515625" style="252" customWidth="1"/>
    <col min="12296" max="12296" width="13.5703125" style="252" customWidth="1"/>
    <col min="12297" max="12297" width="2.28515625" style="252" customWidth="1"/>
    <col min="12298" max="12298" width="13.5703125" style="252" customWidth="1"/>
    <col min="12299" max="12299" width="2.28515625" style="252" customWidth="1"/>
    <col min="12300" max="12300" width="13.5703125" style="252" customWidth="1"/>
    <col min="12301" max="12301" width="2.28515625" style="252" customWidth="1"/>
    <col min="12302" max="12302" width="13.5703125" style="252" customWidth="1"/>
    <col min="12303" max="12303" width="2.28515625" style="252" customWidth="1"/>
    <col min="12304" max="12304" width="13.5703125" style="252" customWidth="1"/>
    <col min="12305" max="12305" width="2.28515625" style="252" customWidth="1"/>
    <col min="12306" max="12306" width="13.5703125" style="252" customWidth="1"/>
    <col min="12307" max="12307" width="3.28515625" style="252" customWidth="1"/>
    <col min="12308" max="12308" width="3.5703125" style="252" customWidth="1"/>
    <col min="12309" max="12309" width="11.28515625" style="252" customWidth="1"/>
    <col min="12310" max="12310" width="11.7109375" style="252" bestFit="1" customWidth="1"/>
    <col min="12311" max="12311" width="40.28515625" style="252" bestFit="1" customWidth="1"/>
    <col min="12312" max="12312" width="2.28515625" style="252" customWidth="1"/>
    <col min="12313" max="12313" width="9.5703125" style="252" customWidth="1"/>
    <col min="12314" max="12314" width="2.28515625" style="252" customWidth="1"/>
    <col min="12315" max="12315" width="13.5703125" style="252" customWidth="1"/>
    <col min="12316" max="12316" width="2.28515625" style="252" customWidth="1"/>
    <col min="12317" max="12317" width="13.5703125" style="252" customWidth="1"/>
    <col min="12318" max="12318" width="2.28515625" style="252" customWidth="1"/>
    <col min="12319" max="12319" width="13.5703125" style="252" customWidth="1"/>
    <col min="12320" max="12320" width="2.28515625" style="252" customWidth="1"/>
    <col min="12321" max="12321" width="13.5703125" style="252" customWidth="1"/>
    <col min="12322" max="12322" width="2.28515625" style="252" customWidth="1"/>
    <col min="12323" max="12323" width="13.5703125" style="252" customWidth="1"/>
    <col min="12324" max="12324" width="2.28515625" style="252" customWidth="1"/>
    <col min="12325" max="12326" width="13.5703125" style="252" customWidth="1"/>
    <col min="12327" max="12544" width="9.140625" style="252"/>
    <col min="12545" max="12545" width="3.5703125" style="252" customWidth="1"/>
    <col min="12546" max="12546" width="6.7109375" style="252" bestFit="1" customWidth="1"/>
    <col min="12547" max="12547" width="10.7109375" style="252" bestFit="1" customWidth="1"/>
    <col min="12548" max="12548" width="40.28515625" style="252" bestFit="1" customWidth="1"/>
    <col min="12549" max="12549" width="2.28515625" style="252" customWidth="1"/>
    <col min="12550" max="12550" width="9.5703125" style="252" customWidth="1"/>
    <col min="12551" max="12551" width="2.28515625" style="252" customWidth="1"/>
    <col min="12552" max="12552" width="13.5703125" style="252" customWidth="1"/>
    <col min="12553" max="12553" width="2.28515625" style="252" customWidth="1"/>
    <col min="12554" max="12554" width="13.5703125" style="252" customWidth="1"/>
    <col min="12555" max="12555" width="2.28515625" style="252" customWidth="1"/>
    <col min="12556" max="12556" width="13.5703125" style="252" customWidth="1"/>
    <col min="12557" max="12557" width="2.28515625" style="252" customWidth="1"/>
    <col min="12558" max="12558" width="13.5703125" style="252" customWidth="1"/>
    <col min="12559" max="12559" width="2.28515625" style="252" customWidth="1"/>
    <col min="12560" max="12560" width="13.5703125" style="252" customWidth="1"/>
    <col min="12561" max="12561" width="2.28515625" style="252" customWidth="1"/>
    <col min="12562" max="12562" width="13.5703125" style="252" customWidth="1"/>
    <col min="12563" max="12563" width="3.28515625" style="252" customWidth="1"/>
    <col min="12564" max="12564" width="3.5703125" style="252" customWidth="1"/>
    <col min="12565" max="12565" width="11.28515625" style="252" customWidth="1"/>
    <col min="12566" max="12566" width="11.7109375" style="252" bestFit="1" customWidth="1"/>
    <col min="12567" max="12567" width="40.28515625" style="252" bestFit="1" customWidth="1"/>
    <col min="12568" max="12568" width="2.28515625" style="252" customWidth="1"/>
    <col min="12569" max="12569" width="9.5703125" style="252" customWidth="1"/>
    <col min="12570" max="12570" width="2.28515625" style="252" customWidth="1"/>
    <col min="12571" max="12571" width="13.5703125" style="252" customWidth="1"/>
    <col min="12572" max="12572" width="2.28515625" style="252" customWidth="1"/>
    <col min="12573" max="12573" width="13.5703125" style="252" customWidth="1"/>
    <col min="12574" max="12574" width="2.28515625" style="252" customWidth="1"/>
    <col min="12575" max="12575" width="13.5703125" style="252" customWidth="1"/>
    <col min="12576" max="12576" width="2.28515625" style="252" customWidth="1"/>
    <col min="12577" max="12577" width="13.5703125" style="252" customWidth="1"/>
    <col min="12578" max="12578" width="2.28515625" style="252" customWidth="1"/>
    <col min="12579" max="12579" width="13.5703125" style="252" customWidth="1"/>
    <col min="12580" max="12580" width="2.28515625" style="252" customWidth="1"/>
    <col min="12581" max="12582" width="13.5703125" style="252" customWidth="1"/>
    <col min="12583" max="12800" width="9.140625" style="252"/>
    <col min="12801" max="12801" width="3.5703125" style="252" customWidth="1"/>
    <col min="12802" max="12802" width="6.7109375" style="252" bestFit="1" customWidth="1"/>
    <col min="12803" max="12803" width="10.7109375" style="252" bestFit="1" customWidth="1"/>
    <col min="12804" max="12804" width="40.28515625" style="252" bestFit="1" customWidth="1"/>
    <col min="12805" max="12805" width="2.28515625" style="252" customWidth="1"/>
    <col min="12806" max="12806" width="9.5703125" style="252" customWidth="1"/>
    <col min="12807" max="12807" width="2.28515625" style="252" customWidth="1"/>
    <col min="12808" max="12808" width="13.5703125" style="252" customWidth="1"/>
    <col min="12809" max="12809" width="2.28515625" style="252" customWidth="1"/>
    <col min="12810" max="12810" width="13.5703125" style="252" customWidth="1"/>
    <col min="12811" max="12811" width="2.28515625" style="252" customWidth="1"/>
    <col min="12812" max="12812" width="13.5703125" style="252" customWidth="1"/>
    <col min="12813" max="12813" width="2.28515625" style="252" customWidth="1"/>
    <col min="12814" max="12814" width="13.5703125" style="252" customWidth="1"/>
    <col min="12815" max="12815" width="2.28515625" style="252" customWidth="1"/>
    <col min="12816" max="12816" width="13.5703125" style="252" customWidth="1"/>
    <col min="12817" max="12817" width="2.28515625" style="252" customWidth="1"/>
    <col min="12818" max="12818" width="13.5703125" style="252" customWidth="1"/>
    <col min="12819" max="12819" width="3.28515625" style="252" customWidth="1"/>
    <col min="12820" max="12820" width="3.5703125" style="252" customWidth="1"/>
    <col min="12821" max="12821" width="11.28515625" style="252" customWidth="1"/>
    <col min="12822" max="12822" width="11.7109375" style="252" bestFit="1" customWidth="1"/>
    <col min="12823" max="12823" width="40.28515625" style="252" bestFit="1" customWidth="1"/>
    <col min="12824" max="12824" width="2.28515625" style="252" customWidth="1"/>
    <col min="12825" max="12825" width="9.5703125" style="252" customWidth="1"/>
    <col min="12826" max="12826" width="2.28515625" style="252" customWidth="1"/>
    <col min="12827" max="12827" width="13.5703125" style="252" customWidth="1"/>
    <col min="12828" max="12828" width="2.28515625" style="252" customWidth="1"/>
    <col min="12829" max="12829" width="13.5703125" style="252" customWidth="1"/>
    <col min="12830" max="12830" width="2.28515625" style="252" customWidth="1"/>
    <col min="12831" max="12831" width="13.5703125" style="252" customWidth="1"/>
    <col min="12832" max="12832" width="2.28515625" style="252" customWidth="1"/>
    <col min="12833" max="12833" width="13.5703125" style="252" customWidth="1"/>
    <col min="12834" max="12834" width="2.28515625" style="252" customWidth="1"/>
    <col min="12835" max="12835" width="13.5703125" style="252" customWidth="1"/>
    <col min="12836" max="12836" width="2.28515625" style="252" customWidth="1"/>
    <col min="12837" max="12838" width="13.5703125" style="252" customWidth="1"/>
    <col min="12839" max="13056" width="9.140625" style="252"/>
    <col min="13057" max="13057" width="3.5703125" style="252" customWidth="1"/>
    <col min="13058" max="13058" width="6.7109375" style="252" bestFit="1" customWidth="1"/>
    <col min="13059" max="13059" width="10.7109375" style="252" bestFit="1" customWidth="1"/>
    <col min="13060" max="13060" width="40.28515625" style="252" bestFit="1" customWidth="1"/>
    <col min="13061" max="13061" width="2.28515625" style="252" customWidth="1"/>
    <col min="13062" max="13062" width="9.5703125" style="252" customWidth="1"/>
    <col min="13063" max="13063" width="2.28515625" style="252" customWidth="1"/>
    <col min="13064" max="13064" width="13.5703125" style="252" customWidth="1"/>
    <col min="13065" max="13065" width="2.28515625" style="252" customWidth="1"/>
    <col min="13066" max="13066" width="13.5703125" style="252" customWidth="1"/>
    <col min="13067" max="13067" width="2.28515625" style="252" customWidth="1"/>
    <col min="13068" max="13068" width="13.5703125" style="252" customWidth="1"/>
    <col min="13069" max="13069" width="2.28515625" style="252" customWidth="1"/>
    <col min="13070" max="13070" width="13.5703125" style="252" customWidth="1"/>
    <col min="13071" max="13071" width="2.28515625" style="252" customWidth="1"/>
    <col min="13072" max="13072" width="13.5703125" style="252" customWidth="1"/>
    <col min="13073" max="13073" width="2.28515625" style="252" customWidth="1"/>
    <col min="13074" max="13074" width="13.5703125" style="252" customWidth="1"/>
    <col min="13075" max="13075" width="3.28515625" style="252" customWidth="1"/>
    <col min="13076" max="13076" width="3.5703125" style="252" customWidth="1"/>
    <col min="13077" max="13077" width="11.28515625" style="252" customWidth="1"/>
    <col min="13078" max="13078" width="11.7109375" style="252" bestFit="1" customWidth="1"/>
    <col min="13079" max="13079" width="40.28515625" style="252" bestFit="1" customWidth="1"/>
    <col min="13080" max="13080" width="2.28515625" style="252" customWidth="1"/>
    <col min="13081" max="13081" width="9.5703125" style="252" customWidth="1"/>
    <col min="13082" max="13082" width="2.28515625" style="252" customWidth="1"/>
    <col min="13083" max="13083" width="13.5703125" style="252" customWidth="1"/>
    <col min="13084" max="13084" width="2.28515625" style="252" customWidth="1"/>
    <col min="13085" max="13085" width="13.5703125" style="252" customWidth="1"/>
    <col min="13086" max="13086" width="2.28515625" style="252" customWidth="1"/>
    <col min="13087" max="13087" width="13.5703125" style="252" customWidth="1"/>
    <col min="13088" max="13088" width="2.28515625" style="252" customWidth="1"/>
    <col min="13089" max="13089" width="13.5703125" style="252" customWidth="1"/>
    <col min="13090" max="13090" width="2.28515625" style="252" customWidth="1"/>
    <col min="13091" max="13091" width="13.5703125" style="252" customWidth="1"/>
    <col min="13092" max="13092" width="2.28515625" style="252" customWidth="1"/>
    <col min="13093" max="13094" width="13.5703125" style="252" customWidth="1"/>
    <col min="13095" max="13312" width="9.140625" style="252"/>
    <col min="13313" max="13313" width="3.5703125" style="252" customWidth="1"/>
    <col min="13314" max="13314" width="6.7109375" style="252" bestFit="1" customWidth="1"/>
    <col min="13315" max="13315" width="10.7109375" style="252" bestFit="1" customWidth="1"/>
    <col min="13316" max="13316" width="40.28515625" style="252" bestFit="1" customWidth="1"/>
    <col min="13317" max="13317" width="2.28515625" style="252" customWidth="1"/>
    <col min="13318" max="13318" width="9.5703125" style="252" customWidth="1"/>
    <col min="13319" max="13319" width="2.28515625" style="252" customWidth="1"/>
    <col min="13320" max="13320" width="13.5703125" style="252" customWidth="1"/>
    <col min="13321" max="13321" width="2.28515625" style="252" customWidth="1"/>
    <col min="13322" max="13322" width="13.5703125" style="252" customWidth="1"/>
    <col min="13323" max="13323" width="2.28515625" style="252" customWidth="1"/>
    <col min="13324" max="13324" width="13.5703125" style="252" customWidth="1"/>
    <col min="13325" max="13325" width="2.28515625" style="252" customWidth="1"/>
    <col min="13326" max="13326" width="13.5703125" style="252" customWidth="1"/>
    <col min="13327" max="13327" width="2.28515625" style="252" customWidth="1"/>
    <col min="13328" max="13328" width="13.5703125" style="252" customWidth="1"/>
    <col min="13329" max="13329" width="2.28515625" style="252" customWidth="1"/>
    <col min="13330" max="13330" width="13.5703125" style="252" customWidth="1"/>
    <col min="13331" max="13331" width="3.28515625" style="252" customWidth="1"/>
    <col min="13332" max="13332" width="3.5703125" style="252" customWidth="1"/>
    <col min="13333" max="13333" width="11.28515625" style="252" customWidth="1"/>
    <col min="13334" max="13334" width="11.7109375" style="252" bestFit="1" customWidth="1"/>
    <col min="13335" max="13335" width="40.28515625" style="252" bestFit="1" customWidth="1"/>
    <col min="13336" max="13336" width="2.28515625" style="252" customWidth="1"/>
    <col min="13337" max="13337" width="9.5703125" style="252" customWidth="1"/>
    <col min="13338" max="13338" width="2.28515625" style="252" customWidth="1"/>
    <col min="13339" max="13339" width="13.5703125" style="252" customWidth="1"/>
    <col min="13340" max="13340" width="2.28515625" style="252" customWidth="1"/>
    <col min="13341" max="13341" width="13.5703125" style="252" customWidth="1"/>
    <col min="13342" max="13342" width="2.28515625" style="252" customWidth="1"/>
    <col min="13343" max="13343" width="13.5703125" style="252" customWidth="1"/>
    <col min="13344" max="13344" width="2.28515625" style="252" customWidth="1"/>
    <col min="13345" max="13345" width="13.5703125" style="252" customWidth="1"/>
    <col min="13346" max="13346" width="2.28515625" style="252" customWidth="1"/>
    <col min="13347" max="13347" width="13.5703125" style="252" customWidth="1"/>
    <col min="13348" max="13348" width="2.28515625" style="252" customWidth="1"/>
    <col min="13349" max="13350" width="13.5703125" style="252" customWidth="1"/>
    <col min="13351" max="13568" width="9.140625" style="252"/>
    <col min="13569" max="13569" width="3.5703125" style="252" customWidth="1"/>
    <col min="13570" max="13570" width="6.7109375" style="252" bestFit="1" customWidth="1"/>
    <col min="13571" max="13571" width="10.7109375" style="252" bestFit="1" customWidth="1"/>
    <col min="13572" max="13572" width="40.28515625" style="252" bestFit="1" customWidth="1"/>
    <col min="13573" max="13573" width="2.28515625" style="252" customWidth="1"/>
    <col min="13574" max="13574" width="9.5703125" style="252" customWidth="1"/>
    <col min="13575" max="13575" width="2.28515625" style="252" customWidth="1"/>
    <col min="13576" max="13576" width="13.5703125" style="252" customWidth="1"/>
    <col min="13577" max="13577" width="2.28515625" style="252" customWidth="1"/>
    <col min="13578" max="13578" width="13.5703125" style="252" customWidth="1"/>
    <col min="13579" max="13579" width="2.28515625" style="252" customWidth="1"/>
    <col min="13580" max="13580" width="13.5703125" style="252" customWidth="1"/>
    <col min="13581" max="13581" width="2.28515625" style="252" customWidth="1"/>
    <col min="13582" max="13582" width="13.5703125" style="252" customWidth="1"/>
    <col min="13583" max="13583" width="2.28515625" style="252" customWidth="1"/>
    <col min="13584" max="13584" width="13.5703125" style="252" customWidth="1"/>
    <col min="13585" max="13585" width="2.28515625" style="252" customWidth="1"/>
    <col min="13586" max="13586" width="13.5703125" style="252" customWidth="1"/>
    <col min="13587" max="13587" width="3.28515625" style="252" customWidth="1"/>
    <col min="13588" max="13588" width="3.5703125" style="252" customWidth="1"/>
    <col min="13589" max="13589" width="11.28515625" style="252" customWidth="1"/>
    <col min="13590" max="13590" width="11.7109375" style="252" bestFit="1" customWidth="1"/>
    <col min="13591" max="13591" width="40.28515625" style="252" bestFit="1" customWidth="1"/>
    <col min="13592" max="13592" width="2.28515625" style="252" customWidth="1"/>
    <col min="13593" max="13593" width="9.5703125" style="252" customWidth="1"/>
    <col min="13594" max="13594" width="2.28515625" style="252" customWidth="1"/>
    <col min="13595" max="13595" width="13.5703125" style="252" customWidth="1"/>
    <col min="13596" max="13596" width="2.28515625" style="252" customWidth="1"/>
    <col min="13597" max="13597" width="13.5703125" style="252" customWidth="1"/>
    <col min="13598" max="13598" width="2.28515625" style="252" customWidth="1"/>
    <col min="13599" max="13599" width="13.5703125" style="252" customWidth="1"/>
    <col min="13600" max="13600" width="2.28515625" style="252" customWidth="1"/>
    <col min="13601" max="13601" width="13.5703125" style="252" customWidth="1"/>
    <col min="13602" max="13602" width="2.28515625" style="252" customWidth="1"/>
    <col min="13603" max="13603" width="13.5703125" style="252" customWidth="1"/>
    <col min="13604" max="13604" width="2.28515625" style="252" customWidth="1"/>
    <col min="13605" max="13606" width="13.5703125" style="252" customWidth="1"/>
    <col min="13607" max="13824" width="9.140625" style="252"/>
    <col min="13825" max="13825" width="3.5703125" style="252" customWidth="1"/>
    <col min="13826" max="13826" width="6.7109375" style="252" bestFit="1" customWidth="1"/>
    <col min="13827" max="13827" width="10.7109375" style="252" bestFit="1" customWidth="1"/>
    <col min="13828" max="13828" width="40.28515625" style="252" bestFit="1" customWidth="1"/>
    <col min="13829" max="13829" width="2.28515625" style="252" customWidth="1"/>
    <col min="13830" max="13830" width="9.5703125" style="252" customWidth="1"/>
    <col min="13831" max="13831" width="2.28515625" style="252" customWidth="1"/>
    <col min="13832" max="13832" width="13.5703125" style="252" customWidth="1"/>
    <col min="13833" max="13833" width="2.28515625" style="252" customWidth="1"/>
    <col min="13834" max="13834" width="13.5703125" style="252" customWidth="1"/>
    <col min="13835" max="13835" width="2.28515625" style="252" customWidth="1"/>
    <col min="13836" max="13836" width="13.5703125" style="252" customWidth="1"/>
    <col min="13837" max="13837" width="2.28515625" style="252" customWidth="1"/>
    <col min="13838" max="13838" width="13.5703125" style="252" customWidth="1"/>
    <col min="13839" max="13839" width="2.28515625" style="252" customWidth="1"/>
    <col min="13840" max="13840" width="13.5703125" style="252" customWidth="1"/>
    <col min="13841" max="13841" width="2.28515625" style="252" customWidth="1"/>
    <col min="13842" max="13842" width="13.5703125" style="252" customWidth="1"/>
    <col min="13843" max="13843" width="3.28515625" style="252" customWidth="1"/>
    <col min="13844" max="13844" width="3.5703125" style="252" customWidth="1"/>
    <col min="13845" max="13845" width="11.28515625" style="252" customWidth="1"/>
    <col min="13846" max="13846" width="11.7109375" style="252" bestFit="1" customWidth="1"/>
    <col min="13847" max="13847" width="40.28515625" style="252" bestFit="1" customWidth="1"/>
    <col min="13848" max="13848" width="2.28515625" style="252" customWidth="1"/>
    <col min="13849" max="13849" width="9.5703125" style="252" customWidth="1"/>
    <col min="13850" max="13850" width="2.28515625" style="252" customWidth="1"/>
    <col min="13851" max="13851" width="13.5703125" style="252" customWidth="1"/>
    <col min="13852" max="13852" width="2.28515625" style="252" customWidth="1"/>
    <col min="13853" max="13853" width="13.5703125" style="252" customWidth="1"/>
    <col min="13854" max="13854" width="2.28515625" style="252" customWidth="1"/>
    <col min="13855" max="13855" width="13.5703125" style="252" customWidth="1"/>
    <col min="13856" max="13856" width="2.28515625" style="252" customWidth="1"/>
    <col min="13857" max="13857" width="13.5703125" style="252" customWidth="1"/>
    <col min="13858" max="13858" width="2.28515625" style="252" customWidth="1"/>
    <col min="13859" max="13859" width="13.5703125" style="252" customWidth="1"/>
    <col min="13860" max="13860" width="2.28515625" style="252" customWidth="1"/>
    <col min="13861" max="13862" width="13.5703125" style="252" customWidth="1"/>
    <col min="13863" max="14080" width="9.140625" style="252"/>
    <col min="14081" max="14081" width="3.5703125" style="252" customWidth="1"/>
    <col min="14082" max="14082" width="6.7109375" style="252" bestFit="1" customWidth="1"/>
    <col min="14083" max="14083" width="10.7109375" style="252" bestFit="1" customWidth="1"/>
    <col min="14084" max="14084" width="40.28515625" style="252" bestFit="1" customWidth="1"/>
    <col min="14085" max="14085" width="2.28515625" style="252" customWidth="1"/>
    <col min="14086" max="14086" width="9.5703125" style="252" customWidth="1"/>
    <col min="14087" max="14087" width="2.28515625" style="252" customWidth="1"/>
    <col min="14088" max="14088" width="13.5703125" style="252" customWidth="1"/>
    <col min="14089" max="14089" width="2.28515625" style="252" customWidth="1"/>
    <col min="14090" max="14090" width="13.5703125" style="252" customWidth="1"/>
    <col min="14091" max="14091" width="2.28515625" style="252" customWidth="1"/>
    <col min="14092" max="14092" width="13.5703125" style="252" customWidth="1"/>
    <col min="14093" max="14093" width="2.28515625" style="252" customWidth="1"/>
    <col min="14094" max="14094" width="13.5703125" style="252" customWidth="1"/>
    <col min="14095" max="14095" width="2.28515625" style="252" customWidth="1"/>
    <col min="14096" max="14096" width="13.5703125" style="252" customWidth="1"/>
    <col min="14097" max="14097" width="2.28515625" style="252" customWidth="1"/>
    <col min="14098" max="14098" width="13.5703125" style="252" customWidth="1"/>
    <col min="14099" max="14099" width="3.28515625" style="252" customWidth="1"/>
    <col min="14100" max="14100" width="3.5703125" style="252" customWidth="1"/>
    <col min="14101" max="14101" width="11.28515625" style="252" customWidth="1"/>
    <col min="14102" max="14102" width="11.7109375" style="252" bestFit="1" customWidth="1"/>
    <col min="14103" max="14103" width="40.28515625" style="252" bestFit="1" customWidth="1"/>
    <col min="14104" max="14104" width="2.28515625" style="252" customWidth="1"/>
    <col min="14105" max="14105" width="9.5703125" style="252" customWidth="1"/>
    <col min="14106" max="14106" width="2.28515625" style="252" customWidth="1"/>
    <col min="14107" max="14107" width="13.5703125" style="252" customWidth="1"/>
    <col min="14108" max="14108" width="2.28515625" style="252" customWidth="1"/>
    <col min="14109" max="14109" width="13.5703125" style="252" customWidth="1"/>
    <col min="14110" max="14110" width="2.28515625" style="252" customWidth="1"/>
    <col min="14111" max="14111" width="13.5703125" style="252" customWidth="1"/>
    <col min="14112" max="14112" width="2.28515625" style="252" customWidth="1"/>
    <col min="14113" max="14113" width="13.5703125" style="252" customWidth="1"/>
    <col min="14114" max="14114" width="2.28515625" style="252" customWidth="1"/>
    <col min="14115" max="14115" width="13.5703125" style="252" customWidth="1"/>
    <col min="14116" max="14116" width="2.28515625" style="252" customWidth="1"/>
    <col min="14117" max="14118" width="13.5703125" style="252" customWidth="1"/>
    <col min="14119" max="14336" width="9.140625" style="252"/>
    <col min="14337" max="14337" width="3.5703125" style="252" customWidth="1"/>
    <col min="14338" max="14338" width="6.7109375" style="252" bestFit="1" customWidth="1"/>
    <col min="14339" max="14339" width="10.7109375" style="252" bestFit="1" customWidth="1"/>
    <col min="14340" max="14340" width="40.28515625" style="252" bestFit="1" customWidth="1"/>
    <col min="14341" max="14341" width="2.28515625" style="252" customWidth="1"/>
    <col min="14342" max="14342" width="9.5703125" style="252" customWidth="1"/>
    <col min="14343" max="14343" width="2.28515625" style="252" customWidth="1"/>
    <col min="14344" max="14344" width="13.5703125" style="252" customWidth="1"/>
    <col min="14345" max="14345" width="2.28515625" style="252" customWidth="1"/>
    <col min="14346" max="14346" width="13.5703125" style="252" customWidth="1"/>
    <col min="14347" max="14347" width="2.28515625" style="252" customWidth="1"/>
    <col min="14348" max="14348" width="13.5703125" style="252" customWidth="1"/>
    <col min="14349" max="14349" width="2.28515625" style="252" customWidth="1"/>
    <col min="14350" max="14350" width="13.5703125" style="252" customWidth="1"/>
    <col min="14351" max="14351" width="2.28515625" style="252" customWidth="1"/>
    <col min="14352" max="14352" width="13.5703125" style="252" customWidth="1"/>
    <col min="14353" max="14353" width="2.28515625" style="252" customWidth="1"/>
    <col min="14354" max="14354" width="13.5703125" style="252" customWidth="1"/>
    <col min="14355" max="14355" width="3.28515625" style="252" customWidth="1"/>
    <col min="14356" max="14356" width="3.5703125" style="252" customWidth="1"/>
    <col min="14357" max="14357" width="11.28515625" style="252" customWidth="1"/>
    <col min="14358" max="14358" width="11.7109375" style="252" bestFit="1" customWidth="1"/>
    <col min="14359" max="14359" width="40.28515625" style="252" bestFit="1" customWidth="1"/>
    <col min="14360" max="14360" width="2.28515625" style="252" customWidth="1"/>
    <col min="14361" max="14361" width="9.5703125" style="252" customWidth="1"/>
    <col min="14362" max="14362" width="2.28515625" style="252" customWidth="1"/>
    <col min="14363" max="14363" width="13.5703125" style="252" customWidth="1"/>
    <col min="14364" max="14364" width="2.28515625" style="252" customWidth="1"/>
    <col min="14365" max="14365" width="13.5703125" style="252" customWidth="1"/>
    <col min="14366" max="14366" width="2.28515625" style="252" customWidth="1"/>
    <col min="14367" max="14367" width="13.5703125" style="252" customWidth="1"/>
    <col min="14368" max="14368" width="2.28515625" style="252" customWidth="1"/>
    <col min="14369" max="14369" width="13.5703125" style="252" customWidth="1"/>
    <col min="14370" max="14370" width="2.28515625" style="252" customWidth="1"/>
    <col min="14371" max="14371" width="13.5703125" style="252" customWidth="1"/>
    <col min="14372" max="14372" width="2.28515625" style="252" customWidth="1"/>
    <col min="14373" max="14374" width="13.5703125" style="252" customWidth="1"/>
    <col min="14375" max="14592" width="9.140625" style="252"/>
    <col min="14593" max="14593" width="3.5703125" style="252" customWidth="1"/>
    <col min="14594" max="14594" width="6.7109375" style="252" bestFit="1" customWidth="1"/>
    <col min="14595" max="14595" width="10.7109375" style="252" bestFit="1" customWidth="1"/>
    <col min="14596" max="14596" width="40.28515625" style="252" bestFit="1" customWidth="1"/>
    <col min="14597" max="14597" width="2.28515625" style="252" customWidth="1"/>
    <col min="14598" max="14598" width="9.5703125" style="252" customWidth="1"/>
    <col min="14599" max="14599" width="2.28515625" style="252" customWidth="1"/>
    <col min="14600" max="14600" width="13.5703125" style="252" customWidth="1"/>
    <col min="14601" max="14601" width="2.28515625" style="252" customWidth="1"/>
    <col min="14602" max="14602" width="13.5703125" style="252" customWidth="1"/>
    <col min="14603" max="14603" width="2.28515625" style="252" customWidth="1"/>
    <col min="14604" max="14604" width="13.5703125" style="252" customWidth="1"/>
    <col min="14605" max="14605" width="2.28515625" style="252" customWidth="1"/>
    <col min="14606" max="14606" width="13.5703125" style="252" customWidth="1"/>
    <col min="14607" max="14607" width="2.28515625" style="252" customWidth="1"/>
    <col min="14608" max="14608" width="13.5703125" style="252" customWidth="1"/>
    <col min="14609" max="14609" width="2.28515625" style="252" customWidth="1"/>
    <col min="14610" max="14610" width="13.5703125" style="252" customWidth="1"/>
    <col min="14611" max="14611" width="3.28515625" style="252" customWidth="1"/>
    <col min="14612" max="14612" width="3.5703125" style="252" customWidth="1"/>
    <col min="14613" max="14613" width="11.28515625" style="252" customWidth="1"/>
    <col min="14614" max="14614" width="11.7109375" style="252" bestFit="1" customWidth="1"/>
    <col min="14615" max="14615" width="40.28515625" style="252" bestFit="1" customWidth="1"/>
    <col min="14616" max="14616" width="2.28515625" style="252" customWidth="1"/>
    <col min="14617" max="14617" width="9.5703125" style="252" customWidth="1"/>
    <col min="14618" max="14618" width="2.28515625" style="252" customWidth="1"/>
    <col min="14619" max="14619" width="13.5703125" style="252" customWidth="1"/>
    <col min="14620" max="14620" width="2.28515625" style="252" customWidth="1"/>
    <col min="14621" max="14621" width="13.5703125" style="252" customWidth="1"/>
    <col min="14622" max="14622" width="2.28515625" style="252" customWidth="1"/>
    <col min="14623" max="14623" width="13.5703125" style="252" customWidth="1"/>
    <col min="14624" max="14624" width="2.28515625" style="252" customWidth="1"/>
    <col min="14625" max="14625" width="13.5703125" style="252" customWidth="1"/>
    <col min="14626" max="14626" width="2.28515625" style="252" customWidth="1"/>
    <col min="14627" max="14627" width="13.5703125" style="252" customWidth="1"/>
    <col min="14628" max="14628" width="2.28515625" style="252" customWidth="1"/>
    <col min="14629" max="14630" width="13.5703125" style="252" customWidth="1"/>
    <col min="14631" max="14848" width="9.140625" style="252"/>
    <col min="14849" max="14849" width="3.5703125" style="252" customWidth="1"/>
    <col min="14850" max="14850" width="6.7109375" style="252" bestFit="1" customWidth="1"/>
    <col min="14851" max="14851" width="10.7109375" style="252" bestFit="1" customWidth="1"/>
    <col min="14852" max="14852" width="40.28515625" style="252" bestFit="1" customWidth="1"/>
    <col min="14853" max="14853" width="2.28515625" style="252" customWidth="1"/>
    <col min="14854" max="14854" width="9.5703125" style="252" customWidth="1"/>
    <col min="14855" max="14855" width="2.28515625" style="252" customWidth="1"/>
    <col min="14856" max="14856" width="13.5703125" style="252" customWidth="1"/>
    <col min="14857" max="14857" width="2.28515625" style="252" customWidth="1"/>
    <col min="14858" max="14858" width="13.5703125" style="252" customWidth="1"/>
    <col min="14859" max="14859" width="2.28515625" style="252" customWidth="1"/>
    <col min="14860" max="14860" width="13.5703125" style="252" customWidth="1"/>
    <col min="14861" max="14861" width="2.28515625" style="252" customWidth="1"/>
    <col min="14862" max="14862" width="13.5703125" style="252" customWidth="1"/>
    <col min="14863" max="14863" width="2.28515625" style="252" customWidth="1"/>
    <col min="14864" max="14864" width="13.5703125" style="252" customWidth="1"/>
    <col min="14865" max="14865" width="2.28515625" style="252" customWidth="1"/>
    <col min="14866" max="14866" width="13.5703125" style="252" customWidth="1"/>
    <col min="14867" max="14867" width="3.28515625" style="252" customWidth="1"/>
    <col min="14868" max="14868" width="3.5703125" style="252" customWidth="1"/>
    <col min="14869" max="14869" width="11.28515625" style="252" customWidth="1"/>
    <col min="14870" max="14870" width="11.7109375" style="252" bestFit="1" customWidth="1"/>
    <col min="14871" max="14871" width="40.28515625" style="252" bestFit="1" customWidth="1"/>
    <col min="14872" max="14872" width="2.28515625" style="252" customWidth="1"/>
    <col min="14873" max="14873" width="9.5703125" style="252" customWidth="1"/>
    <col min="14874" max="14874" width="2.28515625" style="252" customWidth="1"/>
    <col min="14875" max="14875" width="13.5703125" style="252" customWidth="1"/>
    <col min="14876" max="14876" width="2.28515625" style="252" customWidth="1"/>
    <col min="14877" max="14877" width="13.5703125" style="252" customWidth="1"/>
    <col min="14878" max="14878" width="2.28515625" style="252" customWidth="1"/>
    <col min="14879" max="14879" width="13.5703125" style="252" customWidth="1"/>
    <col min="14880" max="14880" width="2.28515625" style="252" customWidth="1"/>
    <col min="14881" max="14881" width="13.5703125" style="252" customWidth="1"/>
    <col min="14882" max="14882" width="2.28515625" style="252" customWidth="1"/>
    <col min="14883" max="14883" width="13.5703125" style="252" customWidth="1"/>
    <col min="14884" max="14884" width="2.28515625" style="252" customWidth="1"/>
    <col min="14885" max="14886" width="13.5703125" style="252" customWidth="1"/>
    <col min="14887" max="15104" width="9.140625" style="252"/>
    <col min="15105" max="15105" width="3.5703125" style="252" customWidth="1"/>
    <col min="15106" max="15106" width="6.7109375" style="252" bestFit="1" customWidth="1"/>
    <col min="15107" max="15107" width="10.7109375" style="252" bestFit="1" customWidth="1"/>
    <col min="15108" max="15108" width="40.28515625" style="252" bestFit="1" customWidth="1"/>
    <col min="15109" max="15109" width="2.28515625" style="252" customWidth="1"/>
    <col min="15110" max="15110" width="9.5703125" style="252" customWidth="1"/>
    <col min="15111" max="15111" width="2.28515625" style="252" customWidth="1"/>
    <col min="15112" max="15112" width="13.5703125" style="252" customWidth="1"/>
    <col min="15113" max="15113" width="2.28515625" style="252" customWidth="1"/>
    <col min="15114" max="15114" width="13.5703125" style="252" customWidth="1"/>
    <col min="15115" max="15115" width="2.28515625" style="252" customWidth="1"/>
    <col min="15116" max="15116" width="13.5703125" style="252" customWidth="1"/>
    <col min="15117" max="15117" width="2.28515625" style="252" customWidth="1"/>
    <col min="15118" max="15118" width="13.5703125" style="252" customWidth="1"/>
    <col min="15119" max="15119" width="2.28515625" style="252" customWidth="1"/>
    <col min="15120" max="15120" width="13.5703125" style="252" customWidth="1"/>
    <col min="15121" max="15121" width="2.28515625" style="252" customWidth="1"/>
    <col min="15122" max="15122" width="13.5703125" style="252" customWidth="1"/>
    <col min="15123" max="15123" width="3.28515625" style="252" customWidth="1"/>
    <col min="15124" max="15124" width="3.5703125" style="252" customWidth="1"/>
    <col min="15125" max="15125" width="11.28515625" style="252" customWidth="1"/>
    <col min="15126" max="15126" width="11.7109375" style="252" bestFit="1" customWidth="1"/>
    <col min="15127" max="15127" width="40.28515625" style="252" bestFit="1" customWidth="1"/>
    <col min="15128" max="15128" width="2.28515625" style="252" customWidth="1"/>
    <col min="15129" max="15129" width="9.5703125" style="252" customWidth="1"/>
    <col min="15130" max="15130" width="2.28515625" style="252" customWidth="1"/>
    <col min="15131" max="15131" width="13.5703125" style="252" customWidth="1"/>
    <col min="15132" max="15132" width="2.28515625" style="252" customWidth="1"/>
    <col min="15133" max="15133" width="13.5703125" style="252" customWidth="1"/>
    <col min="15134" max="15134" width="2.28515625" style="252" customWidth="1"/>
    <col min="15135" max="15135" width="13.5703125" style="252" customWidth="1"/>
    <col min="15136" max="15136" width="2.28515625" style="252" customWidth="1"/>
    <col min="15137" max="15137" width="13.5703125" style="252" customWidth="1"/>
    <col min="15138" max="15138" width="2.28515625" style="252" customWidth="1"/>
    <col min="15139" max="15139" width="13.5703125" style="252" customWidth="1"/>
    <col min="15140" max="15140" width="2.28515625" style="252" customWidth="1"/>
    <col min="15141" max="15142" width="13.5703125" style="252" customWidth="1"/>
    <col min="15143" max="15360" width="9.140625" style="252"/>
    <col min="15361" max="15361" width="3.5703125" style="252" customWidth="1"/>
    <col min="15362" max="15362" width="6.7109375" style="252" bestFit="1" customWidth="1"/>
    <col min="15363" max="15363" width="10.7109375" style="252" bestFit="1" customWidth="1"/>
    <col min="15364" max="15364" width="40.28515625" style="252" bestFit="1" customWidth="1"/>
    <col min="15365" max="15365" width="2.28515625" style="252" customWidth="1"/>
    <col min="15366" max="15366" width="9.5703125" style="252" customWidth="1"/>
    <col min="15367" max="15367" width="2.28515625" style="252" customWidth="1"/>
    <col min="15368" max="15368" width="13.5703125" style="252" customWidth="1"/>
    <col min="15369" max="15369" width="2.28515625" style="252" customWidth="1"/>
    <col min="15370" max="15370" width="13.5703125" style="252" customWidth="1"/>
    <col min="15371" max="15371" width="2.28515625" style="252" customWidth="1"/>
    <col min="15372" max="15372" width="13.5703125" style="252" customWidth="1"/>
    <col min="15373" max="15373" width="2.28515625" style="252" customWidth="1"/>
    <col min="15374" max="15374" width="13.5703125" style="252" customWidth="1"/>
    <col min="15375" max="15375" width="2.28515625" style="252" customWidth="1"/>
    <col min="15376" max="15376" width="13.5703125" style="252" customWidth="1"/>
    <col min="15377" max="15377" width="2.28515625" style="252" customWidth="1"/>
    <col min="15378" max="15378" width="13.5703125" style="252" customWidth="1"/>
    <col min="15379" max="15379" width="3.28515625" style="252" customWidth="1"/>
    <col min="15380" max="15380" width="3.5703125" style="252" customWidth="1"/>
    <col min="15381" max="15381" width="11.28515625" style="252" customWidth="1"/>
    <col min="15382" max="15382" width="11.7109375" style="252" bestFit="1" customWidth="1"/>
    <col min="15383" max="15383" width="40.28515625" style="252" bestFit="1" customWidth="1"/>
    <col min="15384" max="15384" width="2.28515625" style="252" customWidth="1"/>
    <col min="15385" max="15385" width="9.5703125" style="252" customWidth="1"/>
    <col min="15386" max="15386" width="2.28515625" style="252" customWidth="1"/>
    <col min="15387" max="15387" width="13.5703125" style="252" customWidth="1"/>
    <col min="15388" max="15388" width="2.28515625" style="252" customWidth="1"/>
    <col min="15389" max="15389" width="13.5703125" style="252" customWidth="1"/>
    <col min="15390" max="15390" width="2.28515625" style="252" customWidth="1"/>
    <col min="15391" max="15391" width="13.5703125" style="252" customWidth="1"/>
    <col min="15392" max="15392" width="2.28515625" style="252" customWidth="1"/>
    <col min="15393" max="15393" width="13.5703125" style="252" customWidth="1"/>
    <col min="15394" max="15394" width="2.28515625" style="252" customWidth="1"/>
    <col min="15395" max="15395" width="13.5703125" style="252" customWidth="1"/>
    <col min="15396" max="15396" width="2.28515625" style="252" customWidth="1"/>
    <col min="15397" max="15398" width="13.5703125" style="252" customWidth="1"/>
    <col min="15399" max="15616" width="9.140625" style="252"/>
    <col min="15617" max="15617" width="3.5703125" style="252" customWidth="1"/>
    <col min="15618" max="15618" width="6.7109375" style="252" bestFit="1" customWidth="1"/>
    <col min="15619" max="15619" width="10.7109375" style="252" bestFit="1" customWidth="1"/>
    <col min="15620" max="15620" width="40.28515625" style="252" bestFit="1" customWidth="1"/>
    <col min="15621" max="15621" width="2.28515625" style="252" customWidth="1"/>
    <col min="15622" max="15622" width="9.5703125" style="252" customWidth="1"/>
    <col min="15623" max="15623" width="2.28515625" style="252" customWidth="1"/>
    <col min="15624" max="15624" width="13.5703125" style="252" customWidth="1"/>
    <col min="15625" max="15625" width="2.28515625" style="252" customWidth="1"/>
    <col min="15626" max="15626" width="13.5703125" style="252" customWidth="1"/>
    <col min="15627" max="15627" width="2.28515625" style="252" customWidth="1"/>
    <col min="15628" max="15628" width="13.5703125" style="252" customWidth="1"/>
    <col min="15629" max="15629" width="2.28515625" style="252" customWidth="1"/>
    <col min="15630" max="15630" width="13.5703125" style="252" customWidth="1"/>
    <col min="15631" max="15631" width="2.28515625" style="252" customWidth="1"/>
    <col min="15632" max="15632" width="13.5703125" style="252" customWidth="1"/>
    <col min="15633" max="15633" width="2.28515625" style="252" customWidth="1"/>
    <col min="15634" max="15634" width="13.5703125" style="252" customWidth="1"/>
    <col min="15635" max="15635" width="3.28515625" style="252" customWidth="1"/>
    <col min="15636" max="15636" width="3.5703125" style="252" customWidth="1"/>
    <col min="15637" max="15637" width="11.28515625" style="252" customWidth="1"/>
    <col min="15638" max="15638" width="11.7109375" style="252" bestFit="1" customWidth="1"/>
    <col min="15639" max="15639" width="40.28515625" style="252" bestFit="1" customWidth="1"/>
    <col min="15640" max="15640" width="2.28515625" style="252" customWidth="1"/>
    <col min="15641" max="15641" width="9.5703125" style="252" customWidth="1"/>
    <col min="15642" max="15642" width="2.28515625" style="252" customWidth="1"/>
    <col min="15643" max="15643" width="13.5703125" style="252" customWidth="1"/>
    <col min="15644" max="15644" width="2.28515625" style="252" customWidth="1"/>
    <col min="15645" max="15645" width="13.5703125" style="252" customWidth="1"/>
    <col min="15646" max="15646" width="2.28515625" style="252" customWidth="1"/>
    <col min="15647" max="15647" width="13.5703125" style="252" customWidth="1"/>
    <col min="15648" max="15648" width="2.28515625" style="252" customWidth="1"/>
    <col min="15649" max="15649" width="13.5703125" style="252" customWidth="1"/>
    <col min="15650" max="15650" width="2.28515625" style="252" customWidth="1"/>
    <col min="15651" max="15651" width="13.5703125" style="252" customWidth="1"/>
    <col min="15652" max="15652" width="2.28515625" style="252" customWidth="1"/>
    <col min="15653" max="15654" width="13.5703125" style="252" customWidth="1"/>
    <col min="15655" max="15872" width="9.140625" style="252"/>
    <col min="15873" max="15873" width="3.5703125" style="252" customWidth="1"/>
    <col min="15874" max="15874" width="6.7109375" style="252" bestFit="1" customWidth="1"/>
    <col min="15875" max="15875" width="10.7109375" style="252" bestFit="1" customWidth="1"/>
    <col min="15876" max="15876" width="40.28515625" style="252" bestFit="1" customWidth="1"/>
    <col min="15877" max="15877" width="2.28515625" style="252" customWidth="1"/>
    <col min="15878" max="15878" width="9.5703125" style="252" customWidth="1"/>
    <col min="15879" max="15879" width="2.28515625" style="252" customWidth="1"/>
    <col min="15880" max="15880" width="13.5703125" style="252" customWidth="1"/>
    <col min="15881" max="15881" width="2.28515625" style="252" customWidth="1"/>
    <col min="15882" max="15882" width="13.5703125" style="252" customWidth="1"/>
    <col min="15883" max="15883" width="2.28515625" style="252" customWidth="1"/>
    <col min="15884" max="15884" width="13.5703125" style="252" customWidth="1"/>
    <col min="15885" max="15885" width="2.28515625" style="252" customWidth="1"/>
    <col min="15886" max="15886" width="13.5703125" style="252" customWidth="1"/>
    <col min="15887" max="15887" width="2.28515625" style="252" customWidth="1"/>
    <col min="15888" max="15888" width="13.5703125" style="252" customWidth="1"/>
    <col min="15889" max="15889" width="2.28515625" style="252" customWidth="1"/>
    <col min="15890" max="15890" width="13.5703125" style="252" customWidth="1"/>
    <col min="15891" max="15891" width="3.28515625" style="252" customWidth="1"/>
    <col min="15892" max="15892" width="3.5703125" style="252" customWidth="1"/>
    <col min="15893" max="15893" width="11.28515625" style="252" customWidth="1"/>
    <col min="15894" max="15894" width="11.7109375" style="252" bestFit="1" customWidth="1"/>
    <col min="15895" max="15895" width="40.28515625" style="252" bestFit="1" customWidth="1"/>
    <col min="15896" max="15896" width="2.28515625" style="252" customWidth="1"/>
    <col min="15897" max="15897" width="9.5703125" style="252" customWidth="1"/>
    <col min="15898" max="15898" width="2.28515625" style="252" customWidth="1"/>
    <col min="15899" max="15899" width="13.5703125" style="252" customWidth="1"/>
    <col min="15900" max="15900" width="2.28515625" style="252" customWidth="1"/>
    <col min="15901" max="15901" width="13.5703125" style="252" customWidth="1"/>
    <col min="15902" max="15902" width="2.28515625" style="252" customWidth="1"/>
    <col min="15903" max="15903" width="13.5703125" style="252" customWidth="1"/>
    <col min="15904" max="15904" width="2.28515625" style="252" customWidth="1"/>
    <col min="15905" max="15905" width="13.5703125" style="252" customWidth="1"/>
    <col min="15906" max="15906" width="2.28515625" style="252" customWidth="1"/>
    <col min="15907" max="15907" width="13.5703125" style="252" customWidth="1"/>
    <col min="15908" max="15908" width="2.28515625" style="252" customWidth="1"/>
    <col min="15909" max="15910" width="13.5703125" style="252" customWidth="1"/>
    <col min="15911" max="16128" width="9.140625" style="252"/>
    <col min="16129" max="16129" width="3.5703125" style="252" customWidth="1"/>
    <col min="16130" max="16130" width="6.7109375" style="252" bestFit="1" customWidth="1"/>
    <col min="16131" max="16131" width="10.7109375" style="252" bestFit="1" customWidth="1"/>
    <col min="16132" max="16132" width="40.28515625" style="252" bestFit="1" customWidth="1"/>
    <col min="16133" max="16133" width="2.28515625" style="252" customWidth="1"/>
    <col min="16134" max="16134" width="9.5703125" style="252" customWidth="1"/>
    <col min="16135" max="16135" width="2.28515625" style="252" customWidth="1"/>
    <col min="16136" max="16136" width="13.5703125" style="252" customWidth="1"/>
    <col min="16137" max="16137" width="2.28515625" style="252" customWidth="1"/>
    <col min="16138" max="16138" width="13.5703125" style="252" customWidth="1"/>
    <col min="16139" max="16139" width="2.28515625" style="252" customWidth="1"/>
    <col min="16140" max="16140" width="13.5703125" style="252" customWidth="1"/>
    <col min="16141" max="16141" width="2.28515625" style="252" customWidth="1"/>
    <col min="16142" max="16142" width="13.5703125" style="252" customWidth="1"/>
    <col min="16143" max="16143" width="2.28515625" style="252" customWidth="1"/>
    <col min="16144" max="16144" width="13.5703125" style="252" customWidth="1"/>
    <col min="16145" max="16145" width="2.28515625" style="252" customWidth="1"/>
    <col min="16146" max="16146" width="13.5703125" style="252" customWidth="1"/>
    <col min="16147" max="16147" width="3.28515625" style="252" customWidth="1"/>
    <col min="16148" max="16148" width="3.5703125" style="252" customWidth="1"/>
    <col min="16149" max="16149" width="11.28515625" style="252" customWidth="1"/>
    <col min="16150" max="16150" width="11.7109375" style="252" bestFit="1" customWidth="1"/>
    <col min="16151" max="16151" width="40.28515625" style="252" bestFit="1" customWidth="1"/>
    <col min="16152" max="16152" width="2.28515625" style="252" customWidth="1"/>
    <col min="16153" max="16153" width="9.5703125" style="252" customWidth="1"/>
    <col min="16154" max="16154" width="2.28515625" style="252" customWidth="1"/>
    <col min="16155" max="16155" width="13.5703125" style="252" customWidth="1"/>
    <col min="16156" max="16156" width="2.28515625" style="252" customWidth="1"/>
    <col min="16157" max="16157" width="13.5703125" style="252" customWidth="1"/>
    <col min="16158" max="16158" width="2.28515625" style="252" customWidth="1"/>
    <col min="16159" max="16159" width="13.5703125" style="252" customWidth="1"/>
    <col min="16160" max="16160" width="2.28515625" style="252" customWidth="1"/>
    <col min="16161" max="16161" width="13.5703125" style="252" customWidth="1"/>
    <col min="16162" max="16162" width="2.28515625" style="252" customWidth="1"/>
    <col min="16163" max="16163" width="13.5703125" style="252" customWidth="1"/>
    <col min="16164" max="16164" width="2.28515625" style="252" customWidth="1"/>
    <col min="16165" max="16166" width="13.5703125" style="252" customWidth="1"/>
    <col min="16167" max="16384" width="9.140625" style="252"/>
  </cols>
  <sheetData>
    <row r="1" spans="1:38" s="83" customFormat="1" ht="14.1" customHeight="1" thickBot="1" x14ac:dyDescent="0.25">
      <c r="A1" s="82" t="s">
        <v>127</v>
      </c>
      <c r="B1" s="79"/>
      <c r="C1" s="79"/>
      <c r="D1" s="79"/>
      <c r="E1" s="79"/>
      <c r="F1" s="79"/>
      <c r="G1" s="79" t="s">
        <v>128</v>
      </c>
      <c r="H1" s="79"/>
      <c r="I1" s="79"/>
      <c r="J1" s="79"/>
      <c r="K1" s="79"/>
      <c r="L1" s="79"/>
      <c r="M1" s="79"/>
      <c r="N1" s="79"/>
      <c r="O1" s="79"/>
      <c r="P1" s="256">
        <v>10</v>
      </c>
      <c r="Q1" s="79"/>
      <c r="R1" s="79" t="s">
        <v>323</v>
      </c>
      <c r="S1" s="109"/>
      <c r="T1" s="82" t="s">
        <v>127</v>
      </c>
      <c r="U1" s="79"/>
      <c r="V1" s="79"/>
      <c r="W1" s="79"/>
      <c r="X1" s="79"/>
      <c r="Y1" s="79"/>
      <c r="Z1" s="79" t="s">
        <v>1404</v>
      </c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 t="s">
        <v>324</v>
      </c>
      <c r="AL1" s="109"/>
    </row>
    <row r="2" spans="1:38" ht="14.1" customHeight="1" x14ac:dyDescent="0.2">
      <c r="A2" s="252" t="s">
        <v>129</v>
      </c>
      <c r="E2" s="260" t="s">
        <v>130</v>
      </c>
      <c r="F2" s="279" t="s">
        <v>1405</v>
      </c>
      <c r="J2" s="286"/>
      <c r="K2" s="286"/>
      <c r="M2" s="286"/>
      <c r="N2" s="286"/>
      <c r="O2" s="286"/>
      <c r="P2" s="286" t="s">
        <v>132</v>
      </c>
      <c r="R2" s="261"/>
      <c r="S2" s="311"/>
      <c r="T2" s="252" t="s">
        <v>129</v>
      </c>
      <c r="X2" s="260" t="s">
        <v>130</v>
      </c>
      <c r="Y2" s="252" t="s">
        <v>1405</v>
      </c>
      <c r="AC2" s="286"/>
      <c r="AD2" s="286"/>
      <c r="AF2" s="286"/>
      <c r="AG2" s="286"/>
      <c r="AH2" s="286"/>
      <c r="AI2" s="286" t="s">
        <v>132</v>
      </c>
      <c r="AK2" s="261"/>
      <c r="AL2" s="262"/>
    </row>
    <row r="3" spans="1:38" ht="14.1" customHeight="1" x14ac:dyDescent="0.2">
      <c r="F3" s="252" t="s">
        <v>1406</v>
      </c>
      <c r="J3" s="260"/>
      <c r="K3" s="261"/>
      <c r="N3" s="260"/>
      <c r="O3" s="80"/>
      <c r="P3" s="259" t="s">
        <v>1407</v>
      </c>
      <c r="R3" s="260"/>
      <c r="S3" s="311"/>
      <c r="Y3" s="252" t="s">
        <v>1406</v>
      </c>
      <c r="AC3" s="260"/>
      <c r="AD3" s="261"/>
      <c r="AG3" s="260"/>
      <c r="AH3" s="260"/>
      <c r="AI3" s="261" t="s">
        <v>1407</v>
      </c>
      <c r="AK3" s="260"/>
      <c r="AL3" s="262"/>
    </row>
    <row r="4" spans="1:38" ht="14.1" customHeight="1" x14ac:dyDescent="0.2">
      <c r="A4" s="252" t="s">
        <v>134</v>
      </c>
      <c r="J4" s="260"/>
      <c r="K4" s="261"/>
      <c r="L4" s="260"/>
      <c r="O4" s="80"/>
      <c r="P4" s="259"/>
      <c r="R4" s="260"/>
      <c r="S4" s="311"/>
      <c r="T4" s="252" t="s">
        <v>134</v>
      </c>
      <c r="AC4" s="260"/>
      <c r="AD4" s="261"/>
      <c r="AE4" s="260"/>
      <c r="AH4" s="260"/>
      <c r="AI4" s="261">
        <v>0</v>
      </c>
      <c r="AK4" s="260"/>
      <c r="AL4" s="262"/>
    </row>
    <row r="5" spans="1:38" ht="14.1" customHeight="1" x14ac:dyDescent="0.2">
      <c r="J5" s="260"/>
      <c r="K5" s="261"/>
      <c r="L5" s="260"/>
      <c r="O5" s="80"/>
      <c r="P5" s="259"/>
      <c r="R5" s="260"/>
      <c r="S5" s="311"/>
      <c r="AC5" s="260"/>
      <c r="AD5" s="261"/>
      <c r="AE5" s="260"/>
      <c r="AH5" s="260"/>
      <c r="AI5" s="261"/>
      <c r="AK5" s="260"/>
      <c r="AL5" s="262"/>
    </row>
    <row r="6" spans="1:38" ht="14.1" customHeight="1" thickBot="1" x14ac:dyDescent="0.25">
      <c r="A6" s="263" t="s">
        <v>135</v>
      </c>
      <c r="B6" s="264"/>
      <c r="C6" s="264"/>
      <c r="D6" s="264"/>
      <c r="E6" s="264"/>
      <c r="F6" s="264"/>
      <c r="G6" s="264"/>
      <c r="H6" s="266"/>
      <c r="I6" s="264"/>
      <c r="J6" s="264"/>
      <c r="K6" s="264"/>
      <c r="L6" s="264"/>
      <c r="M6" s="264"/>
      <c r="N6" s="264"/>
      <c r="O6" s="81"/>
      <c r="P6" s="263"/>
      <c r="Q6" s="264"/>
      <c r="R6" s="264"/>
      <c r="S6" s="262"/>
      <c r="T6" s="288" t="s">
        <v>135</v>
      </c>
      <c r="U6" s="264"/>
      <c r="V6" s="264"/>
      <c r="W6" s="264"/>
      <c r="X6" s="264"/>
      <c r="Y6" s="264"/>
      <c r="Z6" s="264"/>
      <c r="AA6" s="266"/>
      <c r="AB6" s="264"/>
      <c r="AC6" s="264"/>
      <c r="AD6" s="264"/>
      <c r="AE6" s="264"/>
      <c r="AF6" s="264"/>
      <c r="AG6" s="264"/>
      <c r="AH6" s="264"/>
      <c r="AI6" s="265"/>
      <c r="AJ6" s="264"/>
      <c r="AK6" s="264"/>
      <c r="AL6" s="262"/>
    </row>
    <row r="7" spans="1:38" ht="14.1" customHeight="1" x14ac:dyDescent="0.2"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2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2"/>
    </row>
    <row r="8" spans="1:38" ht="14.1" customHeight="1" x14ac:dyDescent="0.2">
      <c r="C8" s="267" t="s">
        <v>136</v>
      </c>
      <c r="D8" s="267" t="s">
        <v>137</v>
      </c>
      <c r="E8" s="267"/>
      <c r="F8" s="267" t="s">
        <v>138</v>
      </c>
      <c r="G8" s="267"/>
      <c r="H8" s="267" t="s">
        <v>139</v>
      </c>
      <c r="I8" s="267"/>
      <c r="J8" s="269" t="s">
        <v>140</v>
      </c>
      <c r="K8" s="269"/>
      <c r="L8" s="267" t="s">
        <v>141</v>
      </c>
      <c r="M8" s="267"/>
      <c r="N8" s="267" t="s">
        <v>142</v>
      </c>
      <c r="O8" s="267"/>
      <c r="P8" s="267" t="s">
        <v>143</v>
      </c>
      <c r="Q8" s="267"/>
      <c r="R8" s="267" t="s">
        <v>144</v>
      </c>
      <c r="S8" s="262"/>
      <c r="V8" s="267" t="s">
        <v>136</v>
      </c>
      <c r="W8" s="267" t="s">
        <v>137</v>
      </c>
      <c r="X8" s="267"/>
      <c r="Y8" s="267" t="s">
        <v>138</v>
      </c>
      <c r="Z8" s="267"/>
      <c r="AA8" s="267" t="s">
        <v>139</v>
      </c>
      <c r="AB8" s="267"/>
      <c r="AC8" s="269" t="s">
        <v>140</v>
      </c>
      <c r="AD8" s="269"/>
      <c r="AE8" s="267" t="s">
        <v>141</v>
      </c>
      <c r="AF8" s="267"/>
      <c r="AG8" s="267" t="s">
        <v>142</v>
      </c>
      <c r="AH8" s="267"/>
      <c r="AI8" s="267" t="s">
        <v>143</v>
      </c>
      <c r="AJ8" s="267"/>
      <c r="AK8" s="267" t="s">
        <v>144</v>
      </c>
      <c r="AL8" s="262"/>
    </row>
    <row r="9" spans="1:38" ht="14.1" customHeight="1" x14ac:dyDescent="0.2">
      <c r="C9" s="269" t="s">
        <v>145</v>
      </c>
      <c r="D9" s="269" t="s">
        <v>145</v>
      </c>
      <c r="F9" s="269" t="s">
        <v>6</v>
      </c>
      <c r="G9" s="269"/>
      <c r="H9" s="267" t="s">
        <v>48</v>
      </c>
      <c r="I9" s="269"/>
      <c r="J9" s="267" t="s">
        <v>40</v>
      </c>
      <c r="K9" s="269"/>
      <c r="L9" s="269" t="s">
        <v>40</v>
      </c>
      <c r="M9" s="269"/>
      <c r="P9" s="269" t="s">
        <v>48</v>
      </c>
      <c r="R9" s="269"/>
      <c r="S9" s="262"/>
      <c r="V9" s="269" t="s">
        <v>145</v>
      </c>
      <c r="W9" s="269" t="s">
        <v>145</v>
      </c>
      <c r="Y9" s="269" t="s">
        <v>6</v>
      </c>
      <c r="Z9" s="269"/>
      <c r="AA9" s="267" t="s">
        <v>48</v>
      </c>
      <c r="AB9" s="269"/>
      <c r="AC9" s="267" t="s">
        <v>40</v>
      </c>
      <c r="AD9" s="269"/>
      <c r="AE9" s="269" t="s">
        <v>40</v>
      </c>
      <c r="AF9" s="269"/>
      <c r="AI9" s="269" t="s">
        <v>48</v>
      </c>
      <c r="AK9" s="269"/>
      <c r="AL9" s="262"/>
    </row>
    <row r="10" spans="1:38" ht="14.1" customHeight="1" x14ac:dyDescent="0.2">
      <c r="A10" s="252" t="s">
        <v>146</v>
      </c>
      <c r="B10" s="269"/>
      <c r="C10" s="269" t="s">
        <v>147</v>
      </c>
      <c r="D10" s="269" t="s">
        <v>147</v>
      </c>
      <c r="E10" s="267"/>
      <c r="F10" s="269" t="s">
        <v>148</v>
      </c>
      <c r="G10" s="269"/>
      <c r="H10" s="269" t="s">
        <v>149</v>
      </c>
      <c r="I10" s="269"/>
      <c r="J10" s="269" t="s">
        <v>48</v>
      </c>
      <c r="K10" s="267"/>
      <c r="L10" s="269" t="s">
        <v>48</v>
      </c>
      <c r="M10" s="261"/>
      <c r="N10" s="269" t="s">
        <v>150</v>
      </c>
      <c r="O10" s="267"/>
      <c r="P10" s="267" t="s">
        <v>149</v>
      </c>
      <c r="Q10" s="267"/>
      <c r="R10" s="269" t="s">
        <v>151</v>
      </c>
      <c r="S10" s="262"/>
      <c r="T10" s="252" t="s">
        <v>146</v>
      </c>
      <c r="U10" s="269"/>
      <c r="V10" s="269" t="s">
        <v>147</v>
      </c>
      <c r="W10" s="269" t="s">
        <v>147</v>
      </c>
      <c r="X10" s="267"/>
      <c r="Y10" s="269" t="s">
        <v>148</v>
      </c>
      <c r="Z10" s="269"/>
      <c r="AA10" s="269" t="s">
        <v>149</v>
      </c>
      <c r="AB10" s="269"/>
      <c r="AC10" s="269" t="s">
        <v>48</v>
      </c>
      <c r="AD10" s="267"/>
      <c r="AE10" s="269" t="s">
        <v>48</v>
      </c>
      <c r="AF10" s="261"/>
      <c r="AG10" s="269" t="s">
        <v>150</v>
      </c>
      <c r="AH10" s="267"/>
      <c r="AI10" s="267" t="s">
        <v>149</v>
      </c>
      <c r="AJ10" s="267"/>
      <c r="AK10" s="269" t="s">
        <v>151</v>
      </c>
      <c r="AL10" s="262"/>
    </row>
    <row r="11" spans="1:38" ht="14.1" customHeight="1" thickBot="1" x14ac:dyDescent="0.25">
      <c r="A11" s="264" t="s">
        <v>152</v>
      </c>
      <c r="B11" s="266"/>
      <c r="C11" s="266" t="s">
        <v>52</v>
      </c>
      <c r="D11" s="266" t="s">
        <v>153</v>
      </c>
      <c r="E11" s="266"/>
      <c r="F11" s="270" t="s">
        <v>57</v>
      </c>
      <c r="G11" s="270"/>
      <c r="H11" s="270" t="s">
        <v>154</v>
      </c>
      <c r="I11" s="271"/>
      <c r="J11" s="270" t="s">
        <v>155</v>
      </c>
      <c r="K11" s="271"/>
      <c r="L11" s="271" t="s">
        <v>156</v>
      </c>
      <c r="M11" s="272"/>
      <c r="N11" s="272" t="s">
        <v>157</v>
      </c>
      <c r="O11" s="272"/>
      <c r="P11" s="272" t="s">
        <v>158</v>
      </c>
      <c r="Q11" s="272"/>
      <c r="R11" s="272" t="s">
        <v>3</v>
      </c>
      <c r="S11" s="262"/>
      <c r="T11" s="264" t="s">
        <v>152</v>
      </c>
      <c r="U11" s="266"/>
      <c r="V11" s="266" t="s">
        <v>52</v>
      </c>
      <c r="W11" s="266" t="s">
        <v>153</v>
      </c>
      <c r="X11" s="266"/>
      <c r="Y11" s="270" t="s">
        <v>57</v>
      </c>
      <c r="Z11" s="270"/>
      <c r="AA11" s="270" t="s">
        <v>154</v>
      </c>
      <c r="AB11" s="271"/>
      <c r="AC11" s="270" t="s">
        <v>155</v>
      </c>
      <c r="AD11" s="271"/>
      <c r="AE11" s="271" t="s">
        <v>156</v>
      </c>
      <c r="AF11" s="272"/>
      <c r="AG11" s="272" t="s">
        <v>157</v>
      </c>
      <c r="AH11" s="272"/>
      <c r="AI11" s="272" t="s">
        <v>158</v>
      </c>
      <c r="AJ11" s="272"/>
      <c r="AK11" s="272" t="s">
        <v>3</v>
      </c>
      <c r="AL11" s="262"/>
    </row>
    <row r="12" spans="1:38" ht="14.1" customHeight="1" x14ac:dyDescent="0.2">
      <c r="A12" s="252">
        <v>1</v>
      </c>
      <c r="B12" s="312"/>
      <c r="S12" s="262"/>
      <c r="T12" s="252">
        <v>1</v>
      </c>
      <c r="U12" s="312"/>
      <c r="AL12" s="262"/>
    </row>
    <row r="13" spans="1:38" ht="14.1" customHeight="1" x14ac:dyDescent="0.2">
      <c r="A13" s="252">
        <v>2</v>
      </c>
      <c r="B13" s="312"/>
      <c r="D13" s="83" t="s">
        <v>58</v>
      </c>
      <c r="F13" s="274">
        <v>17</v>
      </c>
      <c r="G13" s="275"/>
      <c r="H13" s="274">
        <v>3</v>
      </c>
      <c r="I13" s="275"/>
      <c r="J13" s="274">
        <v>4</v>
      </c>
      <c r="K13" s="275"/>
      <c r="L13" s="274">
        <v>5</v>
      </c>
      <c r="M13" s="275"/>
      <c r="N13" s="274">
        <v>6</v>
      </c>
      <c r="O13" s="275"/>
      <c r="P13" s="274">
        <v>7</v>
      </c>
      <c r="Q13" s="275"/>
      <c r="R13" s="274">
        <v>8</v>
      </c>
      <c r="S13" s="262"/>
      <c r="T13" s="252">
        <v>2</v>
      </c>
      <c r="U13" s="312"/>
      <c r="AL13" s="262"/>
    </row>
    <row r="14" spans="1:38" ht="14.1" customHeight="1" x14ac:dyDescent="0.2">
      <c r="A14" s="252">
        <v>3</v>
      </c>
      <c r="B14" s="312"/>
      <c r="D14" s="252" t="s">
        <v>159</v>
      </c>
      <c r="S14" s="262"/>
      <c r="T14" s="252">
        <v>3</v>
      </c>
      <c r="U14" s="312"/>
      <c r="W14" s="252" t="s">
        <v>68</v>
      </c>
      <c r="Y14" s="277"/>
      <c r="Z14" s="277"/>
      <c r="AA14" s="277">
        <v>2180333328.6199994</v>
      </c>
      <c r="AB14" s="277"/>
      <c r="AC14" s="602">
        <v>99920953.780000016</v>
      </c>
      <c r="AD14" s="277"/>
      <c r="AE14" s="277">
        <v>-25586031.610000003</v>
      </c>
      <c r="AF14" s="277"/>
      <c r="AG14" s="277">
        <v>0</v>
      </c>
      <c r="AH14" s="277"/>
      <c r="AI14" s="277">
        <v>2254668250.7899995</v>
      </c>
      <c r="AJ14" s="277"/>
      <c r="AK14" s="277">
        <v>2225866739.4638457</v>
      </c>
      <c r="AL14" s="262"/>
    </row>
    <row r="15" spans="1:38" ht="14.1" customHeight="1" x14ac:dyDescent="0.2">
      <c r="A15" s="252">
        <v>4</v>
      </c>
      <c r="B15" s="312"/>
      <c r="D15" s="252" t="s">
        <v>160</v>
      </c>
      <c r="H15" s="653"/>
      <c r="I15" s="731"/>
      <c r="J15" s="277"/>
      <c r="K15" s="277"/>
      <c r="L15" s="277"/>
      <c r="M15" s="277"/>
      <c r="N15" s="277"/>
      <c r="O15" s="277"/>
      <c r="P15" s="732"/>
      <c r="Q15" s="732"/>
      <c r="R15" s="277"/>
      <c r="S15" s="262"/>
      <c r="T15" s="252">
        <v>4</v>
      </c>
      <c r="U15" s="312"/>
      <c r="Y15" s="277"/>
      <c r="Z15" s="277"/>
      <c r="AA15" s="277"/>
      <c r="AB15" s="277"/>
      <c r="AC15" s="602"/>
      <c r="AD15" s="277"/>
      <c r="AE15" s="277"/>
      <c r="AF15" s="277"/>
      <c r="AG15" s="277"/>
      <c r="AH15" s="277"/>
      <c r="AI15" s="277"/>
      <c r="AJ15" s="277"/>
      <c r="AK15" s="277"/>
      <c r="AL15" s="262"/>
    </row>
    <row r="16" spans="1:38" ht="14.1" customHeight="1" x14ac:dyDescent="0.2">
      <c r="A16" s="252">
        <v>5</v>
      </c>
      <c r="B16" s="312"/>
      <c r="C16" s="269">
        <v>31140</v>
      </c>
      <c r="D16" s="252" t="s">
        <v>1408</v>
      </c>
      <c r="F16" s="313">
        <v>2.9</v>
      </c>
      <c r="G16" s="260"/>
      <c r="H16" s="655">
        <v>224241619.99000001</v>
      </c>
      <c r="I16" s="733"/>
      <c r="J16" s="734">
        <v>11973145.810000001</v>
      </c>
      <c r="K16" s="277"/>
      <c r="L16" s="734">
        <v>-1040215.9500000001</v>
      </c>
      <c r="M16" s="277"/>
      <c r="N16" s="734">
        <v>0</v>
      </c>
      <c r="O16" s="277"/>
      <c r="P16" s="734">
        <v>235174549.85000002</v>
      </c>
      <c r="Q16" s="277"/>
      <c r="R16" s="734">
        <v>231378930.3630769</v>
      </c>
      <c r="S16" s="262"/>
      <c r="T16" s="252">
        <v>5</v>
      </c>
      <c r="U16" s="312"/>
      <c r="W16" s="252" t="s">
        <v>66</v>
      </c>
      <c r="Y16" s="277"/>
      <c r="Z16" s="277"/>
      <c r="AA16" s="735">
        <v>3064959315.7500005</v>
      </c>
      <c r="AB16" s="277"/>
      <c r="AC16" s="657">
        <v>235438218.60999998</v>
      </c>
      <c r="AD16" s="277"/>
      <c r="AE16" s="735">
        <v>-9422511.7599999998</v>
      </c>
      <c r="AF16" s="277"/>
      <c r="AG16" s="735">
        <v>0</v>
      </c>
      <c r="AH16" s="277"/>
      <c r="AI16" s="735">
        <v>3290975022.5999999</v>
      </c>
      <c r="AJ16" s="277"/>
      <c r="AK16" s="735">
        <v>3226490295.1446157</v>
      </c>
      <c r="AL16" s="262"/>
    </row>
    <row r="17" spans="1:40" ht="14.1" customHeight="1" x14ac:dyDescent="0.2">
      <c r="A17" s="252">
        <v>6</v>
      </c>
      <c r="B17" s="312"/>
      <c r="C17" s="269">
        <v>31240</v>
      </c>
      <c r="D17" s="252" t="s">
        <v>162</v>
      </c>
      <c r="F17" s="313">
        <v>3.4000000000000004</v>
      </c>
      <c r="G17" s="260"/>
      <c r="H17" s="655">
        <v>182427705.76000002</v>
      </c>
      <c r="I17" s="733"/>
      <c r="J17" s="734">
        <v>744014.45000000019</v>
      </c>
      <c r="K17" s="277"/>
      <c r="L17" s="734">
        <v>-73690.559999999998</v>
      </c>
      <c r="M17" s="277"/>
      <c r="N17" s="734">
        <v>0</v>
      </c>
      <c r="O17" s="277"/>
      <c r="P17" s="734">
        <v>183098029.65000001</v>
      </c>
      <c r="Q17" s="277"/>
      <c r="R17" s="734">
        <v>182940571.07000002</v>
      </c>
      <c r="S17" s="262"/>
      <c r="T17" s="252">
        <v>6</v>
      </c>
      <c r="U17" s="312"/>
      <c r="Y17" s="277"/>
      <c r="Z17" s="277"/>
      <c r="AA17" s="277"/>
      <c r="AB17" s="277"/>
      <c r="AC17" s="602"/>
      <c r="AD17" s="277"/>
      <c r="AE17" s="277"/>
      <c r="AF17" s="277"/>
      <c r="AG17" s="277"/>
      <c r="AH17" s="277"/>
      <c r="AI17" s="277"/>
      <c r="AJ17" s="277"/>
      <c r="AK17" s="277"/>
      <c r="AL17" s="262"/>
    </row>
    <row r="18" spans="1:40" ht="14.1" customHeight="1" x14ac:dyDescent="0.2">
      <c r="A18" s="252">
        <v>7</v>
      </c>
      <c r="B18" s="312"/>
      <c r="C18" s="269">
        <v>31440</v>
      </c>
      <c r="D18" s="252" t="s">
        <v>163</v>
      </c>
      <c r="F18" s="313">
        <v>2.2999999999999998</v>
      </c>
      <c r="G18" s="260"/>
      <c r="H18" s="655">
        <v>8810869.1900000013</v>
      </c>
      <c r="I18" s="733"/>
      <c r="J18" s="734">
        <v>11085.55</v>
      </c>
      <c r="K18" s="277"/>
      <c r="L18" s="734">
        <v>0</v>
      </c>
      <c r="M18" s="277"/>
      <c r="N18" s="734">
        <v>0</v>
      </c>
      <c r="O18" s="277"/>
      <c r="P18" s="734">
        <v>8821954.7400000021</v>
      </c>
      <c r="Q18" s="277"/>
      <c r="R18" s="734">
        <v>8819396.5361538511</v>
      </c>
      <c r="S18" s="262"/>
      <c r="T18" s="252">
        <v>7</v>
      </c>
      <c r="U18" s="312"/>
      <c r="W18" s="252" t="s">
        <v>67</v>
      </c>
      <c r="Y18" s="277"/>
      <c r="Z18" s="277"/>
      <c r="AA18" s="277">
        <v>5245292644.3699999</v>
      </c>
      <c r="AB18" s="277"/>
      <c r="AC18" s="602">
        <v>335359172.38999999</v>
      </c>
      <c r="AD18" s="277"/>
      <c r="AE18" s="277">
        <v>-35008543.370000005</v>
      </c>
      <c r="AF18" s="277"/>
      <c r="AG18" s="277">
        <v>0</v>
      </c>
      <c r="AH18" s="277"/>
      <c r="AI18" s="277">
        <v>5545643273.3899994</v>
      </c>
      <c r="AJ18" s="277">
        <v>0</v>
      </c>
      <c r="AK18" s="277">
        <v>5452357034.6084614</v>
      </c>
      <c r="AL18" s="262"/>
    </row>
    <row r="19" spans="1:40" ht="14.1" customHeight="1" x14ac:dyDescent="0.2">
      <c r="A19" s="252">
        <v>8</v>
      </c>
      <c r="B19" s="312"/>
      <c r="C19" s="269">
        <v>31540</v>
      </c>
      <c r="D19" s="252" t="s">
        <v>1409</v>
      </c>
      <c r="F19" s="313">
        <v>3.7000000000000006</v>
      </c>
      <c r="G19" s="260"/>
      <c r="H19" s="655">
        <v>43317291.98999998</v>
      </c>
      <c r="I19" s="733"/>
      <c r="J19" s="734">
        <v>543737.78</v>
      </c>
      <c r="K19" s="277"/>
      <c r="L19" s="734">
        <v>-39212.18</v>
      </c>
      <c r="M19" s="277"/>
      <c r="N19" s="734">
        <v>0</v>
      </c>
      <c r="O19" s="277"/>
      <c r="P19" s="734">
        <v>43821817.589999981</v>
      </c>
      <c r="Q19" s="277"/>
      <c r="R19" s="734">
        <v>43407400.53461536</v>
      </c>
      <c r="S19" s="262"/>
      <c r="T19" s="252">
        <v>8</v>
      </c>
      <c r="U19" s="312"/>
      <c r="Y19" s="277"/>
      <c r="Z19" s="277"/>
      <c r="AA19" s="277"/>
      <c r="AB19" s="277"/>
      <c r="AC19" s="602"/>
      <c r="AD19" s="277"/>
      <c r="AE19" s="277"/>
      <c r="AF19" s="277"/>
      <c r="AG19" s="277"/>
      <c r="AH19" s="277"/>
      <c r="AI19" s="277"/>
      <c r="AJ19" s="277"/>
      <c r="AK19" s="277"/>
      <c r="AL19" s="262"/>
    </row>
    <row r="20" spans="1:40" ht="14.1" customHeight="1" x14ac:dyDescent="0.2">
      <c r="A20" s="252">
        <v>9</v>
      </c>
      <c r="B20" s="312"/>
      <c r="C20" s="269">
        <v>31640</v>
      </c>
      <c r="D20" s="252" t="s">
        <v>165</v>
      </c>
      <c r="F20" s="313">
        <v>4.2</v>
      </c>
      <c r="G20" s="260"/>
      <c r="H20" s="655">
        <v>24865517.530000005</v>
      </c>
      <c r="I20" s="733"/>
      <c r="J20" s="734">
        <v>341085.61</v>
      </c>
      <c r="K20" s="277"/>
      <c r="L20" s="734">
        <v>-110000.44</v>
      </c>
      <c r="M20" s="277"/>
      <c r="N20" s="734">
        <v>0</v>
      </c>
      <c r="O20" s="277"/>
      <c r="P20" s="734">
        <v>25096602.700000003</v>
      </c>
      <c r="Q20" s="277"/>
      <c r="R20" s="734">
        <v>24979017.773846157</v>
      </c>
      <c r="S20" s="262"/>
      <c r="T20" s="252">
        <v>9</v>
      </c>
      <c r="U20" s="312"/>
      <c r="W20" s="252" t="s">
        <v>166</v>
      </c>
      <c r="Y20" s="277"/>
      <c r="Z20" s="277"/>
      <c r="AA20" s="277">
        <v>922171667.18000007</v>
      </c>
      <c r="AB20" s="277"/>
      <c r="AC20" s="602">
        <v>74721390.489999995</v>
      </c>
      <c r="AD20" s="277"/>
      <c r="AE20" s="277">
        <v>-5555763.1300000008</v>
      </c>
      <c r="AF20" s="277"/>
      <c r="AG20" s="277">
        <v>-658178.78</v>
      </c>
      <c r="AH20" s="277"/>
      <c r="AI20" s="277">
        <v>990679115.76000011</v>
      </c>
      <c r="AJ20" s="277"/>
      <c r="AK20" s="277">
        <v>961350197.82076919</v>
      </c>
      <c r="AL20" s="262"/>
    </row>
    <row r="21" spans="1:40" ht="14.1" customHeight="1" x14ac:dyDescent="0.2">
      <c r="A21" s="252">
        <v>10</v>
      </c>
      <c r="B21" s="312"/>
      <c r="C21" s="269"/>
      <c r="D21" s="252" t="s">
        <v>167</v>
      </c>
      <c r="H21" s="658">
        <v>483663004.45999998</v>
      </c>
      <c r="I21" s="733"/>
      <c r="J21" s="736">
        <v>13613069.200000001</v>
      </c>
      <c r="K21" s="733"/>
      <c r="L21" s="736">
        <v>-1263119.1299999999</v>
      </c>
      <c r="M21" s="733"/>
      <c r="N21" s="736">
        <v>0</v>
      </c>
      <c r="O21" s="733"/>
      <c r="P21" s="736">
        <v>496012954.52999997</v>
      </c>
      <c r="Q21" s="733"/>
      <c r="R21" s="736">
        <v>491525316.27769226</v>
      </c>
      <c r="S21" s="262"/>
      <c r="T21" s="252">
        <v>10</v>
      </c>
      <c r="U21" s="312"/>
      <c r="Y21" s="277"/>
      <c r="Z21" s="277"/>
      <c r="AA21" s="277"/>
      <c r="AB21" s="277"/>
      <c r="AC21" s="602"/>
      <c r="AD21" s="277"/>
      <c r="AE21" s="277"/>
      <c r="AF21" s="277"/>
      <c r="AG21" s="277"/>
      <c r="AH21" s="277"/>
      <c r="AI21" s="277"/>
      <c r="AJ21" s="277"/>
      <c r="AK21" s="277"/>
      <c r="AL21" s="262"/>
    </row>
    <row r="22" spans="1:40" ht="14.1" customHeight="1" x14ac:dyDescent="0.2">
      <c r="A22" s="252">
        <v>11</v>
      </c>
      <c r="B22" s="312"/>
      <c r="C22" s="269"/>
      <c r="H22" s="737"/>
      <c r="I22" s="738"/>
      <c r="J22" s="738"/>
      <c r="K22" s="733"/>
      <c r="L22" s="738"/>
      <c r="M22" s="733"/>
      <c r="N22" s="738"/>
      <c r="O22" s="733"/>
      <c r="P22" s="738"/>
      <c r="Q22" s="733"/>
      <c r="R22" s="738"/>
      <c r="S22" s="262"/>
      <c r="T22" s="252">
        <v>11</v>
      </c>
      <c r="U22" s="312"/>
      <c r="W22" s="252" t="s">
        <v>169</v>
      </c>
      <c r="Y22" s="277"/>
      <c r="Z22" s="277"/>
      <c r="AA22" s="277">
        <v>2713895784.6900005</v>
      </c>
      <c r="AB22" s="277"/>
      <c r="AC22" s="602">
        <v>164120811.70999998</v>
      </c>
      <c r="AD22" s="277"/>
      <c r="AE22" s="277">
        <v>-37376328.5</v>
      </c>
      <c r="AF22" s="277"/>
      <c r="AG22" s="277">
        <v>448809.22000000003</v>
      </c>
      <c r="AH22" s="277"/>
      <c r="AI22" s="277">
        <v>2841089077.1200008</v>
      </c>
      <c r="AJ22" s="277"/>
      <c r="AK22" s="277">
        <v>2790236463.1646161</v>
      </c>
      <c r="AL22" s="262"/>
    </row>
    <row r="23" spans="1:40" ht="14.1" customHeight="1" x14ac:dyDescent="0.2">
      <c r="A23" s="252">
        <v>12</v>
      </c>
      <c r="B23" s="312"/>
      <c r="C23" s="269"/>
      <c r="D23" s="252" t="s">
        <v>170</v>
      </c>
      <c r="H23" s="737"/>
      <c r="I23" s="738"/>
      <c r="J23" s="738"/>
      <c r="K23" s="733"/>
      <c r="L23" s="738"/>
      <c r="M23" s="733"/>
      <c r="N23" s="738"/>
      <c r="O23" s="733"/>
      <c r="P23" s="738"/>
      <c r="Q23" s="733"/>
      <c r="R23" s="738"/>
      <c r="S23" s="262"/>
      <c r="T23" s="252">
        <v>12</v>
      </c>
      <c r="U23" s="312"/>
      <c r="Y23" s="277"/>
      <c r="Z23" s="277"/>
      <c r="AA23" s="277"/>
      <c r="AB23" s="277"/>
      <c r="AC23" s="602"/>
      <c r="AD23" s="277"/>
      <c r="AE23" s="277"/>
      <c r="AF23" s="277"/>
      <c r="AG23" s="277"/>
      <c r="AH23" s="277"/>
      <c r="AI23" s="277"/>
      <c r="AJ23" s="277"/>
      <c r="AK23" s="277"/>
      <c r="AL23" s="262"/>
    </row>
    <row r="24" spans="1:40" ht="14.1" customHeight="1" x14ac:dyDescent="0.2">
      <c r="A24" s="252">
        <v>13</v>
      </c>
      <c r="B24" s="312"/>
      <c r="C24" s="269">
        <v>31141</v>
      </c>
      <c r="D24" s="252" t="s">
        <v>1408</v>
      </c>
      <c r="F24" s="313">
        <v>2</v>
      </c>
      <c r="G24" s="260"/>
      <c r="H24" s="655">
        <v>7287126.2399999993</v>
      </c>
      <c r="I24" s="733"/>
      <c r="J24" s="734">
        <v>0</v>
      </c>
      <c r="K24" s="277"/>
      <c r="L24" s="734">
        <v>0</v>
      </c>
      <c r="M24" s="277"/>
      <c r="N24" s="734">
        <v>0</v>
      </c>
      <c r="O24" s="277"/>
      <c r="P24" s="734">
        <v>7287126.2399999993</v>
      </c>
      <c r="Q24" s="277"/>
      <c r="R24" s="734">
        <v>7287126.2399999993</v>
      </c>
      <c r="S24" s="262"/>
      <c r="T24" s="252">
        <v>13</v>
      </c>
      <c r="U24" s="312"/>
      <c r="W24" s="252" t="s">
        <v>171</v>
      </c>
      <c r="Y24" s="277"/>
      <c r="Z24" s="277"/>
      <c r="AA24" s="735">
        <v>325108453.30000001</v>
      </c>
      <c r="AB24" s="277"/>
      <c r="AC24" s="657">
        <v>21299760.160000004</v>
      </c>
      <c r="AD24" s="277"/>
      <c r="AE24" s="735">
        <v>-13136852.42</v>
      </c>
      <c r="AF24" s="277"/>
      <c r="AG24" s="735">
        <v>1138984.53</v>
      </c>
      <c r="AH24" s="277"/>
      <c r="AI24" s="735">
        <v>334410345.57000011</v>
      </c>
      <c r="AJ24" s="277"/>
      <c r="AK24" s="735">
        <v>323423183.63307703</v>
      </c>
      <c r="AL24" s="262"/>
    </row>
    <row r="25" spans="1:40" ht="14.1" customHeight="1" x14ac:dyDescent="0.2">
      <c r="A25" s="252">
        <v>14</v>
      </c>
      <c r="B25" s="312"/>
      <c r="C25" s="269">
        <v>31241</v>
      </c>
      <c r="D25" s="252" t="s">
        <v>162</v>
      </c>
      <c r="F25" s="313">
        <v>4</v>
      </c>
      <c r="G25" s="260"/>
      <c r="H25" s="655">
        <v>103010917.2</v>
      </c>
      <c r="I25" s="733"/>
      <c r="J25" s="734">
        <v>0</v>
      </c>
      <c r="K25" s="277"/>
      <c r="L25" s="734">
        <v>-45045.439999999995</v>
      </c>
      <c r="M25" s="277"/>
      <c r="N25" s="734">
        <v>0</v>
      </c>
      <c r="O25" s="277"/>
      <c r="P25" s="734">
        <v>102965871.76000001</v>
      </c>
      <c r="Q25" s="277"/>
      <c r="R25" s="734">
        <v>102971024.72538462</v>
      </c>
      <c r="S25" s="262"/>
      <c r="T25" s="252">
        <v>14</v>
      </c>
      <c r="U25" s="312"/>
      <c r="Y25" s="277"/>
      <c r="Z25" s="277"/>
      <c r="AA25" s="277"/>
      <c r="AB25" s="277"/>
      <c r="AC25" s="602"/>
      <c r="AD25" s="277"/>
      <c r="AE25" s="277"/>
      <c r="AF25" s="277"/>
      <c r="AG25" s="277"/>
      <c r="AH25" s="277"/>
      <c r="AI25" s="277"/>
      <c r="AJ25" s="277"/>
      <c r="AK25" s="277"/>
      <c r="AL25" s="262"/>
    </row>
    <row r="26" spans="1:40" ht="14.1" customHeight="1" x14ac:dyDescent="0.2">
      <c r="A26" s="252">
        <v>15</v>
      </c>
      <c r="B26" s="312"/>
      <c r="C26" s="269">
        <v>31441</v>
      </c>
      <c r="D26" s="252" t="s">
        <v>163</v>
      </c>
      <c r="F26" s="313">
        <v>3.5000000000000004</v>
      </c>
      <c r="G26" s="260"/>
      <c r="H26" s="655">
        <v>50483741.460000001</v>
      </c>
      <c r="I26" s="733"/>
      <c r="J26" s="734">
        <v>5108.62</v>
      </c>
      <c r="K26" s="277"/>
      <c r="L26" s="734">
        <v>0</v>
      </c>
      <c r="M26" s="277"/>
      <c r="N26" s="734">
        <v>0</v>
      </c>
      <c r="O26" s="277"/>
      <c r="P26" s="734">
        <v>50488850.079999998</v>
      </c>
      <c r="Q26" s="277"/>
      <c r="R26" s="734">
        <v>50488457.109230764</v>
      </c>
      <c r="S26" s="262"/>
      <c r="T26" s="252">
        <v>15</v>
      </c>
      <c r="U26" s="312"/>
      <c r="W26" s="279" t="s">
        <v>172</v>
      </c>
      <c r="Y26" s="277"/>
      <c r="Z26" s="277"/>
      <c r="AA26" s="277">
        <v>9206468549.5400009</v>
      </c>
      <c r="AB26" s="277"/>
      <c r="AC26" s="602">
        <v>595501134.74999988</v>
      </c>
      <c r="AD26" s="277"/>
      <c r="AE26" s="277">
        <v>-91077487.420000002</v>
      </c>
      <c r="AF26" s="277"/>
      <c r="AG26" s="277">
        <v>929614.97</v>
      </c>
      <c r="AH26" s="277"/>
      <c r="AI26" s="277">
        <v>9711821811.8400002</v>
      </c>
      <c r="AJ26" s="277"/>
      <c r="AK26" s="277">
        <v>9527366879.2269249</v>
      </c>
      <c r="AL26" s="262"/>
    </row>
    <row r="27" spans="1:40" ht="14.1" customHeight="1" x14ac:dyDescent="0.2">
      <c r="A27" s="252">
        <v>16</v>
      </c>
      <c r="B27" s="312"/>
      <c r="C27" s="269">
        <v>31541</v>
      </c>
      <c r="D27" s="252" t="s">
        <v>1409</v>
      </c>
      <c r="F27" s="313">
        <v>3.5000000000000004</v>
      </c>
      <c r="G27" s="260"/>
      <c r="H27" s="655">
        <v>17018634.02</v>
      </c>
      <c r="I27" s="733"/>
      <c r="J27" s="734">
        <v>0</v>
      </c>
      <c r="K27" s="277"/>
      <c r="L27" s="734">
        <v>0</v>
      </c>
      <c r="M27" s="277"/>
      <c r="N27" s="734">
        <v>0</v>
      </c>
      <c r="O27" s="277"/>
      <c r="P27" s="734">
        <v>17018634.02</v>
      </c>
      <c r="Q27" s="277"/>
      <c r="R27" s="734">
        <v>17018634.020000003</v>
      </c>
      <c r="S27" s="262"/>
      <c r="T27" s="252">
        <v>16</v>
      </c>
      <c r="U27" s="312"/>
      <c r="Y27" s="277"/>
      <c r="Z27" s="277"/>
      <c r="AA27" s="277"/>
      <c r="AB27" s="277"/>
      <c r="AC27" s="602"/>
      <c r="AD27" s="277"/>
      <c r="AE27" s="277"/>
      <c r="AF27" s="277"/>
      <c r="AG27" s="277"/>
      <c r="AH27" s="277"/>
      <c r="AI27" s="277"/>
      <c r="AJ27" s="277"/>
      <c r="AK27" s="277"/>
      <c r="AL27" s="262"/>
    </row>
    <row r="28" spans="1:40" ht="14.1" customHeight="1" x14ac:dyDescent="0.2">
      <c r="A28" s="252">
        <v>17</v>
      </c>
      <c r="B28" s="312"/>
      <c r="C28" s="269">
        <v>31641</v>
      </c>
      <c r="D28" s="252" t="s">
        <v>165</v>
      </c>
      <c r="F28" s="313">
        <v>2.9</v>
      </c>
      <c r="G28" s="260"/>
      <c r="H28" s="655">
        <v>969783.7</v>
      </c>
      <c r="I28" s="733"/>
      <c r="J28" s="734">
        <v>0</v>
      </c>
      <c r="K28" s="277"/>
      <c r="L28" s="734">
        <v>-21657.02</v>
      </c>
      <c r="M28" s="277"/>
      <c r="N28" s="734">
        <v>0</v>
      </c>
      <c r="O28" s="277"/>
      <c r="P28" s="734">
        <v>948126.67999999993</v>
      </c>
      <c r="Q28" s="277"/>
      <c r="R28" s="734">
        <v>966451.85076923063</v>
      </c>
      <c r="S28" s="262"/>
      <c r="T28" s="252">
        <v>17</v>
      </c>
      <c r="U28" s="312"/>
      <c r="W28" s="279" t="s">
        <v>173</v>
      </c>
      <c r="Y28" s="277"/>
      <c r="Z28" s="277"/>
      <c r="AA28" s="277">
        <v>123720624.71000002</v>
      </c>
      <c r="AB28" s="277"/>
      <c r="AC28" s="602">
        <v>15238415.17</v>
      </c>
      <c r="AD28" s="277"/>
      <c r="AE28" s="277">
        <v>0</v>
      </c>
      <c r="AF28" s="277"/>
      <c r="AG28" s="277">
        <v>68042.929999999702</v>
      </c>
      <c r="AH28" s="277"/>
      <c r="AI28" s="277">
        <v>139027082.80999997</v>
      </c>
      <c r="AJ28" s="277"/>
      <c r="AK28" s="277">
        <v>134302333.57692304</v>
      </c>
      <c r="AL28" s="262"/>
    </row>
    <row r="29" spans="1:40" ht="14.1" customHeight="1" x14ac:dyDescent="0.2">
      <c r="A29" s="252">
        <v>18</v>
      </c>
      <c r="B29" s="312"/>
      <c r="C29" s="269"/>
      <c r="D29" s="252" t="s">
        <v>174</v>
      </c>
      <c r="F29" s="313"/>
      <c r="H29" s="658">
        <v>178770202.62</v>
      </c>
      <c r="I29" s="733"/>
      <c r="J29" s="736">
        <v>5108.62</v>
      </c>
      <c r="K29" s="733"/>
      <c r="L29" s="736">
        <v>-66702.459999999992</v>
      </c>
      <c r="M29" s="733"/>
      <c r="N29" s="736">
        <v>0</v>
      </c>
      <c r="O29" s="733"/>
      <c r="P29" s="736">
        <v>178708608.78</v>
      </c>
      <c r="Q29" s="733"/>
      <c r="R29" s="736">
        <v>178731693.94538462</v>
      </c>
      <c r="S29" s="262"/>
      <c r="T29" s="252">
        <v>18</v>
      </c>
      <c r="U29" s="312"/>
      <c r="Y29" s="277"/>
      <c r="Z29" s="277"/>
      <c r="AA29" s="277"/>
      <c r="AB29" s="277"/>
      <c r="AC29" s="602"/>
      <c r="AD29" s="277"/>
      <c r="AE29" s="277"/>
      <c r="AF29" s="277"/>
      <c r="AG29" s="277"/>
      <c r="AH29" s="277"/>
      <c r="AI29" s="277"/>
      <c r="AJ29" s="277"/>
      <c r="AK29" s="277"/>
      <c r="AL29" s="262"/>
    </row>
    <row r="30" spans="1:40" ht="14.1" customHeight="1" x14ac:dyDescent="0.2">
      <c r="A30" s="252">
        <v>19</v>
      </c>
      <c r="B30" s="312"/>
      <c r="H30" s="602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62"/>
      <c r="T30" s="252">
        <v>19</v>
      </c>
      <c r="U30" s="312"/>
      <c r="W30" s="252" t="s">
        <v>175</v>
      </c>
      <c r="Y30" s="277"/>
      <c r="Z30" s="277"/>
      <c r="AA30" s="277">
        <v>234813956.04999995</v>
      </c>
      <c r="AB30" s="277"/>
      <c r="AC30" s="602">
        <v>18023534.739999998</v>
      </c>
      <c r="AD30" s="277"/>
      <c r="AE30" s="277">
        <v>0</v>
      </c>
      <c r="AF30" s="277"/>
      <c r="AG30" s="277">
        <v>-962186.4</v>
      </c>
      <c r="AH30" s="277"/>
      <c r="AI30" s="277">
        <v>251875304.38999996</v>
      </c>
      <c r="AJ30" s="277"/>
      <c r="AK30" s="277">
        <v>243602848.21384612</v>
      </c>
      <c r="AL30" s="262"/>
    </row>
    <row r="31" spans="1:40" ht="14.1" customHeight="1" x14ac:dyDescent="0.2">
      <c r="A31" s="252">
        <v>20</v>
      </c>
      <c r="B31" s="312"/>
      <c r="C31" s="269"/>
      <c r="D31" s="280" t="s">
        <v>176</v>
      </c>
      <c r="E31" s="280"/>
      <c r="F31" s="313"/>
      <c r="G31" s="280"/>
      <c r="H31" s="737"/>
      <c r="I31" s="738"/>
      <c r="J31" s="738"/>
      <c r="K31" s="733"/>
      <c r="L31" s="738"/>
      <c r="M31" s="733"/>
      <c r="N31" s="738"/>
      <c r="O31" s="733"/>
      <c r="P31" s="738"/>
      <c r="Q31" s="733"/>
      <c r="R31" s="738"/>
      <c r="S31" s="262"/>
      <c r="T31" s="252">
        <v>20</v>
      </c>
      <c r="U31" s="312"/>
      <c r="Y31" s="277"/>
      <c r="Z31" s="277"/>
      <c r="AA31" s="277"/>
      <c r="AB31" s="277"/>
      <c r="AC31" s="602"/>
      <c r="AD31" s="277"/>
      <c r="AE31" s="277"/>
      <c r="AF31" s="277"/>
      <c r="AG31" s="277"/>
      <c r="AH31" s="277"/>
      <c r="AI31" s="277"/>
      <c r="AJ31" s="277"/>
      <c r="AK31" s="277"/>
      <c r="AL31" s="262"/>
    </row>
    <row r="32" spans="1:40" ht="14.1" customHeight="1" x14ac:dyDescent="0.2">
      <c r="A32" s="252">
        <v>21</v>
      </c>
      <c r="B32" s="312"/>
      <c r="C32" s="269">
        <v>31142</v>
      </c>
      <c r="D32" s="252" t="s">
        <v>1408</v>
      </c>
      <c r="F32" s="313">
        <v>2</v>
      </c>
      <c r="G32" s="260"/>
      <c r="H32" s="655">
        <v>7047809.8900000006</v>
      </c>
      <c r="I32" s="733"/>
      <c r="J32" s="734">
        <v>276.13000000000005</v>
      </c>
      <c r="K32" s="277"/>
      <c r="L32" s="734">
        <v>-6264.35</v>
      </c>
      <c r="M32" s="277"/>
      <c r="N32" s="734">
        <v>0</v>
      </c>
      <c r="O32" s="277"/>
      <c r="P32" s="734">
        <v>7041821.6700000009</v>
      </c>
      <c r="Q32" s="277"/>
      <c r="R32" s="734">
        <v>7044974.4792307699</v>
      </c>
      <c r="S32" s="262"/>
      <c r="T32" s="252">
        <v>21</v>
      </c>
      <c r="U32" s="312"/>
      <c r="W32" s="252" t="s">
        <v>1362</v>
      </c>
      <c r="AA32" s="277">
        <v>40624723.129999995</v>
      </c>
      <c r="AB32" s="277">
        <v>0</v>
      </c>
      <c r="AC32" s="602">
        <v>7055677.5599999996</v>
      </c>
      <c r="AD32" s="277">
        <v>0</v>
      </c>
      <c r="AE32" s="277">
        <v>0</v>
      </c>
      <c r="AF32" s="277">
        <v>0</v>
      </c>
      <c r="AG32" s="277">
        <v>0</v>
      </c>
      <c r="AH32" s="277">
        <v>0</v>
      </c>
      <c r="AI32" s="277">
        <v>47680400.68999999</v>
      </c>
      <c r="AJ32" s="277">
        <v>0</v>
      </c>
      <c r="AK32" s="277">
        <v>42980036.449999981</v>
      </c>
      <c r="AL32" s="262"/>
      <c r="AN32" s="283"/>
    </row>
    <row r="33" spans="1:38" ht="14.1" customHeight="1" x14ac:dyDescent="0.2">
      <c r="A33" s="252">
        <v>22</v>
      </c>
      <c r="B33" s="312"/>
      <c r="C33" s="269">
        <v>31242</v>
      </c>
      <c r="D33" s="252" t="s">
        <v>162</v>
      </c>
      <c r="F33" s="313">
        <v>3.7000000000000006</v>
      </c>
      <c r="G33" s="260"/>
      <c r="H33" s="655">
        <v>86094074.780000016</v>
      </c>
      <c r="I33" s="733"/>
      <c r="J33" s="734">
        <v>1720131.01</v>
      </c>
      <c r="K33" s="277"/>
      <c r="L33" s="734">
        <v>-173287.87000000002</v>
      </c>
      <c r="M33" s="277"/>
      <c r="N33" s="734">
        <v>0</v>
      </c>
      <c r="O33" s="277"/>
      <c r="P33" s="734">
        <v>87640917.920000017</v>
      </c>
      <c r="Q33" s="277"/>
      <c r="R33" s="734">
        <v>86234342.864615381</v>
      </c>
      <c r="S33" s="262"/>
      <c r="T33" s="252">
        <v>22</v>
      </c>
      <c r="U33" s="312"/>
      <c r="AL33" s="262"/>
    </row>
    <row r="34" spans="1:38" ht="14.1" customHeight="1" x14ac:dyDescent="0.2">
      <c r="A34" s="252">
        <v>23</v>
      </c>
      <c r="B34" s="312"/>
      <c r="C34" s="269">
        <v>31442</v>
      </c>
      <c r="D34" s="252" t="s">
        <v>163</v>
      </c>
      <c r="F34" s="313">
        <v>3.8</v>
      </c>
      <c r="G34" s="260"/>
      <c r="H34" s="655">
        <v>50791175.919999987</v>
      </c>
      <c r="I34" s="733"/>
      <c r="J34" s="734">
        <v>111841.73999999998</v>
      </c>
      <c r="K34" s="277"/>
      <c r="L34" s="734">
        <v>-39955.040000000001</v>
      </c>
      <c r="M34" s="277"/>
      <c r="N34" s="734">
        <v>0</v>
      </c>
      <c r="O34" s="277"/>
      <c r="P34" s="734">
        <v>50863062.61999999</v>
      </c>
      <c r="Q34" s="277"/>
      <c r="R34" s="734">
        <v>50825239.091538444</v>
      </c>
      <c r="S34" s="262"/>
      <c r="T34" s="252">
        <v>23</v>
      </c>
      <c r="U34" s="312"/>
      <c r="W34" s="252" t="s">
        <v>1363</v>
      </c>
      <c r="AA34" s="735">
        <v>27806701.32</v>
      </c>
      <c r="AB34" s="277"/>
      <c r="AC34" s="657">
        <v>-1809759.0899999999</v>
      </c>
      <c r="AD34" s="277"/>
      <c r="AE34" s="735">
        <v>0</v>
      </c>
      <c r="AF34" s="277"/>
      <c r="AG34" s="735">
        <v>0</v>
      </c>
      <c r="AH34" s="277"/>
      <c r="AI34" s="735">
        <v>25996942.23</v>
      </c>
      <c r="AJ34" s="277"/>
      <c r="AK34" s="735">
        <v>27036609.073846158</v>
      </c>
      <c r="AL34" s="262"/>
    </row>
    <row r="35" spans="1:38" ht="14.1" customHeight="1" x14ac:dyDescent="0.2">
      <c r="A35" s="252">
        <v>24</v>
      </c>
      <c r="B35" s="312"/>
      <c r="C35" s="269">
        <v>31542</v>
      </c>
      <c r="D35" s="252" t="s">
        <v>1409</v>
      </c>
      <c r="F35" s="313">
        <v>3.3000000000000003</v>
      </c>
      <c r="G35" s="260"/>
      <c r="H35" s="655">
        <v>18870058.369999994</v>
      </c>
      <c r="I35" s="733"/>
      <c r="J35" s="734">
        <v>0</v>
      </c>
      <c r="K35" s="277"/>
      <c r="L35" s="734">
        <v>0</v>
      </c>
      <c r="M35" s="277"/>
      <c r="N35" s="734">
        <v>0</v>
      </c>
      <c r="O35" s="277"/>
      <c r="P35" s="734">
        <v>18870058.369999994</v>
      </c>
      <c r="Q35" s="277"/>
      <c r="R35" s="734">
        <v>18870058.369999997</v>
      </c>
      <c r="S35" s="262"/>
      <c r="T35" s="252">
        <v>24</v>
      </c>
      <c r="U35" s="312"/>
      <c r="AL35" s="262"/>
    </row>
    <row r="36" spans="1:38" ht="14.1" customHeight="1" x14ac:dyDescent="0.2">
      <c r="A36" s="252">
        <v>25</v>
      </c>
      <c r="B36" s="312"/>
      <c r="C36" s="269">
        <v>31642</v>
      </c>
      <c r="D36" s="252" t="s">
        <v>165</v>
      </c>
      <c r="F36" s="313">
        <v>3</v>
      </c>
      <c r="G36" s="260"/>
      <c r="H36" s="655">
        <v>546950.39</v>
      </c>
      <c r="I36" s="733"/>
      <c r="J36" s="734">
        <v>0</v>
      </c>
      <c r="K36" s="277"/>
      <c r="L36" s="734">
        <v>0</v>
      </c>
      <c r="M36" s="277"/>
      <c r="N36" s="734">
        <v>0</v>
      </c>
      <c r="O36" s="277"/>
      <c r="P36" s="734">
        <v>546950.39</v>
      </c>
      <c r="Q36" s="277"/>
      <c r="R36" s="734">
        <v>546950.3899999999</v>
      </c>
      <c r="S36" s="262"/>
      <c r="T36" s="252">
        <v>25</v>
      </c>
      <c r="U36" s="312"/>
      <c r="W36" s="252" t="s">
        <v>1364</v>
      </c>
      <c r="Y36" s="277"/>
      <c r="Z36" s="277"/>
      <c r="AA36" s="277">
        <v>9633434554.7499981</v>
      </c>
      <c r="AB36" s="277"/>
      <c r="AC36" s="602">
        <v>634009003.12999976</v>
      </c>
      <c r="AD36" s="277"/>
      <c r="AE36" s="277">
        <v>-91077487.420000002</v>
      </c>
      <c r="AF36" s="277"/>
      <c r="AG36" s="277">
        <v>35471.499999999651</v>
      </c>
      <c r="AH36" s="277"/>
      <c r="AI36" s="277">
        <v>10176401541.959999</v>
      </c>
      <c r="AJ36" s="277"/>
      <c r="AK36" s="277">
        <v>9975288706.5415421</v>
      </c>
      <c r="AL36" s="262"/>
    </row>
    <row r="37" spans="1:38" ht="14.1" customHeight="1" x14ac:dyDescent="0.2">
      <c r="A37" s="252">
        <v>26</v>
      </c>
      <c r="B37" s="312"/>
      <c r="C37" s="269"/>
      <c r="D37" s="282" t="s">
        <v>180</v>
      </c>
      <c r="E37" s="282"/>
      <c r="F37" s="313"/>
      <c r="H37" s="658">
        <v>163350069.34999999</v>
      </c>
      <c r="I37" s="733"/>
      <c r="J37" s="736">
        <v>1832248.88</v>
      </c>
      <c r="K37" s="733"/>
      <c r="L37" s="736">
        <v>-219507.26000000004</v>
      </c>
      <c r="M37" s="733"/>
      <c r="N37" s="736">
        <v>0</v>
      </c>
      <c r="O37" s="733"/>
      <c r="P37" s="736">
        <v>164962810.97</v>
      </c>
      <c r="Q37" s="733"/>
      <c r="R37" s="736">
        <v>163521565.19538459</v>
      </c>
      <c r="S37" s="262"/>
      <c r="T37" s="252">
        <v>26</v>
      </c>
      <c r="U37" s="312"/>
      <c r="AA37" s="277"/>
      <c r="AB37" s="277"/>
      <c r="AC37" s="602"/>
      <c r="AD37" s="277"/>
      <c r="AE37" s="277"/>
      <c r="AF37" s="277"/>
      <c r="AG37" s="277"/>
      <c r="AH37" s="277"/>
      <c r="AI37" s="277"/>
      <c r="AJ37" s="277"/>
      <c r="AK37" s="277"/>
      <c r="AL37" s="262"/>
    </row>
    <row r="38" spans="1:38" ht="14.1" customHeight="1" x14ac:dyDescent="0.2">
      <c r="A38" s="252">
        <v>27</v>
      </c>
      <c r="B38" s="312"/>
      <c r="C38" s="269"/>
      <c r="D38" s="282"/>
      <c r="E38" s="282"/>
      <c r="F38" s="313"/>
      <c r="G38" s="282"/>
      <c r="H38" s="659"/>
      <c r="I38" s="733"/>
      <c r="J38" s="733"/>
      <c r="K38" s="733"/>
      <c r="L38" s="733"/>
      <c r="M38" s="733"/>
      <c r="N38" s="733"/>
      <c r="O38" s="738"/>
      <c r="P38" s="733"/>
      <c r="Q38" s="738"/>
      <c r="R38" s="733"/>
      <c r="S38" s="262"/>
      <c r="T38" s="252">
        <v>27</v>
      </c>
      <c r="U38" s="312"/>
      <c r="W38" s="279" t="s">
        <v>179</v>
      </c>
      <c r="AA38" s="277">
        <v>7484822.7599999998</v>
      </c>
      <c r="AB38" s="277"/>
      <c r="AC38" s="602">
        <v>0</v>
      </c>
      <c r="AD38" s="277"/>
      <c r="AE38" s="277">
        <v>0</v>
      </c>
      <c r="AF38" s="277"/>
      <c r="AG38" s="277">
        <v>0</v>
      </c>
      <c r="AH38" s="277"/>
      <c r="AI38" s="277">
        <v>7484822.7599999998</v>
      </c>
      <c r="AJ38" s="277"/>
      <c r="AK38" s="277">
        <v>7484822.7599999998</v>
      </c>
      <c r="AL38" s="262"/>
    </row>
    <row r="39" spans="1:38" ht="14.1" customHeight="1" x14ac:dyDescent="0.2">
      <c r="A39" s="252">
        <v>28</v>
      </c>
      <c r="B39" s="312"/>
      <c r="C39" s="269"/>
      <c r="D39" s="282" t="s">
        <v>182</v>
      </c>
      <c r="E39" s="282"/>
      <c r="F39" s="313"/>
      <c r="G39" s="282"/>
      <c r="H39" s="659"/>
      <c r="I39" s="733"/>
      <c r="J39" s="733"/>
      <c r="K39" s="733"/>
      <c r="L39" s="733"/>
      <c r="M39" s="733"/>
      <c r="N39" s="733"/>
      <c r="O39" s="738"/>
      <c r="P39" s="733"/>
      <c r="Q39" s="738"/>
      <c r="R39" s="733"/>
      <c r="S39" s="262"/>
      <c r="T39" s="252">
        <v>28</v>
      </c>
      <c r="U39" s="312"/>
      <c r="AA39" s="277"/>
      <c r="AB39" s="277"/>
      <c r="AC39" s="602"/>
      <c r="AD39" s="277"/>
      <c r="AE39" s="277"/>
      <c r="AF39" s="277"/>
      <c r="AG39" s="277"/>
      <c r="AH39" s="277"/>
      <c r="AI39" s="277"/>
      <c r="AJ39" s="277"/>
      <c r="AK39" s="277"/>
      <c r="AL39" s="262"/>
    </row>
    <row r="40" spans="1:38" ht="14.1" customHeight="1" x14ac:dyDescent="0.2">
      <c r="A40" s="252">
        <v>29</v>
      </c>
      <c r="B40" s="312"/>
      <c r="C40" s="269">
        <v>31143</v>
      </c>
      <c r="D40" s="252" t="s">
        <v>1408</v>
      </c>
      <c r="F40" s="313">
        <v>1.8000000000000003</v>
      </c>
      <c r="G40" s="260"/>
      <c r="H40" s="655">
        <v>15325678.259999998</v>
      </c>
      <c r="I40" s="733"/>
      <c r="J40" s="734">
        <v>0</v>
      </c>
      <c r="K40" s="277"/>
      <c r="L40" s="734">
        <v>-130556.65</v>
      </c>
      <c r="M40" s="277"/>
      <c r="N40" s="734">
        <v>0</v>
      </c>
      <c r="O40" s="277"/>
      <c r="P40" s="734">
        <v>15195121.609999998</v>
      </c>
      <c r="Q40" s="277"/>
      <c r="R40" s="734">
        <v>15205164.429230763</v>
      </c>
      <c r="S40" s="262"/>
      <c r="T40" s="252">
        <v>29</v>
      </c>
      <c r="U40" s="312"/>
      <c r="W40" s="739" t="s">
        <v>181</v>
      </c>
      <c r="Y40" s="277"/>
      <c r="Z40" s="277"/>
      <c r="AA40" s="277">
        <v>0</v>
      </c>
      <c r="AB40" s="277"/>
      <c r="AC40" s="602">
        <v>0</v>
      </c>
      <c r="AD40" s="277"/>
      <c r="AE40" s="277">
        <v>0</v>
      </c>
      <c r="AF40" s="277"/>
      <c r="AG40" s="277">
        <v>0</v>
      </c>
      <c r="AH40" s="277"/>
      <c r="AI40" s="277">
        <v>0</v>
      </c>
      <c r="AJ40" s="277"/>
      <c r="AK40" s="277">
        <v>0</v>
      </c>
      <c r="AL40" s="262"/>
    </row>
    <row r="41" spans="1:38" ht="14.1" customHeight="1" x14ac:dyDescent="0.2">
      <c r="A41" s="252">
        <v>30</v>
      </c>
      <c r="B41" s="312"/>
      <c r="C41" s="269">
        <v>31243</v>
      </c>
      <c r="D41" s="252" t="s">
        <v>162</v>
      </c>
      <c r="F41" s="313">
        <v>3.5000000000000004</v>
      </c>
      <c r="G41" s="260"/>
      <c r="H41" s="655">
        <v>161974328.52999997</v>
      </c>
      <c r="I41" s="733"/>
      <c r="J41" s="734">
        <v>3604895.9899999998</v>
      </c>
      <c r="K41" s="277"/>
      <c r="L41" s="734">
        <v>-699208.72000000009</v>
      </c>
      <c r="M41" s="277"/>
      <c r="N41" s="734">
        <v>0</v>
      </c>
      <c r="O41" s="277"/>
      <c r="P41" s="734">
        <v>164880015.79999998</v>
      </c>
      <c r="Q41" s="277"/>
      <c r="R41" s="734">
        <v>163916900.1815384</v>
      </c>
      <c r="S41" s="262"/>
      <c r="T41" s="252">
        <v>30</v>
      </c>
      <c r="U41" s="312"/>
      <c r="AA41" s="277"/>
      <c r="AB41" s="277"/>
      <c r="AC41" s="602"/>
      <c r="AD41" s="277"/>
      <c r="AE41" s="277"/>
      <c r="AF41" s="277"/>
      <c r="AG41" s="277"/>
      <c r="AH41" s="277"/>
      <c r="AI41" s="277"/>
      <c r="AJ41" s="277"/>
      <c r="AK41" s="277"/>
      <c r="AL41" s="262"/>
    </row>
    <row r="42" spans="1:38" ht="14.1" customHeight="1" x14ac:dyDescent="0.2">
      <c r="A42" s="252">
        <v>31</v>
      </c>
      <c r="B42" s="312"/>
      <c r="C42" s="269">
        <v>31443</v>
      </c>
      <c r="D42" s="252" t="s">
        <v>163</v>
      </c>
      <c r="F42" s="313">
        <v>3.2</v>
      </c>
      <c r="G42" s="260"/>
      <c r="H42" s="655">
        <v>51936423.439999998</v>
      </c>
      <c r="I42" s="733"/>
      <c r="J42" s="734">
        <v>3822857.83</v>
      </c>
      <c r="K42" s="277"/>
      <c r="L42" s="734">
        <v>-896517.69</v>
      </c>
      <c r="M42" s="277"/>
      <c r="N42" s="734">
        <v>0</v>
      </c>
      <c r="O42" s="277"/>
      <c r="P42" s="734">
        <v>54862763.579999998</v>
      </c>
      <c r="Q42" s="277"/>
      <c r="R42" s="734">
        <v>54351067.656923063</v>
      </c>
      <c r="S42" s="262"/>
      <c r="T42" s="252">
        <v>31</v>
      </c>
      <c r="U42" s="312"/>
      <c r="W42" s="252" t="s">
        <v>183</v>
      </c>
      <c r="AA42" s="277">
        <v>44312361.210000016</v>
      </c>
      <c r="AB42" s="277"/>
      <c r="AC42" s="602">
        <v>10293123.84</v>
      </c>
      <c r="AD42" s="277"/>
      <c r="AE42" s="277">
        <v>0</v>
      </c>
      <c r="AF42" s="277"/>
      <c r="AG42" s="277">
        <v>-68042.930000000008</v>
      </c>
      <c r="AH42" s="277"/>
      <c r="AI42" s="277">
        <v>54537442.120000012</v>
      </c>
      <c r="AJ42" s="277"/>
      <c r="AK42" s="277">
        <v>48993576.794615395</v>
      </c>
      <c r="AL42" s="262"/>
    </row>
    <row r="43" spans="1:38" ht="14.1" customHeight="1" x14ac:dyDescent="0.2">
      <c r="A43" s="252">
        <v>32</v>
      </c>
      <c r="B43" s="312"/>
      <c r="C43" s="269">
        <v>31543</v>
      </c>
      <c r="D43" s="252" t="s">
        <v>1409</v>
      </c>
      <c r="F43" s="313">
        <v>3.6000000000000005</v>
      </c>
      <c r="G43" s="260"/>
      <c r="H43" s="655">
        <v>24874085.259999994</v>
      </c>
      <c r="I43" s="733"/>
      <c r="J43" s="734">
        <v>1398623.38</v>
      </c>
      <c r="K43" s="277"/>
      <c r="L43" s="734">
        <v>-190337.12</v>
      </c>
      <c r="M43" s="277"/>
      <c r="N43" s="734">
        <v>0</v>
      </c>
      <c r="O43" s="277"/>
      <c r="P43" s="734">
        <v>26082371.519999992</v>
      </c>
      <c r="Q43" s="277"/>
      <c r="R43" s="734">
        <v>25846177.649999999</v>
      </c>
      <c r="S43" s="262"/>
      <c r="T43" s="252">
        <v>32</v>
      </c>
      <c r="U43" s="312"/>
      <c r="Y43" s="277"/>
      <c r="Z43" s="277"/>
      <c r="AA43" s="740"/>
      <c r="AB43" s="277"/>
      <c r="AC43" s="664"/>
      <c r="AD43" s="277"/>
      <c r="AE43" s="740"/>
      <c r="AF43" s="277"/>
      <c r="AG43" s="740"/>
      <c r="AH43" s="277"/>
      <c r="AI43" s="740"/>
      <c r="AJ43" s="277"/>
      <c r="AK43" s="740"/>
      <c r="AL43" s="262"/>
    </row>
    <row r="44" spans="1:38" ht="14.1" customHeight="1" thickBot="1" x14ac:dyDescent="0.25">
      <c r="A44" s="252">
        <v>33</v>
      </c>
      <c r="B44" s="312"/>
      <c r="C44" s="269">
        <v>31643</v>
      </c>
      <c r="D44" s="252" t="s">
        <v>165</v>
      </c>
      <c r="F44" s="313">
        <v>3</v>
      </c>
      <c r="G44" s="260"/>
      <c r="H44" s="655">
        <v>1988252.8</v>
      </c>
      <c r="I44" s="733"/>
      <c r="J44" s="734">
        <v>0</v>
      </c>
      <c r="K44" s="277"/>
      <c r="L44" s="734">
        <v>0</v>
      </c>
      <c r="M44" s="277"/>
      <c r="N44" s="734">
        <v>0</v>
      </c>
      <c r="O44" s="277"/>
      <c r="P44" s="734">
        <v>1988252.8</v>
      </c>
      <c r="Q44" s="277"/>
      <c r="R44" s="734">
        <v>1988252.8000000005</v>
      </c>
      <c r="S44" s="262"/>
      <c r="T44" s="252">
        <v>33</v>
      </c>
      <c r="U44" s="312"/>
      <c r="W44" s="252" t="s">
        <v>184</v>
      </c>
      <c r="Y44" s="277"/>
      <c r="Z44" s="277"/>
      <c r="AA44" s="741">
        <v>9685231738.7199974</v>
      </c>
      <c r="AB44" s="393"/>
      <c r="AC44" s="665">
        <v>644302126.96999979</v>
      </c>
      <c r="AD44" s="393"/>
      <c r="AE44" s="741">
        <v>-91077487.420000002</v>
      </c>
      <c r="AF44" s="393"/>
      <c r="AG44" s="741">
        <v>-32571.430000000357</v>
      </c>
      <c r="AH44" s="393"/>
      <c r="AI44" s="741">
        <v>10238423806.84</v>
      </c>
      <c r="AJ44" s="393"/>
      <c r="AK44" s="741">
        <v>10031767106.096157</v>
      </c>
      <c r="AL44" s="262"/>
    </row>
    <row r="45" spans="1:38" ht="14.1" customHeight="1" thickTop="1" x14ac:dyDescent="0.2">
      <c r="A45" s="252">
        <v>34</v>
      </c>
      <c r="B45" s="312"/>
      <c r="C45" s="269"/>
      <c r="D45" s="282" t="s">
        <v>185</v>
      </c>
      <c r="E45" s="282"/>
      <c r="F45" s="313"/>
      <c r="H45" s="658">
        <v>256098768.28999996</v>
      </c>
      <c r="I45" s="733"/>
      <c r="J45" s="736">
        <v>8826377.1999999993</v>
      </c>
      <c r="K45" s="733"/>
      <c r="L45" s="736">
        <v>-1916620.1800000002</v>
      </c>
      <c r="M45" s="733"/>
      <c r="N45" s="736">
        <v>0</v>
      </c>
      <c r="O45" s="733"/>
      <c r="P45" s="736">
        <v>263008525.30999994</v>
      </c>
      <c r="Q45" s="733"/>
      <c r="R45" s="736">
        <v>261307562.71769223</v>
      </c>
      <c r="S45" s="262"/>
      <c r="T45" s="252">
        <v>34</v>
      </c>
      <c r="U45" s="312"/>
      <c r="AA45" s="393">
        <v>0</v>
      </c>
      <c r="AB45" s="393"/>
      <c r="AC45" s="666">
        <v>0</v>
      </c>
      <c r="AD45" s="393"/>
      <c r="AE45" s="393">
        <v>0</v>
      </c>
      <c r="AF45" s="393"/>
      <c r="AG45" s="393">
        <v>0</v>
      </c>
      <c r="AH45" s="393"/>
      <c r="AI45" s="393">
        <v>0</v>
      </c>
      <c r="AJ45" s="393"/>
      <c r="AK45" s="393">
        <v>0</v>
      </c>
      <c r="AL45" s="262"/>
    </row>
    <row r="46" spans="1:38" ht="14.1" customHeight="1" x14ac:dyDescent="0.2">
      <c r="A46" s="252">
        <v>35</v>
      </c>
      <c r="B46" s="312"/>
      <c r="H46" s="602"/>
      <c r="I46" s="277"/>
      <c r="J46" s="277"/>
      <c r="K46" s="277"/>
      <c r="L46" s="277"/>
      <c r="M46" s="277"/>
      <c r="N46" s="277"/>
      <c r="O46" s="277"/>
      <c r="P46" s="277"/>
      <c r="Q46" s="277"/>
      <c r="R46" s="277"/>
      <c r="S46" s="262"/>
      <c r="T46" s="252">
        <v>35</v>
      </c>
      <c r="U46" s="312"/>
      <c r="AL46" s="262"/>
    </row>
    <row r="47" spans="1:38" ht="14.1" customHeight="1" x14ac:dyDescent="0.2">
      <c r="A47" s="252">
        <v>36</v>
      </c>
      <c r="B47" s="312"/>
      <c r="C47" s="284"/>
      <c r="D47" s="282" t="s">
        <v>188</v>
      </c>
      <c r="E47" s="282"/>
      <c r="F47" s="313"/>
      <c r="G47" s="282"/>
      <c r="H47" s="659"/>
      <c r="I47" s="733"/>
      <c r="J47" s="733"/>
      <c r="K47" s="733"/>
      <c r="L47" s="733"/>
      <c r="M47" s="733"/>
      <c r="N47" s="733"/>
      <c r="O47" s="738"/>
      <c r="P47" s="733"/>
      <c r="Q47" s="738"/>
      <c r="R47" s="733"/>
      <c r="S47" s="262"/>
      <c r="T47" s="252">
        <v>36</v>
      </c>
      <c r="U47" s="312"/>
      <c r="AL47" s="262"/>
    </row>
    <row r="48" spans="1:38" ht="14.1" customHeight="1" x14ac:dyDescent="0.2">
      <c r="A48" s="252">
        <v>37</v>
      </c>
      <c r="B48" s="314"/>
      <c r="C48" s="269">
        <v>31144</v>
      </c>
      <c r="D48" s="252" t="s">
        <v>1408</v>
      </c>
      <c r="F48" s="313">
        <v>1.8000000000000003</v>
      </c>
      <c r="G48" s="260"/>
      <c r="H48" s="655">
        <v>63363345.659999996</v>
      </c>
      <c r="I48" s="733"/>
      <c r="J48" s="734">
        <v>1535542.5800000005</v>
      </c>
      <c r="K48" s="277"/>
      <c r="L48" s="734">
        <v>-127108.59</v>
      </c>
      <c r="M48" s="277"/>
      <c r="N48" s="734">
        <v>0</v>
      </c>
      <c r="O48" s="277"/>
      <c r="P48" s="734">
        <v>64771779.649999991</v>
      </c>
      <c r="Q48" s="277"/>
      <c r="R48" s="734">
        <v>64522217.75769233</v>
      </c>
      <c r="S48" s="262"/>
      <c r="T48" s="252">
        <v>37</v>
      </c>
      <c r="U48" s="314"/>
      <c r="AL48" s="262"/>
    </row>
    <row r="49" spans="1:38" ht="14.1" customHeight="1" x14ac:dyDescent="0.2">
      <c r="A49" s="252">
        <v>38</v>
      </c>
      <c r="B49" s="314"/>
      <c r="C49" s="269">
        <v>31244</v>
      </c>
      <c r="D49" s="252" t="s">
        <v>162</v>
      </c>
      <c r="F49" s="313">
        <v>3</v>
      </c>
      <c r="G49" s="260"/>
      <c r="H49" s="655">
        <v>256349256.94999996</v>
      </c>
      <c r="I49" s="733"/>
      <c r="J49" s="734">
        <v>48514583.380000003</v>
      </c>
      <c r="K49" s="277"/>
      <c r="L49" s="734">
        <v>-16653346.49</v>
      </c>
      <c r="M49" s="277"/>
      <c r="N49" s="734">
        <v>0</v>
      </c>
      <c r="O49" s="277"/>
      <c r="P49" s="734">
        <v>288210493.83999997</v>
      </c>
      <c r="Q49" s="277"/>
      <c r="R49" s="734">
        <v>275396553.9453845</v>
      </c>
      <c r="S49" s="262"/>
      <c r="T49" s="252">
        <v>38</v>
      </c>
      <c r="U49" s="314"/>
      <c r="AL49" s="262"/>
    </row>
    <row r="50" spans="1:38" ht="14.1" customHeight="1" x14ac:dyDescent="0.2">
      <c r="A50" s="252">
        <v>39</v>
      </c>
      <c r="B50" s="314"/>
      <c r="C50" s="269">
        <v>31444</v>
      </c>
      <c r="D50" s="252" t="s">
        <v>163</v>
      </c>
      <c r="F50" s="313">
        <v>2.8</v>
      </c>
      <c r="G50" s="260"/>
      <c r="H50" s="655">
        <v>97781084.49999997</v>
      </c>
      <c r="I50" s="733"/>
      <c r="J50" s="734">
        <v>14842808.799999999</v>
      </c>
      <c r="K50" s="277"/>
      <c r="L50" s="734">
        <v>-2873153.4599999995</v>
      </c>
      <c r="M50" s="277"/>
      <c r="N50" s="734">
        <v>0</v>
      </c>
      <c r="O50" s="277"/>
      <c r="P50" s="734">
        <v>109750739.83999997</v>
      </c>
      <c r="Q50" s="277"/>
      <c r="R50" s="734">
        <v>104360067.68692306</v>
      </c>
      <c r="S50" s="262"/>
      <c r="T50" s="252">
        <v>39</v>
      </c>
      <c r="U50" s="314"/>
      <c r="AL50" s="262"/>
    </row>
    <row r="51" spans="1:38" ht="14.1" customHeight="1" x14ac:dyDescent="0.2">
      <c r="A51" s="252">
        <v>40</v>
      </c>
      <c r="B51" s="314"/>
      <c r="C51" s="269">
        <v>31544</v>
      </c>
      <c r="D51" s="252" t="s">
        <v>1409</v>
      </c>
      <c r="F51" s="313">
        <v>3.2</v>
      </c>
      <c r="G51" s="260"/>
      <c r="H51" s="655">
        <v>44729059.890000015</v>
      </c>
      <c r="I51" s="733"/>
      <c r="J51" s="734">
        <v>6918491.5799999991</v>
      </c>
      <c r="K51" s="277"/>
      <c r="L51" s="734">
        <v>-138831.19999999998</v>
      </c>
      <c r="M51" s="277"/>
      <c r="N51" s="734">
        <v>0</v>
      </c>
      <c r="O51" s="277"/>
      <c r="P51" s="734">
        <v>51508720.270000011</v>
      </c>
      <c r="Q51" s="277"/>
      <c r="R51" s="734">
        <v>48706100.956153862</v>
      </c>
      <c r="S51" s="262"/>
      <c r="T51" s="252">
        <v>40</v>
      </c>
      <c r="U51" s="314"/>
      <c r="AL51" s="262"/>
    </row>
    <row r="52" spans="1:38" ht="14.1" customHeight="1" x14ac:dyDescent="0.2">
      <c r="A52" s="252">
        <v>41</v>
      </c>
      <c r="B52" s="314"/>
      <c r="C52" s="269">
        <v>31644</v>
      </c>
      <c r="D52" s="252" t="s">
        <v>165</v>
      </c>
      <c r="F52" s="313">
        <v>2.5</v>
      </c>
      <c r="G52" s="260"/>
      <c r="H52" s="655">
        <v>5865811.79</v>
      </c>
      <c r="I52" s="733"/>
      <c r="J52" s="734">
        <v>0</v>
      </c>
      <c r="K52" s="277"/>
      <c r="L52" s="734">
        <v>0</v>
      </c>
      <c r="M52" s="277"/>
      <c r="N52" s="734">
        <v>0</v>
      </c>
      <c r="O52" s="277"/>
      <c r="P52" s="734">
        <v>5865811.79</v>
      </c>
      <c r="Q52" s="277"/>
      <c r="R52" s="734">
        <v>5865811.790000001</v>
      </c>
      <c r="S52" s="262"/>
      <c r="T52" s="252">
        <v>41</v>
      </c>
      <c r="U52" s="314"/>
      <c r="AL52" s="262"/>
    </row>
    <row r="53" spans="1:38" ht="14.1" customHeight="1" x14ac:dyDescent="0.2">
      <c r="A53" s="252">
        <v>42</v>
      </c>
      <c r="B53" s="314"/>
      <c r="D53" s="282" t="s">
        <v>189</v>
      </c>
      <c r="E53" s="282"/>
      <c r="F53" s="313"/>
      <c r="H53" s="658">
        <v>468088558.7899999</v>
      </c>
      <c r="I53" s="733"/>
      <c r="J53" s="736">
        <v>71811426.340000004</v>
      </c>
      <c r="K53" s="733"/>
      <c r="L53" s="736">
        <v>-19792439.740000002</v>
      </c>
      <c r="M53" s="733"/>
      <c r="N53" s="736">
        <v>0</v>
      </c>
      <c r="O53" s="733"/>
      <c r="P53" s="736">
        <v>520107545.38999993</v>
      </c>
      <c r="Q53" s="733"/>
      <c r="R53" s="736">
        <v>498850752.13615376</v>
      </c>
      <c r="S53" s="262"/>
      <c r="T53" s="252">
        <v>42</v>
      </c>
      <c r="U53" s="314"/>
      <c r="AL53" s="262"/>
    </row>
    <row r="54" spans="1:38" ht="14.1" customHeight="1" x14ac:dyDescent="0.2">
      <c r="A54" s="252">
        <v>43</v>
      </c>
      <c r="B54" s="314"/>
      <c r="S54" s="262"/>
      <c r="T54" s="252">
        <v>43</v>
      </c>
      <c r="U54" s="314"/>
      <c r="AL54" s="262"/>
    </row>
    <row r="55" spans="1:38" ht="14.1" customHeight="1" thickBot="1" x14ac:dyDescent="0.25">
      <c r="A55" s="252">
        <v>44</v>
      </c>
      <c r="B55" s="742" t="s">
        <v>186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2"/>
      <c r="T55" s="252">
        <v>44</v>
      </c>
      <c r="U55" s="742" t="s">
        <v>186</v>
      </c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2"/>
    </row>
    <row r="56" spans="1:38" ht="14.1" customHeight="1" x14ac:dyDescent="0.2">
      <c r="A56" s="261" t="s">
        <v>60</v>
      </c>
      <c r="P56" s="252" t="s">
        <v>60</v>
      </c>
      <c r="S56" s="262"/>
      <c r="AL56" s="262"/>
    </row>
    <row r="57" spans="1:38" ht="14.1" customHeight="1" thickBot="1" x14ac:dyDescent="0.25">
      <c r="A57" s="264" t="s">
        <v>127</v>
      </c>
      <c r="B57" s="264"/>
      <c r="C57" s="264"/>
      <c r="D57" s="264"/>
      <c r="E57" s="264"/>
      <c r="F57" s="264"/>
      <c r="G57" s="264" t="s">
        <v>128</v>
      </c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 t="s">
        <v>840</v>
      </c>
      <c r="S57" s="262"/>
      <c r="T57" s="262"/>
      <c r="U57" s="262"/>
      <c r="V57" s="262"/>
      <c r="W57" s="262"/>
      <c r="X57" s="262"/>
      <c r="Y57" s="262"/>
      <c r="Z57" s="262"/>
      <c r="AA57" s="262"/>
      <c r="AB57" s="262"/>
      <c r="AC57" s="262"/>
      <c r="AD57" s="262"/>
      <c r="AE57" s="262"/>
      <c r="AF57" s="262"/>
      <c r="AG57" s="262"/>
      <c r="AH57" s="262"/>
      <c r="AI57" s="262"/>
      <c r="AJ57" s="262"/>
      <c r="AK57" s="262"/>
      <c r="AL57" s="262"/>
    </row>
    <row r="58" spans="1:38" ht="14.1" customHeight="1" x14ac:dyDescent="0.2">
      <c r="A58" s="252" t="s">
        <v>129</v>
      </c>
      <c r="B58" s="285"/>
      <c r="E58" s="260" t="s">
        <v>130</v>
      </c>
      <c r="F58" s="252" t="s">
        <v>1405</v>
      </c>
      <c r="J58" s="286"/>
      <c r="K58" s="286"/>
      <c r="M58" s="286"/>
      <c r="N58" s="286"/>
      <c r="O58" s="286" t="s">
        <v>187</v>
      </c>
      <c r="R58" s="261"/>
      <c r="S58" s="262"/>
    </row>
    <row r="59" spans="1:38" ht="14.1" customHeight="1" x14ac:dyDescent="0.2">
      <c r="B59" s="285"/>
      <c r="F59" s="252" t="s">
        <v>1406</v>
      </c>
      <c r="J59" s="260"/>
      <c r="K59" s="261"/>
      <c r="N59" s="260"/>
      <c r="O59" s="260" t="s">
        <v>123</v>
      </c>
      <c r="P59" s="261" t="s">
        <v>1407</v>
      </c>
      <c r="R59" s="260"/>
      <c r="S59" s="262"/>
      <c r="AA59" s="277"/>
    </row>
    <row r="60" spans="1:38" ht="14.1" customHeight="1" x14ac:dyDescent="0.2">
      <c r="A60" s="252" t="s">
        <v>134</v>
      </c>
      <c r="B60" s="285"/>
      <c r="F60" s="252" t="s">
        <v>123</v>
      </c>
      <c r="J60" s="260"/>
      <c r="K60" s="261"/>
      <c r="L60" s="260"/>
      <c r="O60" s="260" t="s">
        <v>123</v>
      </c>
      <c r="P60" s="261">
        <v>0</v>
      </c>
      <c r="R60" s="260"/>
      <c r="S60" s="262"/>
    </row>
    <row r="61" spans="1:38" ht="14.1" customHeight="1" x14ac:dyDescent="0.2">
      <c r="B61" s="285"/>
      <c r="F61" s="252" t="s">
        <v>123</v>
      </c>
      <c r="J61" s="260"/>
      <c r="K61" s="261"/>
      <c r="L61" s="260"/>
      <c r="O61" s="260" t="s">
        <v>123</v>
      </c>
      <c r="P61" s="261"/>
      <c r="R61" s="260"/>
      <c r="S61" s="262"/>
    </row>
    <row r="62" spans="1:38" ht="14.1" customHeight="1" thickBot="1" x14ac:dyDescent="0.25">
      <c r="A62" s="264" t="s">
        <v>135</v>
      </c>
      <c r="B62" s="287"/>
      <c r="C62" s="264"/>
      <c r="D62" s="264"/>
      <c r="E62" s="264"/>
      <c r="F62" s="264" t="s">
        <v>123</v>
      </c>
      <c r="G62" s="264"/>
      <c r="H62" s="266"/>
      <c r="I62" s="264"/>
      <c r="J62" s="264"/>
      <c r="K62" s="264"/>
      <c r="L62" s="264"/>
      <c r="M62" s="264"/>
      <c r="N62" s="264"/>
      <c r="O62" s="264"/>
      <c r="P62" s="288"/>
      <c r="Q62" s="264"/>
      <c r="R62" s="264"/>
      <c r="S62" s="262"/>
    </row>
    <row r="63" spans="1:38" ht="14.1" customHeight="1" x14ac:dyDescent="0.2"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2"/>
    </row>
    <row r="64" spans="1:38" ht="14.1" customHeight="1" x14ac:dyDescent="0.2">
      <c r="C64" s="267" t="s">
        <v>136</v>
      </c>
      <c r="D64" s="267" t="s">
        <v>137</v>
      </c>
      <c r="E64" s="267"/>
      <c r="F64" s="267" t="s">
        <v>138</v>
      </c>
      <c r="G64" s="267"/>
      <c r="H64" s="267" t="s">
        <v>139</v>
      </c>
      <c r="I64" s="267"/>
      <c r="J64" s="269" t="s">
        <v>140</v>
      </c>
      <c r="K64" s="269"/>
      <c r="L64" s="267" t="s">
        <v>141</v>
      </c>
      <c r="M64" s="267"/>
      <c r="N64" s="267" t="s">
        <v>142</v>
      </c>
      <c r="O64" s="267"/>
      <c r="P64" s="267" t="s">
        <v>143</v>
      </c>
      <c r="Q64" s="267"/>
      <c r="R64" s="267" t="s">
        <v>144</v>
      </c>
      <c r="S64" s="262"/>
    </row>
    <row r="65" spans="1:21" ht="14.1" customHeight="1" x14ac:dyDescent="0.2">
      <c r="C65" s="269" t="s">
        <v>145</v>
      </c>
      <c r="D65" s="269" t="s">
        <v>145</v>
      </c>
      <c r="F65" s="269" t="s">
        <v>6</v>
      </c>
      <c r="G65" s="269"/>
      <c r="H65" s="267" t="s">
        <v>48</v>
      </c>
      <c r="I65" s="269"/>
      <c r="J65" s="267" t="s">
        <v>40</v>
      </c>
      <c r="K65" s="269"/>
      <c r="L65" s="269" t="s">
        <v>40</v>
      </c>
      <c r="M65" s="269"/>
      <c r="P65" s="269" t="s">
        <v>48</v>
      </c>
      <c r="R65" s="269"/>
      <c r="S65" s="262"/>
    </row>
    <row r="66" spans="1:21" ht="14.1" customHeight="1" x14ac:dyDescent="0.2">
      <c r="A66" s="252" t="s">
        <v>146</v>
      </c>
      <c r="B66" s="269"/>
      <c r="C66" s="269" t="s">
        <v>147</v>
      </c>
      <c r="D66" s="269" t="s">
        <v>147</v>
      </c>
      <c r="E66" s="267"/>
      <c r="F66" s="269" t="s">
        <v>148</v>
      </c>
      <c r="G66" s="269"/>
      <c r="H66" s="269" t="s">
        <v>149</v>
      </c>
      <c r="I66" s="269"/>
      <c r="J66" s="269" t="s">
        <v>48</v>
      </c>
      <c r="K66" s="267"/>
      <c r="L66" s="269" t="s">
        <v>48</v>
      </c>
      <c r="M66" s="261"/>
      <c r="N66" s="269" t="s">
        <v>150</v>
      </c>
      <c r="O66" s="267"/>
      <c r="P66" s="267" t="s">
        <v>149</v>
      </c>
      <c r="Q66" s="267"/>
      <c r="R66" s="269" t="s">
        <v>151</v>
      </c>
      <c r="S66" s="262"/>
    </row>
    <row r="67" spans="1:21" ht="14.1" customHeight="1" thickBot="1" x14ac:dyDescent="0.25">
      <c r="A67" s="264" t="s">
        <v>152</v>
      </c>
      <c r="B67" s="266"/>
      <c r="C67" s="266" t="s">
        <v>52</v>
      </c>
      <c r="D67" s="266" t="s">
        <v>153</v>
      </c>
      <c r="E67" s="266"/>
      <c r="F67" s="270" t="s">
        <v>57</v>
      </c>
      <c r="G67" s="270"/>
      <c r="H67" s="270" t="s">
        <v>154</v>
      </c>
      <c r="I67" s="271"/>
      <c r="J67" s="270" t="s">
        <v>155</v>
      </c>
      <c r="K67" s="271"/>
      <c r="L67" s="271" t="s">
        <v>156</v>
      </c>
      <c r="M67" s="272"/>
      <c r="N67" s="272" t="s">
        <v>157</v>
      </c>
      <c r="O67" s="272"/>
      <c r="P67" s="272" t="s">
        <v>158</v>
      </c>
      <c r="Q67" s="272"/>
      <c r="R67" s="272" t="s">
        <v>3</v>
      </c>
      <c r="S67" s="262"/>
    </row>
    <row r="68" spans="1:21" ht="14.1" customHeight="1" x14ac:dyDescent="0.2">
      <c r="A68" s="252">
        <v>1</v>
      </c>
      <c r="B68" s="269"/>
      <c r="S68" s="262"/>
    </row>
    <row r="69" spans="1:21" ht="14.1" customHeight="1" x14ac:dyDescent="0.2">
      <c r="A69" s="252">
        <v>2</v>
      </c>
      <c r="B69" s="312"/>
      <c r="D69" s="278" t="s">
        <v>190</v>
      </c>
      <c r="E69" s="282"/>
      <c r="F69" s="282"/>
      <c r="G69" s="282"/>
      <c r="S69" s="262"/>
    </row>
    <row r="70" spans="1:21" ht="14.1" customHeight="1" x14ac:dyDescent="0.2">
      <c r="A70" s="252">
        <v>3</v>
      </c>
      <c r="B70" s="312"/>
      <c r="C70" s="269">
        <v>31145</v>
      </c>
      <c r="D70" s="252" t="s">
        <v>1408</v>
      </c>
      <c r="F70" s="313">
        <v>2</v>
      </c>
      <c r="G70" s="260"/>
      <c r="H70" s="743">
        <v>23911918.730000008</v>
      </c>
      <c r="I70" s="744"/>
      <c r="J70" s="745">
        <v>586273.19999999995</v>
      </c>
      <c r="K70" s="746"/>
      <c r="L70" s="745">
        <v>1468.76</v>
      </c>
      <c r="M70" s="746"/>
      <c r="N70" s="745">
        <v>0</v>
      </c>
      <c r="O70" s="746"/>
      <c r="P70" s="745">
        <v>24499660.690000009</v>
      </c>
      <c r="Q70" s="746"/>
      <c r="R70" s="745">
        <v>24432650.977692313</v>
      </c>
      <c r="S70" s="262"/>
      <c r="U70" s="283"/>
    </row>
    <row r="71" spans="1:21" ht="14.1" customHeight="1" x14ac:dyDescent="0.2">
      <c r="A71" s="252">
        <v>4</v>
      </c>
      <c r="B71" s="312"/>
      <c r="C71" s="269">
        <v>31245</v>
      </c>
      <c r="D71" s="252" t="s">
        <v>162</v>
      </c>
      <c r="F71" s="313">
        <v>2.5</v>
      </c>
      <c r="G71" s="260"/>
      <c r="H71" s="743">
        <v>159201061.49999997</v>
      </c>
      <c r="I71" s="744"/>
      <c r="J71" s="745">
        <v>2822925.8899999997</v>
      </c>
      <c r="K71" s="746"/>
      <c r="L71" s="745">
        <v>-594433.39</v>
      </c>
      <c r="M71" s="746"/>
      <c r="N71" s="745">
        <v>0</v>
      </c>
      <c r="O71" s="746"/>
      <c r="P71" s="745">
        <v>161429553.99999997</v>
      </c>
      <c r="Q71" s="746"/>
      <c r="R71" s="745">
        <v>161069686.69230768</v>
      </c>
      <c r="S71" s="262"/>
      <c r="U71" s="283"/>
    </row>
    <row r="72" spans="1:21" ht="14.1" customHeight="1" x14ac:dyDescent="0.2">
      <c r="A72" s="252">
        <v>5</v>
      </c>
      <c r="B72" s="312"/>
      <c r="C72" s="269">
        <v>31545</v>
      </c>
      <c r="D72" s="252" t="s">
        <v>1409</v>
      </c>
      <c r="F72" s="313">
        <v>3.1</v>
      </c>
      <c r="G72" s="260"/>
      <c r="H72" s="743">
        <v>26927793.559999995</v>
      </c>
      <c r="I72" s="744"/>
      <c r="J72" s="745">
        <v>0</v>
      </c>
      <c r="K72" s="746"/>
      <c r="L72" s="745">
        <v>-1219289.47</v>
      </c>
      <c r="M72" s="746"/>
      <c r="N72" s="745">
        <v>0</v>
      </c>
      <c r="O72" s="746"/>
      <c r="P72" s="745">
        <v>25708504.089999996</v>
      </c>
      <c r="Q72" s="746"/>
      <c r="R72" s="745">
        <v>25989878.583076917</v>
      </c>
      <c r="S72" s="262"/>
      <c r="U72" s="283"/>
    </row>
    <row r="73" spans="1:21" ht="14.1" customHeight="1" x14ac:dyDescent="0.2">
      <c r="A73" s="252">
        <v>6</v>
      </c>
      <c r="B73" s="312"/>
      <c r="C73" s="269">
        <v>31645</v>
      </c>
      <c r="D73" s="252" t="s">
        <v>165</v>
      </c>
      <c r="F73" s="313">
        <v>3.2</v>
      </c>
      <c r="G73" s="260"/>
      <c r="H73" s="743">
        <v>689413.77</v>
      </c>
      <c r="I73" s="744"/>
      <c r="J73" s="745">
        <v>0</v>
      </c>
      <c r="K73" s="746"/>
      <c r="L73" s="745">
        <v>-16500.22</v>
      </c>
      <c r="M73" s="746"/>
      <c r="N73" s="745">
        <v>0</v>
      </c>
      <c r="O73" s="746"/>
      <c r="P73" s="745">
        <v>672913.55</v>
      </c>
      <c r="Q73" s="746"/>
      <c r="R73" s="745">
        <v>677990.54076923069</v>
      </c>
      <c r="S73" s="262"/>
      <c r="U73" s="283"/>
    </row>
    <row r="74" spans="1:21" ht="14.1" customHeight="1" x14ac:dyDescent="0.2">
      <c r="A74" s="252">
        <v>7</v>
      </c>
      <c r="B74" s="269"/>
      <c r="C74" s="269"/>
      <c r="D74" s="278" t="s">
        <v>191</v>
      </c>
      <c r="E74" s="282"/>
      <c r="F74" s="313"/>
      <c r="H74" s="747">
        <v>210730187.56</v>
      </c>
      <c r="I74" s="744"/>
      <c r="J74" s="748">
        <v>3409199.09</v>
      </c>
      <c r="K74" s="744"/>
      <c r="L74" s="748">
        <v>-1828754.32</v>
      </c>
      <c r="M74" s="744"/>
      <c r="N74" s="748">
        <v>0</v>
      </c>
      <c r="O74" s="744"/>
      <c r="P74" s="748">
        <v>212310632.32999998</v>
      </c>
      <c r="Q74" s="744"/>
      <c r="R74" s="748">
        <v>212170206.79384613</v>
      </c>
      <c r="S74" s="262"/>
      <c r="U74" s="283"/>
    </row>
    <row r="75" spans="1:21" ht="14.1" customHeight="1" x14ac:dyDescent="0.2">
      <c r="A75" s="252">
        <v>8</v>
      </c>
      <c r="B75" s="269"/>
      <c r="H75" s="749"/>
      <c r="I75" s="746"/>
      <c r="J75" s="746"/>
      <c r="K75" s="746"/>
      <c r="L75" s="746"/>
      <c r="M75" s="746"/>
      <c r="N75" s="746"/>
      <c r="O75" s="746"/>
      <c r="P75" s="746"/>
      <c r="Q75" s="746"/>
      <c r="R75" s="746"/>
      <c r="S75" s="262"/>
      <c r="U75" s="283"/>
    </row>
    <row r="76" spans="1:21" ht="14.1" customHeight="1" x14ac:dyDescent="0.2">
      <c r="A76" s="252">
        <v>9</v>
      </c>
      <c r="B76" s="312"/>
      <c r="F76" s="313"/>
      <c r="H76" s="750"/>
      <c r="I76" s="744"/>
      <c r="J76" s="744"/>
      <c r="K76" s="744"/>
      <c r="L76" s="744"/>
      <c r="M76" s="744"/>
      <c r="N76" s="744"/>
      <c r="O76" s="744"/>
      <c r="P76" s="744"/>
      <c r="Q76" s="744"/>
      <c r="R76" s="744"/>
      <c r="S76" s="262"/>
      <c r="U76" s="283"/>
    </row>
    <row r="77" spans="1:21" ht="14.1" customHeight="1" x14ac:dyDescent="0.2">
      <c r="A77" s="252">
        <v>10</v>
      </c>
      <c r="B77" s="312"/>
      <c r="C77" s="269"/>
      <c r="D77" s="282" t="s">
        <v>192</v>
      </c>
      <c r="E77" s="282"/>
      <c r="F77" s="313"/>
      <c r="G77" s="282"/>
      <c r="H77" s="750"/>
      <c r="I77" s="744"/>
      <c r="J77" s="744"/>
      <c r="K77" s="744"/>
      <c r="L77" s="744"/>
      <c r="M77" s="744"/>
      <c r="N77" s="744"/>
      <c r="O77" s="744"/>
      <c r="P77" s="744"/>
      <c r="Q77" s="744"/>
      <c r="R77" s="744"/>
      <c r="S77" s="262"/>
      <c r="U77" s="283"/>
    </row>
    <row r="78" spans="1:21" ht="14.1" customHeight="1" x14ac:dyDescent="0.2">
      <c r="A78" s="252">
        <v>11</v>
      </c>
      <c r="B78" s="312"/>
      <c r="C78" s="269">
        <v>31146</v>
      </c>
      <c r="D78" s="252" t="s">
        <v>1408</v>
      </c>
      <c r="F78" s="313">
        <v>2.9</v>
      </c>
      <c r="G78" s="260"/>
      <c r="H78" s="743">
        <v>12704431.66</v>
      </c>
      <c r="I78" s="744"/>
      <c r="J78" s="745">
        <v>30515.47</v>
      </c>
      <c r="K78" s="746"/>
      <c r="L78" s="745">
        <v>-77894.39</v>
      </c>
      <c r="M78" s="746"/>
      <c r="N78" s="745">
        <v>0</v>
      </c>
      <c r="O78" s="746"/>
      <c r="P78" s="745">
        <v>12657052.74</v>
      </c>
      <c r="Q78" s="746"/>
      <c r="R78" s="745">
        <v>12702033.924615383</v>
      </c>
      <c r="S78" s="262"/>
      <c r="U78" s="283"/>
    </row>
    <row r="79" spans="1:21" ht="14.1" customHeight="1" x14ac:dyDescent="0.2">
      <c r="A79" s="252">
        <v>12</v>
      </c>
      <c r="B79" s="312"/>
      <c r="C79" s="269">
        <v>31246</v>
      </c>
      <c r="D79" s="252" t="s">
        <v>162</v>
      </c>
      <c r="F79" s="313">
        <v>3.3000000000000003</v>
      </c>
      <c r="G79" s="260"/>
      <c r="H79" s="743">
        <v>54859776.679999992</v>
      </c>
      <c r="I79" s="744"/>
      <c r="J79" s="745">
        <v>212234.81999999998</v>
      </c>
      <c r="K79" s="746"/>
      <c r="L79" s="745">
        <v>-35797.64</v>
      </c>
      <c r="M79" s="746"/>
      <c r="N79" s="745">
        <v>0</v>
      </c>
      <c r="O79" s="746"/>
      <c r="P79" s="745">
        <v>55036213.859999992</v>
      </c>
      <c r="Q79" s="746"/>
      <c r="R79" s="745">
        <v>54896618.513076916</v>
      </c>
      <c r="S79" s="262"/>
      <c r="U79" s="283"/>
    </row>
    <row r="80" spans="1:21" ht="14.1" customHeight="1" x14ac:dyDescent="0.2">
      <c r="A80" s="252">
        <v>13</v>
      </c>
      <c r="B80" s="312"/>
      <c r="C80" s="269">
        <v>31546</v>
      </c>
      <c r="D80" s="252" t="s">
        <v>1409</v>
      </c>
      <c r="F80" s="313">
        <v>3.5000000000000004</v>
      </c>
      <c r="G80" s="260"/>
      <c r="H80" s="743">
        <v>9765956.1899999995</v>
      </c>
      <c r="I80" s="744"/>
      <c r="J80" s="745">
        <v>0</v>
      </c>
      <c r="K80" s="746"/>
      <c r="L80" s="745">
        <v>0</v>
      </c>
      <c r="M80" s="746"/>
      <c r="N80" s="745">
        <v>0</v>
      </c>
      <c r="O80" s="746"/>
      <c r="P80" s="745">
        <v>9765956.1899999995</v>
      </c>
      <c r="Q80" s="746"/>
      <c r="R80" s="745">
        <v>10008342.023846151</v>
      </c>
      <c r="S80" s="262"/>
      <c r="U80" s="283"/>
    </row>
    <row r="81" spans="1:21" ht="14.1" customHeight="1" x14ac:dyDescent="0.2">
      <c r="A81" s="252">
        <v>14</v>
      </c>
      <c r="B81" s="312"/>
      <c r="C81" s="269">
        <v>31646</v>
      </c>
      <c r="D81" s="252" t="s">
        <v>165</v>
      </c>
      <c r="F81" s="313">
        <v>2.9</v>
      </c>
      <c r="G81" s="260"/>
      <c r="H81" s="743">
        <v>1725496.47</v>
      </c>
      <c r="I81" s="744"/>
      <c r="J81" s="745">
        <v>0</v>
      </c>
      <c r="K81" s="746"/>
      <c r="L81" s="745">
        <v>0</v>
      </c>
      <c r="M81" s="746"/>
      <c r="N81" s="745">
        <v>0</v>
      </c>
      <c r="O81" s="746"/>
      <c r="P81" s="745">
        <v>1725496.47</v>
      </c>
      <c r="Q81" s="746"/>
      <c r="R81" s="745">
        <v>1725496.47</v>
      </c>
      <c r="S81" s="262"/>
      <c r="U81" s="283"/>
    </row>
    <row r="82" spans="1:21" ht="14.1" customHeight="1" x14ac:dyDescent="0.2">
      <c r="A82" s="252">
        <v>15</v>
      </c>
      <c r="B82" s="312"/>
      <c r="C82" s="269"/>
      <c r="D82" s="282" t="s">
        <v>193</v>
      </c>
      <c r="E82" s="282"/>
      <c r="F82" s="313"/>
      <c r="H82" s="747">
        <v>79055660.999999985</v>
      </c>
      <c r="I82" s="744"/>
      <c r="J82" s="748">
        <v>242750.28999999998</v>
      </c>
      <c r="K82" s="744"/>
      <c r="L82" s="748">
        <v>-113692.03</v>
      </c>
      <c r="M82" s="744"/>
      <c r="N82" s="748">
        <v>0</v>
      </c>
      <c r="O82" s="744"/>
      <c r="P82" s="748">
        <v>79184719.25999999</v>
      </c>
      <c r="Q82" s="744"/>
      <c r="R82" s="748">
        <v>79332490.931538448</v>
      </c>
      <c r="S82" s="262"/>
      <c r="U82" s="283"/>
    </row>
    <row r="83" spans="1:21" ht="14.1" customHeight="1" x14ac:dyDescent="0.2">
      <c r="A83" s="252">
        <v>16</v>
      </c>
      <c r="B83" s="312"/>
      <c r="H83" s="749"/>
      <c r="I83" s="746"/>
      <c r="J83" s="746"/>
      <c r="K83" s="746"/>
      <c r="L83" s="746"/>
      <c r="M83" s="746"/>
      <c r="N83" s="746"/>
      <c r="O83" s="746"/>
      <c r="P83" s="746"/>
      <c r="Q83" s="746"/>
      <c r="R83" s="746"/>
      <c r="S83" s="262"/>
      <c r="U83" s="283"/>
    </row>
    <row r="84" spans="1:21" ht="14.1" customHeight="1" x14ac:dyDescent="0.2">
      <c r="A84" s="252">
        <v>17</v>
      </c>
      <c r="B84" s="312"/>
      <c r="H84" s="749"/>
      <c r="I84" s="746"/>
      <c r="J84" s="746"/>
      <c r="K84" s="746"/>
      <c r="L84" s="746"/>
      <c r="M84" s="746"/>
      <c r="N84" s="746"/>
      <c r="O84" s="746"/>
      <c r="P84" s="746"/>
      <c r="Q84" s="746"/>
      <c r="R84" s="746"/>
      <c r="S84" s="262"/>
      <c r="U84" s="283"/>
    </row>
    <row r="85" spans="1:21" ht="14.1" customHeight="1" x14ac:dyDescent="0.2">
      <c r="A85" s="252">
        <v>18</v>
      </c>
      <c r="B85" s="312"/>
      <c r="C85" s="289"/>
      <c r="D85" s="278" t="s">
        <v>194</v>
      </c>
      <c r="F85" s="313"/>
      <c r="H85" s="750"/>
      <c r="I85" s="744"/>
      <c r="J85" s="744"/>
      <c r="K85" s="744"/>
      <c r="L85" s="744"/>
      <c r="M85" s="744"/>
      <c r="N85" s="744"/>
      <c r="O85" s="744"/>
      <c r="P85" s="744"/>
      <c r="Q85" s="744"/>
      <c r="R85" s="744"/>
      <c r="S85" s="262"/>
      <c r="U85" s="283"/>
    </row>
    <row r="86" spans="1:21" ht="14.1" customHeight="1" x14ac:dyDescent="0.2">
      <c r="A86" s="252">
        <v>19</v>
      </c>
      <c r="B86" s="312"/>
      <c r="C86" s="269">
        <v>31151</v>
      </c>
      <c r="D86" s="252" t="s">
        <v>1408</v>
      </c>
      <c r="F86" s="313">
        <v>4.0999999999999996</v>
      </c>
      <c r="G86" s="260"/>
      <c r="H86" s="743">
        <v>23136622.989999998</v>
      </c>
      <c r="I86" s="744"/>
      <c r="J86" s="745">
        <v>0</v>
      </c>
      <c r="K86" s="746"/>
      <c r="L86" s="745">
        <v>0</v>
      </c>
      <c r="M86" s="746"/>
      <c r="N86" s="745">
        <v>0</v>
      </c>
      <c r="O86" s="746"/>
      <c r="P86" s="745">
        <v>23136622.989999998</v>
      </c>
      <c r="Q86" s="746"/>
      <c r="R86" s="745">
        <v>23136622.990000006</v>
      </c>
      <c r="S86" s="262"/>
      <c r="U86" s="283"/>
    </row>
    <row r="87" spans="1:21" ht="14.1" customHeight="1" x14ac:dyDescent="0.2">
      <c r="A87" s="252">
        <v>20</v>
      </c>
      <c r="B87" s="312"/>
      <c r="C87" s="269">
        <v>31251</v>
      </c>
      <c r="D87" s="252" t="s">
        <v>162</v>
      </c>
      <c r="F87" s="313">
        <v>4.3</v>
      </c>
      <c r="G87" s="260"/>
      <c r="H87" s="743">
        <v>46985092.910000004</v>
      </c>
      <c r="I87" s="744"/>
      <c r="J87" s="745">
        <v>0</v>
      </c>
      <c r="K87" s="746"/>
      <c r="L87" s="745">
        <v>0</v>
      </c>
      <c r="M87" s="746"/>
      <c r="N87" s="745">
        <v>0</v>
      </c>
      <c r="O87" s="746"/>
      <c r="P87" s="745">
        <v>46985092.910000004</v>
      </c>
      <c r="Q87" s="746"/>
      <c r="R87" s="745">
        <v>46985092.910000011</v>
      </c>
      <c r="S87" s="262"/>
      <c r="U87" s="283"/>
    </row>
    <row r="88" spans="1:21" ht="14.1" customHeight="1" x14ac:dyDescent="0.2">
      <c r="A88" s="252">
        <v>21</v>
      </c>
      <c r="B88" s="312"/>
      <c r="C88" s="269">
        <v>31551</v>
      </c>
      <c r="D88" s="252" t="s">
        <v>1409</v>
      </c>
      <c r="F88" s="313">
        <v>4.8</v>
      </c>
      <c r="G88" s="260"/>
      <c r="H88" s="743">
        <v>14576030.57</v>
      </c>
      <c r="I88" s="744"/>
      <c r="J88" s="745">
        <v>0</v>
      </c>
      <c r="K88" s="746"/>
      <c r="L88" s="745">
        <v>0</v>
      </c>
      <c r="M88" s="746"/>
      <c r="N88" s="745">
        <v>0</v>
      </c>
      <c r="O88" s="746"/>
      <c r="P88" s="745">
        <v>14576030.57</v>
      </c>
      <c r="Q88" s="746"/>
      <c r="R88" s="745">
        <v>14576030.569999995</v>
      </c>
      <c r="S88" s="262"/>
      <c r="U88" s="283"/>
    </row>
    <row r="89" spans="1:21" ht="14.1" customHeight="1" x14ac:dyDescent="0.2">
      <c r="A89" s="252">
        <v>22</v>
      </c>
      <c r="B89" s="312"/>
      <c r="C89" s="269">
        <v>31651</v>
      </c>
      <c r="D89" s="252" t="s">
        <v>195</v>
      </c>
      <c r="F89" s="313">
        <v>4.0999999999999996</v>
      </c>
      <c r="G89" s="260"/>
      <c r="H89" s="743">
        <v>879814.74</v>
      </c>
      <c r="I89" s="744"/>
      <c r="J89" s="745">
        <v>0</v>
      </c>
      <c r="K89" s="746"/>
      <c r="L89" s="745">
        <v>0</v>
      </c>
      <c r="M89" s="746"/>
      <c r="N89" s="745">
        <v>0</v>
      </c>
      <c r="O89" s="746"/>
      <c r="P89" s="745">
        <v>879814.74</v>
      </c>
      <c r="Q89" s="746"/>
      <c r="R89" s="745">
        <v>879814.74000000011</v>
      </c>
      <c r="S89" s="262"/>
      <c r="U89" s="283"/>
    </row>
    <row r="90" spans="1:21" ht="14.1" customHeight="1" x14ac:dyDescent="0.2">
      <c r="A90" s="252">
        <v>23</v>
      </c>
      <c r="B90" s="312"/>
      <c r="C90" s="269"/>
      <c r="D90" s="279" t="s">
        <v>196</v>
      </c>
      <c r="H90" s="747">
        <v>85577561.209999993</v>
      </c>
      <c r="I90" s="744"/>
      <c r="J90" s="748">
        <v>0</v>
      </c>
      <c r="K90" s="744"/>
      <c r="L90" s="748">
        <v>0</v>
      </c>
      <c r="M90" s="744"/>
      <c r="N90" s="748">
        <v>0</v>
      </c>
      <c r="O90" s="744"/>
      <c r="P90" s="748">
        <v>85577561.209999993</v>
      </c>
      <c r="Q90" s="744"/>
      <c r="R90" s="748">
        <v>85577561.210000008</v>
      </c>
      <c r="S90" s="262"/>
      <c r="U90" s="283"/>
    </row>
    <row r="91" spans="1:21" ht="14.1" customHeight="1" x14ac:dyDescent="0.2">
      <c r="A91" s="252">
        <v>24</v>
      </c>
      <c r="B91" s="312"/>
      <c r="H91" s="749"/>
      <c r="I91" s="746"/>
      <c r="J91" s="746"/>
      <c r="K91" s="746"/>
      <c r="L91" s="746"/>
      <c r="M91" s="746"/>
      <c r="N91" s="746"/>
      <c r="O91" s="746"/>
      <c r="P91" s="746"/>
      <c r="Q91" s="746"/>
      <c r="R91" s="746"/>
      <c r="S91" s="262"/>
      <c r="U91" s="283"/>
    </row>
    <row r="92" spans="1:21" ht="14.1" customHeight="1" x14ac:dyDescent="0.2">
      <c r="A92" s="252">
        <v>25</v>
      </c>
      <c r="B92" s="312"/>
      <c r="H92" s="749"/>
      <c r="I92" s="746"/>
      <c r="J92" s="746"/>
      <c r="K92" s="746"/>
      <c r="L92" s="746"/>
      <c r="M92" s="746"/>
      <c r="N92" s="746"/>
      <c r="O92" s="746"/>
      <c r="P92" s="746"/>
      <c r="Q92" s="746"/>
      <c r="R92" s="746"/>
      <c r="S92" s="262"/>
      <c r="U92" s="283"/>
    </row>
    <row r="93" spans="1:21" ht="14.1" customHeight="1" x14ac:dyDescent="0.2">
      <c r="A93" s="252">
        <v>26</v>
      </c>
      <c r="B93" s="312"/>
      <c r="C93" s="289"/>
      <c r="D93" s="278" t="s">
        <v>197</v>
      </c>
      <c r="E93" s="282"/>
      <c r="F93" s="313"/>
      <c r="G93" s="282"/>
      <c r="H93" s="750"/>
      <c r="I93" s="744"/>
      <c r="J93" s="744"/>
      <c r="K93" s="744"/>
      <c r="L93" s="744"/>
      <c r="M93" s="744"/>
      <c r="N93" s="751"/>
      <c r="O93" s="751"/>
      <c r="P93" s="751"/>
      <c r="Q93" s="751"/>
      <c r="R93" s="744"/>
      <c r="S93" s="262"/>
      <c r="U93" s="283"/>
    </row>
    <row r="94" spans="1:21" ht="14.1" customHeight="1" x14ac:dyDescent="0.2">
      <c r="A94" s="252">
        <v>27</v>
      </c>
      <c r="B94" s="312"/>
      <c r="C94" s="269">
        <v>31152</v>
      </c>
      <c r="D94" s="252" t="s">
        <v>1408</v>
      </c>
      <c r="F94" s="313">
        <v>3.5000000000000004</v>
      </c>
      <c r="G94" s="260"/>
      <c r="H94" s="743">
        <v>25208869.300000001</v>
      </c>
      <c r="I94" s="744"/>
      <c r="J94" s="745">
        <v>0</v>
      </c>
      <c r="K94" s="746"/>
      <c r="L94" s="745">
        <v>0</v>
      </c>
      <c r="M94" s="746"/>
      <c r="N94" s="745">
        <v>0</v>
      </c>
      <c r="O94" s="746"/>
      <c r="P94" s="745">
        <v>25208869.300000001</v>
      </c>
      <c r="Q94" s="746"/>
      <c r="R94" s="745">
        <v>25208869.300000008</v>
      </c>
      <c r="S94" s="262"/>
      <c r="U94" s="283"/>
    </row>
    <row r="95" spans="1:21" ht="14.1" customHeight="1" x14ac:dyDescent="0.2">
      <c r="A95" s="252">
        <v>28</v>
      </c>
      <c r="B95" s="312"/>
      <c r="C95" s="269">
        <v>31252</v>
      </c>
      <c r="D95" s="252" t="s">
        <v>162</v>
      </c>
      <c r="F95" s="313">
        <v>4</v>
      </c>
      <c r="G95" s="260"/>
      <c r="H95" s="743">
        <v>51260286.850000009</v>
      </c>
      <c r="I95" s="744"/>
      <c r="J95" s="745">
        <v>0</v>
      </c>
      <c r="K95" s="746"/>
      <c r="L95" s="745">
        <v>0</v>
      </c>
      <c r="M95" s="746"/>
      <c r="N95" s="745">
        <v>0</v>
      </c>
      <c r="O95" s="746"/>
      <c r="P95" s="745">
        <v>51260286.850000009</v>
      </c>
      <c r="Q95" s="746"/>
      <c r="R95" s="745">
        <v>51260286.850000016</v>
      </c>
      <c r="S95" s="262"/>
      <c r="U95" s="283"/>
    </row>
    <row r="96" spans="1:21" ht="14.1" customHeight="1" x14ac:dyDescent="0.2">
      <c r="A96" s="252">
        <v>29</v>
      </c>
      <c r="B96" s="312"/>
      <c r="C96" s="269">
        <v>31552</v>
      </c>
      <c r="D96" s="252" t="s">
        <v>1409</v>
      </c>
      <c r="F96" s="313">
        <v>4.0999999999999996</v>
      </c>
      <c r="G96" s="260"/>
      <c r="H96" s="743">
        <v>15951072.529999997</v>
      </c>
      <c r="I96" s="744"/>
      <c r="J96" s="745">
        <v>0</v>
      </c>
      <c r="K96" s="746"/>
      <c r="L96" s="745">
        <v>0</v>
      </c>
      <c r="M96" s="746"/>
      <c r="N96" s="745">
        <v>0</v>
      </c>
      <c r="O96" s="746"/>
      <c r="P96" s="745">
        <v>15951072.529999997</v>
      </c>
      <c r="Q96" s="746"/>
      <c r="R96" s="745">
        <v>15951072.529999999</v>
      </c>
      <c r="S96" s="262"/>
      <c r="U96" s="283"/>
    </row>
    <row r="97" spans="1:21" ht="14.1" customHeight="1" x14ac:dyDescent="0.2">
      <c r="A97" s="252">
        <v>30</v>
      </c>
      <c r="B97" s="312"/>
      <c r="C97" s="269">
        <v>31652</v>
      </c>
      <c r="D97" s="252" t="s">
        <v>165</v>
      </c>
      <c r="F97" s="313">
        <v>3.7000000000000006</v>
      </c>
      <c r="G97" s="260"/>
      <c r="H97" s="743">
        <v>958615.89</v>
      </c>
      <c r="I97" s="744"/>
      <c r="J97" s="745">
        <v>0</v>
      </c>
      <c r="K97" s="746"/>
      <c r="L97" s="745">
        <v>0</v>
      </c>
      <c r="M97" s="746"/>
      <c r="N97" s="745">
        <v>0</v>
      </c>
      <c r="O97" s="746"/>
      <c r="P97" s="745">
        <v>958615.89</v>
      </c>
      <c r="Q97" s="746"/>
      <c r="R97" s="745">
        <v>958615.89000000013</v>
      </c>
      <c r="S97" s="262"/>
      <c r="U97" s="283"/>
    </row>
    <row r="98" spans="1:21" ht="14.1" customHeight="1" x14ac:dyDescent="0.2">
      <c r="A98" s="252">
        <v>31</v>
      </c>
      <c r="B98" s="312"/>
      <c r="D98" s="278" t="s">
        <v>198</v>
      </c>
      <c r="E98" s="282"/>
      <c r="F98" s="313"/>
      <c r="H98" s="747">
        <v>93378844.570000008</v>
      </c>
      <c r="I98" s="744"/>
      <c r="J98" s="748">
        <v>0</v>
      </c>
      <c r="K98" s="744"/>
      <c r="L98" s="748">
        <v>0</v>
      </c>
      <c r="M98" s="744"/>
      <c r="N98" s="748">
        <v>0</v>
      </c>
      <c r="O98" s="744"/>
      <c r="P98" s="748">
        <v>93378844.570000008</v>
      </c>
      <c r="Q98" s="744"/>
      <c r="R98" s="748">
        <v>93378844.570000023</v>
      </c>
      <c r="S98" s="262"/>
      <c r="U98" s="283"/>
    </row>
    <row r="99" spans="1:21" ht="14.1" customHeight="1" x14ac:dyDescent="0.2">
      <c r="A99" s="252">
        <v>32</v>
      </c>
      <c r="B99" s="312"/>
      <c r="H99" s="749"/>
      <c r="I99" s="746"/>
      <c r="J99" s="746"/>
      <c r="K99" s="746"/>
      <c r="L99" s="746"/>
      <c r="M99" s="746"/>
      <c r="N99" s="746"/>
      <c r="O99" s="746"/>
      <c r="P99" s="746"/>
      <c r="Q99" s="746"/>
      <c r="R99" s="746"/>
      <c r="S99" s="262"/>
      <c r="U99" s="283"/>
    </row>
    <row r="100" spans="1:21" ht="14.1" customHeight="1" x14ac:dyDescent="0.2">
      <c r="A100" s="252">
        <v>33</v>
      </c>
      <c r="B100" s="312"/>
      <c r="D100" s="282"/>
      <c r="E100" s="282"/>
      <c r="F100" s="317"/>
      <c r="G100" s="317"/>
      <c r="H100" s="750"/>
      <c r="I100" s="744"/>
      <c r="J100" s="744"/>
      <c r="K100" s="744"/>
      <c r="L100" s="744"/>
      <c r="M100" s="744"/>
      <c r="N100" s="744"/>
      <c r="O100" s="744"/>
      <c r="P100" s="744"/>
      <c r="Q100" s="744"/>
      <c r="R100" s="744"/>
      <c r="S100" s="262"/>
      <c r="U100" s="283"/>
    </row>
    <row r="101" spans="1:21" ht="14.1" customHeight="1" x14ac:dyDescent="0.2">
      <c r="A101" s="252">
        <v>34</v>
      </c>
      <c r="B101" s="312"/>
      <c r="C101" s="289"/>
      <c r="D101" s="278" t="s">
        <v>199</v>
      </c>
      <c r="E101" s="282"/>
      <c r="F101" s="282"/>
      <c r="G101" s="282"/>
      <c r="H101" s="749"/>
      <c r="I101" s="746"/>
      <c r="J101" s="746"/>
      <c r="K101" s="746"/>
      <c r="L101" s="746"/>
      <c r="M101" s="746"/>
      <c r="N101" s="746"/>
      <c r="O101" s="746"/>
      <c r="P101" s="746"/>
      <c r="Q101" s="746"/>
      <c r="R101" s="746"/>
      <c r="S101" s="262"/>
      <c r="U101" s="283"/>
    </row>
    <row r="102" spans="1:21" ht="14.1" customHeight="1" x14ac:dyDescent="0.2">
      <c r="A102" s="252">
        <v>35</v>
      </c>
      <c r="B102" s="312"/>
      <c r="C102" s="269">
        <v>31153</v>
      </c>
      <c r="D102" s="252" t="s">
        <v>1408</v>
      </c>
      <c r="F102" s="313">
        <v>3.1</v>
      </c>
      <c r="G102" s="260"/>
      <c r="H102" s="743">
        <v>21689421.57</v>
      </c>
      <c r="I102" s="744"/>
      <c r="J102" s="745">
        <v>0</v>
      </c>
      <c r="K102" s="746"/>
      <c r="L102" s="745">
        <v>0</v>
      </c>
      <c r="M102" s="746"/>
      <c r="N102" s="745">
        <v>0</v>
      </c>
      <c r="O102" s="746"/>
      <c r="P102" s="745">
        <v>21689421.57</v>
      </c>
      <c r="Q102" s="746"/>
      <c r="R102" s="745">
        <v>21689421.569999997</v>
      </c>
      <c r="S102" s="262"/>
      <c r="U102" s="283"/>
    </row>
    <row r="103" spans="1:21" ht="14.1" customHeight="1" x14ac:dyDescent="0.2">
      <c r="A103" s="252">
        <v>36</v>
      </c>
      <c r="B103" s="312"/>
      <c r="C103" s="269">
        <v>31253</v>
      </c>
      <c r="D103" s="252" t="s">
        <v>162</v>
      </c>
      <c r="F103" s="313">
        <v>3.9</v>
      </c>
      <c r="G103" s="260"/>
      <c r="H103" s="743">
        <v>44040159.469999999</v>
      </c>
      <c r="I103" s="744"/>
      <c r="J103" s="745">
        <v>0</v>
      </c>
      <c r="K103" s="746"/>
      <c r="L103" s="745">
        <v>0</v>
      </c>
      <c r="M103" s="746"/>
      <c r="N103" s="745">
        <v>0</v>
      </c>
      <c r="O103" s="746"/>
      <c r="P103" s="745">
        <v>44040159.469999999</v>
      </c>
      <c r="Q103" s="746"/>
      <c r="R103" s="745">
        <v>44040159.470000014</v>
      </c>
      <c r="S103" s="262"/>
      <c r="U103" s="283"/>
    </row>
    <row r="104" spans="1:21" ht="14.1" customHeight="1" x14ac:dyDescent="0.2">
      <c r="A104" s="252">
        <v>37</v>
      </c>
      <c r="B104" s="312"/>
      <c r="C104" s="269">
        <v>31553</v>
      </c>
      <c r="D104" s="252" t="s">
        <v>1409</v>
      </c>
      <c r="F104" s="313">
        <v>4</v>
      </c>
      <c r="G104" s="260"/>
      <c r="H104" s="743">
        <v>13761422.039999999</v>
      </c>
      <c r="I104" s="744"/>
      <c r="J104" s="745">
        <v>0</v>
      </c>
      <c r="K104" s="746"/>
      <c r="L104" s="745">
        <v>0</v>
      </c>
      <c r="M104" s="746"/>
      <c r="N104" s="745">
        <v>0</v>
      </c>
      <c r="O104" s="746"/>
      <c r="P104" s="745">
        <v>13761422.039999999</v>
      </c>
      <c r="Q104" s="746"/>
      <c r="R104" s="745">
        <v>13761422.039999994</v>
      </c>
      <c r="S104" s="262"/>
      <c r="U104" s="283"/>
    </row>
    <row r="105" spans="1:21" ht="14.1" customHeight="1" x14ac:dyDescent="0.2">
      <c r="A105" s="252">
        <v>38</v>
      </c>
      <c r="B105" s="312"/>
      <c r="C105" s="269">
        <v>31653</v>
      </c>
      <c r="D105" s="252" t="s">
        <v>165</v>
      </c>
      <c r="F105" s="313">
        <v>3.4000000000000004</v>
      </c>
      <c r="G105" s="260"/>
      <c r="H105" s="743">
        <v>824683.51</v>
      </c>
      <c r="I105" s="744"/>
      <c r="J105" s="745">
        <v>0</v>
      </c>
      <c r="K105" s="746"/>
      <c r="L105" s="745">
        <v>0</v>
      </c>
      <c r="M105" s="746"/>
      <c r="N105" s="745">
        <v>0</v>
      </c>
      <c r="O105" s="746"/>
      <c r="P105" s="745">
        <v>824683.51</v>
      </c>
      <c r="Q105" s="746"/>
      <c r="R105" s="745">
        <v>824683.50999999989</v>
      </c>
      <c r="S105" s="262"/>
      <c r="U105" s="283"/>
    </row>
    <row r="106" spans="1:21" ht="14.1" customHeight="1" x14ac:dyDescent="0.2">
      <c r="A106" s="252">
        <v>39</v>
      </c>
      <c r="B106" s="312"/>
      <c r="C106" s="269"/>
      <c r="D106" s="278" t="s">
        <v>200</v>
      </c>
      <c r="E106" s="282"/>
      <c r="F106" s="313"/>
      <c r="H106" s="747">
        <v>80315686.590000004</v>
      </c>
      <c r="I106" s="744"/>
      <c r="J106" s="748">
        <v>0</v>
      </c>
      <c r="K106" s="744"/>
      <c r="L106" s="748">
        <v>0</v>
      </c>
      <c r="M106" s="744"/>
      <c r="N106" s="748">
        <v>0</v>
      </c>
      <c r="O106" s="744"/>
      <c r="P106" s="748">
        <v>80315686.590000004</v>
      </c>
      <c r="Q106" s="744"/>
      <c r="R106" s="748">
        <v>80315686.590000004</v>
      </c>
      <c r="S106" s="262"/>
      <c r="U106" s="283"/>
    </row>
    <row r="107" spans="1:21" ht="14.1" customHeight="1" x14ac:dyDescent="0.2">
      <c r="A107" s="252">
        <v>40</v>
      </c>
      <c r="B107" s="312"/>
      <c r="C107" s="269"/>
      <c r="F107" s="260"/>
      <c r="G107" s="260"/>
      <c r="H107" s="602"/>
      <c r="I107" s="752"/>
      <c r="J107" s="277"/>
      <c r="K107" s="752"/>
      <c r="L107" s="277"/>
      <c r="M107" s="752"/>
      <c r="N107" s="277"/>
      <c r="O107" s="752"/>
      <c r="P107" s="277"/>
      <c r="Q107" s="752"/>
      <c r="R107" s="277"/>
      <c r="S107" s="262"/>
      <c r="U107" s="283"/>
    </row>
    <row r="108" spans="1:21" ht="14.1" customHeight="1" x14ac:dyDescent="0.2">
      <c r="A108" s="252">
        <v>41</v>
      </c>
      <c r="B108" s="312"/>
      <c r="C108" s="269"/>
      <c r="F108" s="260"/>
      <c r="G108" s="260"/>
      <c r="H108" s="602"/>
      <c r="I108" s="752"/>
      <c r="J108" s="277"/>
      <c r="K108" s="752"/>
      <c r="L108" s="277"/>
      <c r="M108" s="752"/>
      <c r="N108" s="277"/>
      <c r="O108" s="752"/>
      <c r="P108" s="277"/>
      <c r="Q108" s="752"/>
      <c r="R108" s="277"/>
      <c r="S108" s="262"/>
      <c r="U108" s="283"/>
    </row>
    <row r="109" spans="1:21" ht="14.1" customHeight="1" x14ac:dyDescent="0.2">
      <c r="A109" s="252">
        <v>42</v>
      </c>
      <c r="B109" s="312"/>
      <c r="C109" s="269"/>
      <c r="F109" s="260"/>
      <c r="G109" s="260"/>
      <c r="H109" s="602"/>
      <c r="I109" s="752"/>
      <c r="J109" s="277"/>
      <c r="K109" s="752"/>
      <c r="L109" s="277"/>
      <c r="M109" s="752"/>
      <c r="N109" s="277"/>
      <c r="O109" s="752"/>
      <c r="P109" s="277"/>
      <c r="Q109" s="752"/>
      <c r="R109" s="277"/>
      <c r="S109" s="262"/>
      <c r="U109" s="283"/>
    </row>
    <row r="110" spans="1:21" ht="14.1" customHeight="1" x14ac:dyDescent="0.2">
      <c r="A110" s="252">
        <v>43</v>
      </c>
      <c r="B110" s="312"/>
      <c r="C110" s="269"/>
      <c r="F110" s="260"/>
      <c r="G110" s="260"/>
      <c r="H110" s="602"/>
      <c r="I110" s="752"/>
      <c r="J110" s="277"/>
      <c r="K110" s="752"/>
      <c r="L110" s="277"/>
      <c r="M110" s="752"/>
      <c r="N110" s="277"/>
      <c r="O110" s="752"/>
      <c r="P110" s="277"/>
      <c r="Q110" s="752"/>
      <c r="R110" s="277"/>
      <c r="S110" s="262"/>
      <c r="U110" s="283"/>
    </row>
    <row r="111" spans="1:21" ht="14.1" customHeight="1" thickBot="1" x14ac:dyDescent="0.25">
      <c r="A111" s="252">
        <v>44</v>
      </c>
      <c r="B111" s="742" t="s">
        <v>186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2"/>
      <c r="U111" s="283"/>
    </row>
    <row r="112" spans="1:21" ht="14.1" customHeight="1" x14ac:dyDescent="0.2">
      <c r="A112" s="252" t="s">
        <v>60</v>
      </c>
      <c r="P112" s="252" t="s">
        <v>60</v>
      </c>
      <c r="S112" s="262"/>
      <c r="U112" s="283"/>
    </row>
    <row r="113" spans="1:21" ht="14.1" customHeight="1" thickBot="1" x14ac:dyDescent="0.25">
      <c r="A113" s="264" t="s">
        <v>127</v>
      </c>
      <c r="B113" s="264"/>
      <c r="C113" s="264"/>
      <c r="D113" s="264"/>
      <c r="E113" s="264"/>
      <c r="F113" s="264"/>
      <c r="G113" s="264" t="s">
        <v>128</v>
      </c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 t="s">
        <v>325</v>
      </c>
      <c r="S113" s="262"/>
      <c r="U113" s="283"/>
    </row>
    <row r="114" spans="1:21" ht="14.1" customHeight="1" x14ac:dyDescent="0.2">
      <c r="A114" s="252" t="s">
        <v>129</v>
      </c>
      <c r="B114" s="285"/>
      <c r="E114" s="260" t="s">
        <v>130</v>
      </c>
      <c r="F114" s="252" t="s">
        <v>1405</v>
      </c>
      <c r="J114" s="286"/>
      <c r="K114" s="286"/>
      <c r="M114" s="286"/>
      <c r="N114" s="286"/>
      <c r="O114" s="286" t="s">
        <v>187</v>
      </c>
      <c r="R114" s="261"/>
      <c r="S114" s="262"/>
      <c r="U114" s="283"/>
    </row>
    <row r="115" spans="1:21" ht="14.1" customHeight="1" x14ac:dyDescent="0.2">
      <c r="B115" s="285"/>
      <c r="F115" s="252" t="s">
        <v>1406</v>
      </c>
      <c r="J115" s="260"/>
      <c r="K115" s="261"/>
      <c r="N115" s="260"/>
      <c r="O115" s="260" t="s">
        <v>123</v>
      </c>
      <c r="P115" s="261" t="s">
        <v>1407</v>
      </c>
      <c r="R115" s="260"/>
      <c r="S115" s="262"/>
      <c r="U115" s="283"/>
    </row>
    <row r="116" spans="1:21" ht="14.1" customHeight="1" x14ac:dyDescent="0.2">
      <c r="A116" s="252" t="s">
        <v>134</v>
      </c>
      <c r="B116" s="285"/>
      <c r="F116" s="252" t="s">
        <v>123</v>
      </c>
      <c r="J116" s="260"/>
      <c r="K116" s="261"/>
      <c r="L116" s="260"/>
      <c r="O116" s="260" t="s">
        <v>123</v>
      </c>
      <c r="P116" s="261">
        <v>0</v>
      </c>
      <c r="R116" s="260"/>
      <c r="S116" s="262"/>
      <c r="U116" s="283"/>
    </row>
    <row r="117" spans="1:21" ht="14.1" customHeight="1" x14ac:dyDescent="0.2">
      <c r="B117" s="285"/>
      <c r="F117" s="252" t="s">
        <v>123</v>
      </c>
      <c r="J117" s="260"/>
      <c r="K117" s="261"/>
      <c r="L117" s="260"/>
      <c r="O117" s="260" t="s">
        <v>123</v>
      </c>
      <c r="P117" s="261"/>
      <c r="R117" s="260"/>
      <c r="S117" s="262"/>
      <c r="U117" s="283"/>
    </row>
    <row r="118" spans="1:21" ht="14.1" customHeight="1" thickBot="1" x14ac:dyDescent="0.25">
      <c r="A118" s="264" t="s">
        <v>135</v>
      </c>
      <c r="B118" s="287"/>
      <c r="C118" s="264"/>
      <c r="D118" s="264"/>
      <c r="E118" s="264"/>
      <c r="F118" s="264" t="s">
        <v>123</v>
      </c>
      <c r="G118" s="264"/>
      <c r="H118" s="266"/>
      <c r="I118" s="264"/>
      <c r="J118" s="264"/>
      <c r="K118" s="264"/>
      <c r="L118" s="264"/>
      <c r="M118" s="264"/>
      <c r="N118" s="264"/>
      <c r="O118" s="264"/>
      <c r="P118" s="288"/>
      <c r="Q118" s="264"/>
      <c r="R118" s="264"/>
      <c r="S118" s="262"/>
      <c r="U118" s="283"/>
    </row>
    <row r="119" spans="1:21" ht="14.1" customHeight="1" x14ac:dyDescent="0.2"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2"/>
      <c r="U119" s="283"/>
    </row>
    <row r="120" spans="1:21" ht="14.1" customHeight="1" x14ac:dyDescent="0.2">
      <c r="C120" s="267" t="s">
        <v>136</v>
      </c>
      <c r="D120" s="267" t="s">
        <v>137</v>
      </c>
      <c r="E120" s="267"/>
      <c r="F120" s="267" t="s">
        <v>138</v>
      </c>
      <c r="G120" s="267"/>
      <c r="H120" s="267" t="s">
        <v>139</v>
      </c>
      <c r="I120" s="267"/>
      <c r="J120" s="269" t="s">
        <v>140</v>
      </c>
      <c r="K120" s="269"/>
      <c r="L120" s="267" t="s">
        <v>141</v>
      </c>
      <c r="M120" s="267"/>
      <c r="N120" s="267" t="s">
        <v>142</v>
      </c>
      <c r="O120" s="267"/>
      <c r="P120" s="267" t="s">
        <v>143</v>
      </c>
      <c r="Q120" s="267"/>
      <c r="R120" s="267" t="s">
        <v>144</v>
      </c>
      <c r="S120" s="262"/>
      <c r="U120" s="283"/>
    </row>
    <row r="121" spans="1:21" ht="14.1" customHeight="1" x14ac:dyDescent="0.2">
      <c r="C121" s="269" t="s">
        <v>145</v>
      </c>
      <c r="D121" s="269" t="s">
        <v>145</v>
      </c>
      <c r="F121" s="269" t="s">
        <v>6</v>
      </c>
      <c r="G121" s="269"/>
      <c r="H121" s="267" t="s">
        <v>48</v>
      </c>
      <c r="I121" s="269"/>
      <c r="J121" s="267" t="s">
        <v>40</v>
      </c>
      <c r="K121" s="269"/>
      <c r="L121" s="269" t="s">
        <v>40</v>
      </c>
      <c r="M121" s="269"/>
      <c r="P121" s="269" t="s">
        <v>48</v>
      </c>
      <c r="R121" s="269"/>
      <c r="S121" s="262"/>
      <c r="U121" s="283"/>
    </row>
    <row r="122" spans="1:21" ht="14.1" customHeight="1" x14ac:dyDescent="0.2">
      <c r="A122" s="252" t="s">
        <v>146</v>
      </c>
      <c r="B122" s="269"/>
      <c r="C122" s="269" t="s">
        <v>147</v>
      </c>
      <c r="D122" s="269" t="s">
        <v>147</v>
      </c>
      <c r="E122" s="267"/>
      <c r="F122" s="269" t="s">
        <v>148</v>
      </c>
      <c r="G122" s="269"/>
      <c r="H122" s="269" t="s">
        <v>149</v>
      </c>
      <c r="I122" s="269"/>
      <c r="J122" s="269" t="s">
        <v>48</v>
      </c>
      <c r="K122" s="267"/>
      <c r="L122" s="269" t="s">
        <v>48</v>
      </c>
      <c r="M122" s="261"/>
      <c r="N122" s="269" t="s">
        <v>150</v>
      </c>
      <c r="O122" s="267"/>
      <c r="P122" s="267" t="s">
        <v>149</v>
      </c>
      <c r="Q122" s="267"/>
      <c r="R122" s="269" t="s">
        <v>151</v>
      </c>
      <c r="S122" s="262"/>
      <c r="U122" s="283"/>
    </row>
    <row r="123" spans="1:21" ht="14.1" customHeight="1" thickBot="1" x14ac:dyDescent="0.25">
      <c r="A123" s="264" t="s">
        <v>152</v>
      </c>
      <c r="B123" s="266"/>
      <c r="C123" s="266" t="s">
        <v>52</v>
      </c>
      <c r="D123" s="266" t="s">
        <v>153</v>
      </c>
      <c r="E123" s="266"/>
      <c r="F123" s="270" t="s">
        <v>57</v>
      </c>
      <c r="G123" s="270"/>
      <c r="H123" s="270" t="s">
        <v>154</v>
      </c>
      <c r="I123" s="271"/>
      <c r="J123" s="270" t="s">
        <v>155</v>
      </c>
      <c r="K123" s="271"/>
      <c r="L123" s="271" t="s">
        <v>156</v>
      </c>
      <c r="M123" s="272"/>
      <c r="N123" s="272" t="s">
        <v>157</v>
      </c>
      <c r="O123" s="272"/>
      <c r="P123" s="272" t="s">
        <v>158</v>
      </c>
      <c r="Q123" s="272"/>
      <c r="R123" s="272" t="s">
        <v>3</v>
      </c>
      <c r="S123" s="262"/>
      <c r="U123" s="283"/>
    </row>
    <row r="124" spans="1:21" ht="14.1" customHeight="1" x14ac:dyDescent="0.2">
      <c r="A124" s="252">
        <v>1</v>
      </c>
      <c r="B124" s="269"/>
      <c r="S124" s="262"/>
      <c r="U124" s="283"/>
    </row>
    <row r="125" spans="1:21" ht="14.1" customHeight="1" x14ac:dyDescent="0.2">
      <c r="A125" s="252">
        <v>2</v>
      </c>
      <c r="B125" s="312"/>
      <c r="C125" s="289"/>
      <c r="D125" s="278" t="s">
        <v>201</v>
      </c>
      <c r="E125" s="282"/>
      <c r="F125" s="313"/>
      <c r="G125" s="282"/>
      <c r="H125" s="661"/>
      <c r="I125" s="752"/>
      <c r="J125" s="752"/>
      <c r="K125" s="752"/>
      <c r="L125" s="752"/>
      <c r="M125" s="752"/>
      <c r="N125" s="752"/>
      <c r="O125" s="752"/>
      <c r="P125" s="752"/>
      <c r="Q125" s="752"/>
      <c r="R125" s="752"/>
      <c r="S125" s="262"/>
      <c r="U125" s="283"/>
    </row>
    <row r="126" spans="1:21" ht="14.1" customHeight="1" x14ac:dyDescent="0.2">
      <c r="A126" s="252">
        <v>3</v>
      </c>
      <c r="B126" s="312"/>
      <c r="C126" s="269">
        <v>31154</v>
      </c>
      <c r="D126" s="252" t="s">
        <v>1408</v>
      </c>
      <c r="F126" s="313">
        <v>2.4</v>
      </c>
      <c r="G126" s="260"/>
      <c r="H126" s="655">
        <v>16857249.890000001</v>
      </c>
      <c r="I126" s="733"/>
      <c r="J126" s="734">
        <v>0</v>
      </c>
      <c r="K126" s="277"/>
      <c r="L126" s="734">
        <v>0</v>
      </c>
      <c r="M126" s="277"/>
      <c r="N126" s="734">
        <v>0</v>
      </c>
      <c r="O126" s="277"/>
      <c r="P126" s="734">
        <v>16857249.890000001</v>
      </c>
      <c r="Q126" s="277"/>
      <c r="R126" s="734">
        <v>16857249.889999993</v>
      </c>
      <c r="S126" s="262"/>
      <c r="U126" s="283"/>
    </row>
    <row r="127" spans="1:21" ht="14.1" customHeight="1" x14ac:dyDescent="0.2">
      <c r="A127" s="252">
        <v>4</v>
      </c>
      <c r="B127" s="312"/>
      <c r="C127" s="269">
        <v>31254</v>
      </c>
      <c r="D127" s="252" t="s">
        <v>162</v>
      </c>
      <c r="F127" s="313">
        <v>3.8</v>
      </c>
      <c r="G127" s="260"/>
      <c r="H127" s="655">
        <v>30373191.169999998</v>
      </c>
      <c r="I127" s="733"/>
      <c r="J127" s="734">
        <v>0</v>
      </c>
      <c r="K127" s="277"/>
      <c r="L127" s="734">
        <v>0</v>
      </c>
      <c r="M127" s="277"/>
      <c r="N127" s="734">
        <v>0</v>
      </c>
      <c r="O127" s="277"/>
      <c r="P127" s="734">
        <v>30373191.169999998</v>
      </c>
      <c r="Q127" s="277"/>
      <c r="R127" s="734">
        <v>30373191.170000002</v>
      </c>
      <c r="S127" s="262"/>
      <c r="U127" s="283"/>
    </row>
    <row r="128" spans="1:21" ht="14.1" customHeight="1" x14ac:dyDescent="0.2">
      <c r="A128" s="252">
        <v>5</v>
      </c>
      <c r="B128" s="312"/>
      <c r="C128" s="269">
        <v>31554</v>
      </c>
      <c r="D128" s="252" t="s">
        <v>1409</v>
      </c>
      <c r="F128" s="313">
        <v>3.9</v>
      </c>
      <c r="G128" s="260"/>
      <c r="H128" s="655">
        <v>10642026.83</v>
      </c>
      <c r="I128" s="733"/>
      <c r="J128" s="734">
        <v>0</v>
      </c>
      <c r="K128" s="277"/>
      <c r="L128" s="734">
        <v>0</v>
      </c>
      <c r="M128" s="277"/>
      <c r="N128" s="734">
        <v>0</v>
      </c>
      <c r="O128" s="277"/>
      <c r="P128" s="734">
        <v>10642026.83</v>
      </c>
      <c r="Q128" s="277"/>
      <c r="R128" s="734">
        <v>10642026.83</v>
      </c>
      <c r="S128" s="262"/>
      <c r="U128" s="283"/>
    </row>
    <row r="129" spans="1:21" ht="14.1" customHeight="1" x14ac:dyDescent="0.2">
      <c r="A129" s="252">
        <v>6</v>
      </c>
      <c r="B129" s="312"/>
      <c r="C129" s="269">
        <v>31654</v>
      </c>
      <c r="D129" s="252" t="s">
        <v>165</v>
      </c>
      <c r="F129" s="313">
        <v>3.3000000000000003</v>
      </c>
      <c r="G129" s="260"/>
      <c r="H129" s="655">
        <v>687934.36</v>
      </c>
      <c r="I129" s="733"/>
      <c r="J129" s="734">
        <v>0</v>
      </c>
      <c r="K129" s="277"/>
      <c r="L129" s="734">
        <v>0</v>
      </c>
      <c r="M129" s="277"/>
      <c r="N129" s="734">
        <v>0</v>
      </c>
      <c r="O129" s="277"/>
      <c r="P129" s="734">
        <v>687934.36</v>
      </c>
      <c r="Q129" s="277"/>
      <c r="R129" s="734">
        <v>687934.3600000001</v>
      </c>
      <c r="S129" s="262"/>
      <c r="U129" s="283"/>
    </row>
    <row r="130" spans="1:21" ht="14.1" customHeight="1" x14ac:dyDescent="0.2">
      <c r="A130" s="252">
        <v>7</v>
      </c>
      <c r="B130" s="269"/>
      <c r="C130" s="269"/>
      <c r="D130" s="278" t="s">
        <v>202</v>
      </c>
      <c r="E130" s="282"/>
      <c r="F130" s="313"/>
      <c r="H130" s="658">
        <v>58560402.25</v>
      </c>
      <c r="I130" s="733"/>
      <c r="J130" s="736">
        <v>0</v>
      </c>
      <c r="K130" s="733"/>
      <c r="L130" s="736">
        <v>0</v>
      </c>
      <c r="M130" s="733"/>
      <c r="N130" s="736">
        <v>0</v>
      </c>
      <c r="O130" s="733"/>
      <c r="P130" s="736">
        <v>58560402.25</v>
      </c>
      <c r="Q130" s="733"/>
      <c r="R130" s="736">
        <v>58560402.249999993</v>
      </c>
      <c r="S130" s="262"/>
      <c r="U130" s="283"/>
    </row>
    <row r="131" spans="1:21" ht="14.1" customHeight="1" x14ac:dyDescent="0.2">
      <c r="A131" s="252">
        <v>8</v>
      </c>
      <c r="B131" s="269"/>
      <c r="H131" s="602"/>
      <c r="I131" s="277"/>
      <c r="J131" s="277"/>
      <c r="K131" s="277"/>
      <c r="L131" s="277"/>
      <c r="M131" s="277"/>
      <c r="N131" s="277"/>
      <c r="O131" s="277"/>
      <c r="P131" s="277"/>
      <c r="Q131" s="277"/>
      <c r="R131" s="277"/>
      <c r="S131" s="262"/>
      <c r="U131" s="283"/>
    </row>
    <row r="132" spans="1:21" ht="14.1" customHeight="1" x14ac:dyDescent="0.2">
      <c r="A132" s="252">
        <v>9</v>
      </c>
      <c r="B132" s="312"/>
      <c r="C132" s="269">
        <v>31247</v>
      </c>
      <c r="D132" s="252" t="s">
        <v>168</v>
      </c>
      <c r="F132" s="313">
        <v>20</v>
      </c>
      <c r="H132" s="655">
        <v>21440068.73</v>
      </c>
      <c r="I132" s="733"/>
      <c r="J132" s="734">
        <v>79498.399999999994</v>
      </c>
      <c r="K132" s="277"/>
      <c r="L132" s="734">
        <v>-86335.23000000001</v>
      </c>
      <c r="M132" s="277"/>
      <c r="N132" s="734">
        <v>0</v>
      </c>
      <c r="O132" s="277"/>
      <c r="P132" s="734">
        <v>21433231.899999999</v>
      </c>
      <c r="Q132" s="277"/>
      <c r="R132" s="734">
        <v>21437077.82</v>
      </c>
      <c r="S132" s="262"/>
      <c r="U132" s="283"/>
    </row>
    <row r="133" spans="1:21" ht="14.1" customHeight="1" x14ac:dyDescent="0.2">
      <c r="A133" s="252">
        <v>10</v>
      </c>
      <c r="B133" s="312"/>
      <c r="H133" s="602"/>
      <c r="I133" s="277"/>
      <c r="J133" s="602"/>
      <c r="K133" s="602"/>
      <c r="L133" s="602"/>
      <c r="M133" s="602"/>
      <c r="N133" s="602"/>
      <c r="O133" s="602"/>
      <c r="P133" s="602"/>
      <c r="Q133" s="602"/>
      <c r="R133" s="602"/>
      <c r="S133" s="262"/>
      <c r="U133" s="283"/>
    </row>
    <row r="134" spans="1:21" ht="14.1" customHeight="1" x14ac:dyDescent="0.2">
      <c r="A134" s="252">
        <v>11</v>
      </c>
      <c r="B134" s="312"/>
      <c r="C134" s="267">
        <v>31647</v>
      </c>
      <c r="D134" s="252" t="s">
        <v>204</v>
      </c>
      <c r="F134" s="313">
        <v>14.3</v>
      </c>
      <c r="G134" s="260"/>
      <c r="H134" s="655">
        <v>1304313.2</v>
      </c>
      <c r="I134" s="733"/>
      <c r="J134" s="655">
        <v>101275.76</v>
      </c>
      <c r="K134" s="602"/>
      <c r="L134" s="655">
        <v>-298861.26</v>
      </c>
      <c r="M134" s="602"/>
      <c r="N134" s="655">
        <v>0</v>
      </c>
      <c r="O134" s="602"/>
      <c r="P134" s="655">
        <v>1106727.7</v>
      </c>
      <c r="Q134" s="602"/>
      <c r="R134" s="655">
        <v>1157579.0261538459</v>
      </c>
      <c r="S134" s="262"/>
      <c r="U134" s="283"/>
    </row>
    <row r="135" spans="1:21" ht="14.1" customHeight="1" x14ac:dyDescent="0.2">
      <c r="A135" s="252">
        <v>12</v>
      </c>
      <c r="B135" s="312"/>
      <c r="C135" s="269"/>
      <c r="F135" s="313"/>
      <c r="H135" s="658"/>
      <c r="I135" s="733"/>
      <c r="J135" s="658"/>
      <c r="K135" s="659"/>
      <c r="L135" s="658"/>
      <c r="M135" s="659"/>
      <c r="N135" s="658"/>
      <c r="O135" s="659"/>
      <c r="P135" s="658"/>
      <c r="Q135" s="659"/>
      <c r="R135" s="658"/>
      <c r="S135" s="262"/>
      <c r="U135" s="283"/>
    </row>
    <row r="136" spans="1:21" ht="14.1" customHeight="1" thickBot="1" x14ac:dyDescent="0.25">
      <c r="A136" s="252">
        <v>13</v>
      </c>
      <c r="B136" s="312"/>
      <c r="C136" s="269"/>
      <c r="D136" s="279" t="s">
        <v>205</v>
      </c>
      <c r="F136" s="313"/>
      <c r="G136" s="260"/>
      <c r="H136" s="670">
        <v>2180333328.6199994</v>
      </c>
      <c r="I136" s="733"/>
      <c r="J136" s="670">
        <v>99920953.780000016</v>
      </c>
      <c r="K136" s="659"/>
      <c r="L136" s="670">
        <v>-25586031.610000003</v>
      </c>
      <c r="M136" s="659"/>
      <c r="N136" s="670">
        <v>0</v>
      </c>
      <c r="O136" s="659"/>
      <c r="P136" s="670">
        <v>2254668250.7899995</v>
      </c>
      <c r="Q136" s="659"/>
      <c r="R136" s="670">
        <v>2225866739.4638457</v>
      </c>
      <c r="S136" s="262"/>
      <c r="U136" s="283"/>
    </row>
    <row r="137" spans="1:21" ht="14.1" customHeight="1" thickTop="1" x14ac:dyDescent="0.2">
      <c r="A137" s="252">
        <v>14</v>
      </c>
      <c r="B137" s="312"/>
      <c r="C137" s="269"/>
      <c r="F137" s="260"/>
      <c r="G137" s="260"/>
      <c r="H137" s="602"/>
      <c r="I137" s="733"/>
      <c r="J137" s="602"/>
      <c r="K137" s="659"/>
      <c r="L137" s="602"/>
      <c r="M137" s="659"/>
      <c r="N137" s="602"/>
      <c r="O137" s="659"/>
      <c r="P137" s="602"/>
      <c r="Q137" s="659"/>
      <c r="R137" s="602"/>
      <c r="S137" s="262"/>
      <c r="U137" s="283"/>
    </row>
    <row r="138" spans="1:21" ht="14.1" customHeight="1" thickBot="1" x14ac:dyDescent="0.25">
      <c r="A138" s="252">
        <v>15</v>
      </c>
      <c r="B138" s="312"/>
      <c r="C138" s="269"/>
      <c r="D138" s="83" t="s">
        <v>68</v>
      </c>
      <c r="F138" s="260"/>
      <c r="G138" s="260"/>
      <c r="H138" s="670">
        <v>2180333328.6199994</v>
      </c>
      <c r="I138" s="733"/>
      <c r="J138" s="670">
        <v>99920953.780000016</v>
      </c>
      <c r="K138" s="659"/>
      <c r="L138" s="670">
        <v>-25586031.610000003</v>
      </c>
      <c r="M138" s="659"/>
      <c r="N138" s="670">
        <v>0</v>
      </c>
      <c r="O138" s="659"/>
      <c r="P138" s="670">
        <v>2254668250.7899995</v>
      </c>
      <c r="Q138" s="659"/>
      <c r="R138" s="670">
        <v>2225866739.4638457</v>
      </c>
      <c r="S138" s="262"/>
      <c r="U138" s="283"/>
    </row>
    <row r="139" spans="1:21" ht="14.1" customHeight="1" thickTop="1" x14ac:dyDescent="0.2">
      <c r="A139" s="252">
        <v>16</v>
      </c>
      <c r="B139" s="312"/>
      <c r="S139" s="262"/>
      <c r="U139" s="283"/>
    </row>
    <row r="140" spans="1:21" ht="14.1" customHeight="1" x14ac:dyDescent="0.2">
      <c r="A140" s="252">
        <v>17</v>
      </c>
      <c r="B140" s="312"/>
      <c r="D140" s="83" t="s">
        <v>63</v>
      </c>
      <c r="S140" s="262"/>
      <c r="U140" s="283"/>
    </row>
    <row r="141" spans="1:21" ht="14.1" customHeight="1" x14ac:dyDescent="0.2">
      <c r="A141" s="252">
        <v>18</v>
      </c>
      <c r="B141" s="312"/>
      <c r="D141" s="83" t="s">
        <v>159</v>
      </c>
      <c r="S141" s="262"/>
      <c r="U141" s="283"/>
    </row>
    <row r="142" spans="1:21" ht="14.1" customHeight="1" x14ac:dyDescent="0.2">
      <c r="A142" s="252">
        <v>19</v>
      </c>
      <c r="B142" s="312"/>
      <c r="D142" s="252" t="s">
        <v>208</v>
      </c>
      <c r="E142" s="269"/>
      <c r="F142" s="318"/>
      <c r="G142" s="318"/>
      <c r="H142" s="655"/>
      <c r="I142" s="753"/>
      <c r="J142" s="655"/>
      <c r="K142" s="671"/>
      <c r="L142" s="671"/>
      <c r="M142" s="671"/>
      <c r="N142" s="671"/>
      <c r="O142" s="671"/>
      <c r="P142" s="671"/>
      <c r="Q142" s="671"/>
      <c r="R142" s="671"/>
      <c r="S142" s="262"/>
      <c r="U142" s="283"/>
    </row>
    <row r="143" spans="1:21" ht="14.1" customHeight="1" x14ac:dyDescent="0.2">
      <c r="A143" s="252">
        <v>20</v>
      </c>
      <c r="B143" s="312"/>
      <c r="C143" s="267">
        <v>34144</v>
      </c>
      <c r="D143" s="252" t="s">
        <v>1408</v>
      </c>
      <c r="E143" s="269"/>
      <c r="F143" s="313">
        <v>2.6</v>
      </c>
      <c r="G143" s="260"/>
      <c r="H143" s="655">
        <v>3311083.09</v>
      </c>
      <c r="I143" s="733"/>
      <c r="J143" s="655">
        <v>0</v>
      </c>
      <c r="K143" s="602"/>
      <c r="L143" s="655">
        <v>0</v>
      </c>
      <c r="M143" s="602"/>
      <c r="N143" s="655">
        <v>0</v>
      </c>
      <c r="O143" s="602"/>
      <c r="P143" s="655">
        <v>3311083.09</v>
      </c>
      <c r="Q143" s="602"/>
      <c r="R143" s="655">
        <v>3311083.0900000003</v>
      </c>
      <c r="S143" s="262"/>
      <c r="U143" s="283"/>
    </row>
    <row r="144" spans="1:21" ht="14.1" customHeight="1" x14ac:dyDescent="0.2">
      <c r="A144" s="252">
        <v>21</v>
      </c>
      <c r="B144" s="312"/>
      <c r="C144" s="267">
        <v>34244</v>
      </c>
      <c r="D144" s="252" t="s">
        <v>162</v>
      </c>
      <c r="E144" s="269"/>
      <c r="F144" s="313">
        <v>3.6000000000000005</v>
      </c>
      <c r="G144" s="260"/>
      <c r="H144" s="655">
        <v>2353181.4699999997</v>
      </c>
      <c r="I144" s="733"/>
      <c r="J144" s="655">
        <v>0</v>
      </c>
      <c r="K144" s="602"/>
      <c r="L144" s="655">
        <v>0</v>
      </c>
      <c r="M144" s="602"/>
      <c r="N144" s="655">
        <v>0</v>
      </c>
      <c r="O144" s="602"/>
      <c r="P144" s="655">
        <v>2353181.4699999997</v>
      </c>
      <c r="Q144" s="602"/>
      <c r="R144" s="655">
        <v>2353181.4699999993</v>
      </c>
      <c r="S144" s="262"/>
      <c r="U144" s="283"/>
    </row>
    <row r="145" spans="1:22" ht="14.1" customHeight="1" x14ac:dyDescent="0.2">
      <c r="A145" s="252">
        <v>22</v>
      </c>
      <c r="B145" s="312"/>
      <c r="C145" s="267">
        <v>34344</v>
      </c>
      <c r="D145" s="252" t="s">
        <v>163</v>
      </c>
      <c r="E145" s="269"/>
      <c r="F145" s="313">
        <v>4</v>
      </c>
      <c r="G145" s="260"/>
      <c r="H145" s="655">
        <v>19748806.030000001</v>
      </c>
      <c r="I145" s="733"/>
      <c r="J145" s="655">
        <v>100811.11</v>
      </c>
      <c r="K145" s="602"/>
      <c r="L145" s="655">
        <v>-32766.55</v>
      </c>
      <c r="M145" s="602"/>
      <c r="N145" s="655">
        <v>0</v>
      </c>
      <c r="O145" s="602"/>
      <c r="P145" s="655">
        <v>19816850.59</v>
      </c>
      <c r="Q145" s="602"/>
      <c r="R145" s="655">
        <v>19774977.014615387</v>
      </c>
      <c r="S145" s="262"/>
      <c r="U145" s="283"/>
    </row>
    <row r="146" spans="1:22" ht="14.1" customHeight="1" x14ac:dyDescent="0.2">
      <c r="A146" s="252">
        <v>23</v>
      </c>
      <c r="B146" s="312"/>
      <c r="C146" s="267">
        <v>34544</v>
      </c>
      <c r="D146" s="252" t="s">
        <v>1409</v>
      </c>
      <c r="E146" s="269"/>
      <c r="F146" s="313">
        <v>4</v>
      </c>
      <c r="G146" s="260"/>
      <c r="H146" s="655">
        <v>14918400.59</v>
      </c>
      <c r="I146" s="733"/>
      <c r="J146" s="655">
        <v>406303.8</v>
      </c>
      <c r="K146" s="602"/>
      <c r="L146" s="655">
        <v>0</v>
      </c>
      <c r="M146" s="602"/>
      <c r="N146" s="655">
        <v>0</v>
      </c>
      <c r="O146" s="602"/>
      <c r="P146" s="655">
        <v>15324704.390000001</v>
      </c>
      <c r="Q146" s="602"/>
      <c r="R146" s="655">
        <v>14949654.728461541</v>
      </c>
      <c r="S146" s="262"/>
      <c r="U146" s="283"/>
    </row>
    <row r="147" spans="1:22" ht="14.1" customHeight="1" x14ac:dyDescent="0.2">
      <c r="A147" s="252">
        <v>24</v>
      </c>
      <c r="B147" s="312"/>
      <c r="C147" s="267">
        <v>34644</v>
      </c>
      <c r="D147" s="252" t="s">
        <v>165</v>
      </c>
      <c r="F147" s="313">
        <v>4</v>
      </c>
      <c r="G147" s="260"/>
      <c r="H147" s="655">
        <v>510664.71</v>
      </c>
      <c r="I147" s="733"/>
      <c r="J147" s="655">
        <v>0</v>
      </c>
      <c r="K147" s="602"/>
      <c r="L147" s="655">
        <v>0</v>
      </c>
      <c r="M147" s="602"/>
      <c r="N147" s="655">
        <v>0</v>
      </c>
      <c r="O147" s="602"/>
      <c r="P147" s="655">
        <v>510664.71</v>
      </c>
      <c r="Q147" s="602"/>
      <c r="R147" s="655">
        <v>510664.71</v>
      </c>
      <c r="S147" s="262"/>
      <c r="U147" s="283"/>
    </row>
    <row r="148" spans="1:22" ht="14.1" customHeight="1" x14ac:dyDescent="0.2">
      <c r="A148" s="252">
        <v>25</v>
      </c>
      <c r="B148" s="312"/>
      <c r="C148" s="267"/>
      <c r="D148" s="279" t="s">
        <v>209</v>
      </c>
      <c r="E148" s="269"/>
      <c r="F148" s="313"/>
      <c r="H148" s="658">
        <v>40842135.890000001</v>
      </c>
      <c r="I148" s="733"/>
      <c r="J148" s="658">
        <v>507114.91</v>
      </c>
      <c r="K148" s="659"/>
      <c r="L148" s="658">
        <v>-32766.55</v>
      </c>
      <c r="M148" s="659"/>
      <c r="N148" s="658">
        <v>0</v>
      </c>
      <c r="O148" s="659"/>
      <c r="P148" s="658">
        <v>41316484.25</v>
      </c>
      <c r="Q148" s="659"/>
      <c r="R148" s="658">
        <v>40899561.013076924</v>
      </c>
      <c r="S148" s="262"/>
      <c r="U148" s="283"/>
    </row>
    <row r="149" spans="1:22" ht="14.1" customHeight="1" x14ac:dyDescent="0.2">
      <c r="A149" s="252">
        <v>26</v>
      </c>
      <c r="B149" s="312"/>
      <c r="C149" s="269"/>
      <c r="D149" s="269"/>
      <c r="E149" s="269"/>
      <c r="F149" s="318"/>
      <c r="G149" s="318"/>
      <c r="H149" s="655"/>
      <c r="I149" s="733"/>
      <c r="J149" s="655"/>
      <c r="K149" s="659"/>
      <c r="L149" s="655"/>
      <c r="M149" s="659"/>
      <c r="N149" s="655"/>
      <c r="O149" s="659"/>
      <c r="P149" s="655"/>
      <c r="Q149" s="659"/>
      <c r="R149" s="655"/>
      <c r="S149" s="262"/>
      <c r="U149" s="283"/>
    </row>
    <row r="150" spans="1:22" ht="14.1" customHeight="1" x14ac:dyDescent="0.2">
      <c r="A150" s="252">
        <v>27</v>
      </c>
      <c r="B150" s="312"/>
      <c r="D150" s="252" t="s">
        <v>1365</v>
      </c>
      <c r="H150" s="602"/>
      <c r="I150" s="277"/>
      <c r="J150" s="277"/>
      <c r="K150" s="277"/>
      <c r="L150" s="277"/>
      <c r="M150" s="277"/>
      <c r="N150" s="277"/>
      <c r="O150" s="277"/>
      <c r="P150" s="277"/>
      <c r="Q150" s="277"/>
      <c r="R150" s="277"/>
      <c r="S150" s="262"/>
      <c r="U150" s="283"/>
    </row>
    <row r="151" spans="1:22" ht="14.1" customHeight="1" x14ac:dyDescent="0.2">
      <c r="A151" s="252">
        <v>28</v>
      </c>
      <c r="B151" s="312"/>
      <c r="C151" s="269">
        <v>34345</v>
      </c>
      <c r="D151" s="283" t="s">
        <v>1366</v>
      </c>
      <c r="F151" s="313">
        <v>0</v>
      </c>
      <c r="G151" s="260"/>
      <c r="H151" s="655">
        <v>0</v>
      </c>
      <c r="I151" s="733"/>
      <c r="J151" s="655">
        <v>0</v>
      </c>
      <c r="K151" s="602"/>
      <c r="L151" s="655">
        <v>0</v>
      </c>
      <c r="M151" s="602"/>
      <c r="N151" s="655">
        <v>0</v>
      </c>
      <c r="O151" s="602"/>
      <c r="P151" s="655">
        <v>0</v>
      </c>
      <c r="Q151" s="602"/>
      <c r="R151" s="655">
        <v>0</v>
      </c>
      <c r="S151" s="262"/>
      <c r="U151" s="283"/>
    </row>
    <row r="152" spans="1:22" ht="14.1" customHeight="1" x14ac:dyDescent="0.2">
      <c r="A152" s="252">
        <v>29</v>
      </c>
      <c r="B152" s="312"/>
      <c r="C152" s="269"/>
      <c r="D152" s="279" t="s">
        <v>1367</v>
      </c>
      <c r="H152" s="658">
        <v>0</v>
      </c>
      <c r="I152" s="733"/>
      <c r="J152" s="658">
        <v>0</v>
      </c>
      <c r="K152" s="659"/>
      <c r="L152" s="658">
        <v>0</v>
      </c>
      <c r="M152" s="659"/>
      <c r="N152" s="658">
        <v>0</v>
      </c>
      <c r="O152" s="659"/>
      <c r="P152" s="658">
        <v>0</v>
      </c>
      <c r="Q152" s="659"/>
      <c r="R152" s="658">
        <v>0</v>
      </c>
      <c r="S152" s="262"/>
      <c r="U152" s="283"/>
    </row>
    <row r="153" spans="1:22" ht="14.1" customHeight="1" x14ac:dyDescent="0.2">
      <c r="A153" s="252">
        <v>30</v>
      </c>
      <c r="B153" s="312"/>
      <c r="C153" s="269"/>
      <c r="H153" s="602"/>
      <c r="I153" s="277"/>
      <c r="J153" s="602"/>
      <c r="K153" s="602"/>
      <c r="L153" s="602"/>
      <c r="M153" s="602"/>
      <c r="N153" s="602"/>
      <c r="O153" s="602"/>
      <c r="P153" s="602"/>
      <c r="Q153" s="602"/>
      <c r="R153" s="602"/>
      <c r="S153" s="262"/>
      <c r="U153" s="283"/>
    </row>
    <row r="154" spans="1:22" ht="14.1" customHeight="1" x14ac:dyDescent="0.2">
      <c r="A154" s="252">
        <v>31</v>
      </c>
      <c r="B154" s="312"/>
      <c r="C154" s="269"/>
      <c r="D154" s="252" t="s">
        <v>1368</v>
      </c>
      <c r="H154" s="602"/>
      <c r="I154" s="277"/>
      <c r="J154" s="277"/>
      <c r="K154" s="277"/>
      <c r="L154" s="277"/>
      <c r="M154" s="277"/>
      <c r="N154" s="277"/>
      <c r="O154" s="277"/>
      <c r="P154" s="277"/>
      <c r="Q154" s="277"/>
      <c r="R154" s="277"/>
      <c r="S154" s="262"/>
      <c r="U154" s="283"/>
    </row>
    <row r="155" spans="1:22" ht="14.1" customHeight="1" x14ac:dyDescent="0.2">
      <c r="A155" s="252">
        <v>32</v>
      </c>
      <c r="B155" s="312"/>
      <c r="C155" s="269">
        <v>34346</v>
      </c>
      <c r="D155" s="283" t="s">
        <v>1369</v>
      </c>
      <c r="F155" s="313">
        <v>0</v>
      </c>
      <c r="G155" s="260"/>
      <c r="H155" s="655">
        <v>0</v>
      </c>
      <c r="I155" s="733"/>
      <c r="J155" s="655">
        <v>0</v>
      </c>
      <c r="K155" s="602"/>
      <c r="L155" s="655">
        <v>0</v>
      </c>
      <c r="M155" s="602"/>
      <c r="N155" s="655">
        <v>0</v>
      </c>
      <c r="O155" s="602"/>
      <c r="P155" s="655">
        <v>0</v>
      </c>
      <c r="Q155" s="602"/>
      <c r="R155" s="655">
        <v>0</v>
      </c>
      <c r="S155" s="262"/>
      <c r="U155" s="283"/>
    </row>
    <row r="156" spans="1:22" ht="14.1" customHeight="1" x14ac:dyDescent="0.2">
      <c r="A156" s="252">
        <v>33</v>
      </c>
      <c r="B156" s="312"/>
      <c r="C156" s="269"/>
      <c r="D156" s="279" t="s">
        <v>1370</v>
      </c>
      <c r="H156" s="658">
        <v>0</v>
      </c>
      <c r="I156" s="733"/>
      <c r="J156" s="658">
        <v>0</v>
      </c>
      <c r="K156" s="659"/>
      <c r="L156" s="658">
        <v>0</v>
      </c>
      <c r="M156" s="659"/>
      <c r="N156" s="658">
        <v>0</v>
      </c>
      <c r="O156" s="659"/>
      <c r="P156" s="658">
        <v>0</v>
      </c>
      <c r="Q156" s="659"/>
      <c r="R156" s="658">
        <v>0</v>
      </c>
      <c r="S156" s="262"/>
      <c r="U156" s="283"/>
    </row>
    <row r="157" spans="1:22" ht="14.1" customHeight="1" x14ac:dyDescent="0.2">
      <c r="A157" s="252">
        <v>34</v>
      </c>
      <c r="B157" s="312"/>
      <c r="C157" s="269"/>
      <c r="H157" s="602"/>
      <c r="I157" s="277"/>
      <c r="J157" s="277"/>
      <c r="K157" s="277"/>
      <c r="L157" s="277"/>
      <c r="M157" s="277"/>
      <c r="N157" s="277"/>
      <c r="O157" s="277"/>
      <c r="P157" s="277"/>
      <c r="Q157" s="277"/>
      <c r="R157" s="277"/>
      <c r="S157" s="262"/>
      <c r="U157" s="283"/>
      <c r="V157" s="283"/>
    </row>
    <row r="158" spans="1:22" ht="14.1" customHeight="1" x14ac:dyDescent="0.2">
      <c r="A158" s="252">
        <v>35</v>
      </c>
      <c r="B158" s="312"/>
      <c r="C158" s="269"/>
      <c r="D158" s="252" t="s">
        <v>1371</v>
      </c>
      <c r="H158" s="602"/>
      <c r="I158" s="277"/>
      <c r="J158" s="277"/>
      <c r="K158" s="277"/>
      <c r="L158" s="277"/>
      <c r="M158" s="277"/>
      <c r="N158" s="277"/>
      <c r="O158" s="277"/>
      <c r="P158" s="277"/>
      <c r="Q158" s="277"/>
      <c r="R158" s="277"/>
      <c r="S158" s="262"/>
      <c r="U158" s="283"/>
    </row>
    <row r="159" spans="1:22" ht="14.1" customHeight="1" x14ac:dyDescent="0.2">
      <c r="A159" s="252">
        <v>36</v>
      </c>
      <c r="B159" s="312"/>
      <c r="C159" s="269">
        <v>34343</v>
      </c>
      <c r="D159" s="283" t="s">
        <v>1372</v>
      </c>
      <c r="F159" s="313">
        <v>0</v>
      </c>
      <c r="G159" s="260"/>
      <c r="H159" s="655">
        <v>0</v>
      </c>
      <c r="I159" s="733"/>
      <c r="J159" s="655">
        <v>0</v>
      </c>
      <c r="K159" s="602"/>
      <c r="L159" s="655">
        <v>0</v>
      </c>
      <c r="M159" s="602"/>
      <c r="N159" s="655">
        <v>0</v>
      </c>
      <c r="O159" s="602"/>
      <c r="P159" s="655">
        <v>0</v>
      </c>
      <c r="Q159" s="602"/>
      <c r="R159" s="655">
        <v>0</v>
      </c>
      <c r="S159" s="262"/>
      <c r="U159" s="283"/>
    </row>
    <row r="160" spans="1:22" ht="14.1" customHeight="1" x14ac:dyDescent="0.2">
      <c r="A160" s="252">
        <v>37</v>
      </c>
      <c r="B160" s="312"/>
      <c r="D160" s="279" t="s">
        <v>1373</v>
      </c>
      <c r="H160" s="658">
        <v>0</v>
      </c>
      <c r="I160" s="733"/>
      <c r="J160" s="658">
        <v>0</v>
      </c>
      <c r="K160" s="659"/>
      <c r="L160" s="658">
        <v>0</v>
      </c>
      <c r="M160" s="659"/>
      <c r="N160" s="658">
        <v>0</v>
      </c>
      <c r="O160" s="659"/>
      <c r="P160" s="658">
        <v>0</v>
      </c>
      <c r="Q160" s="659"/>
      <c r="R160" s="658">
        <v>0</v>
      </c>
      <c r="S160" s="262"/>
      <c r="U160" s="283"/>
    </row>
    <row r="161" spans="1:21" ht="14.1" customHeight="1" x14ac:dyDescent="0.2">
      <c r="A161" s="252">
        <v>38</v>
      </c>
      <c r="B161" s="312"/>
      <c r="H161" s="602"/>
      <c r="I161" s="277"/>
      <c r="J161" s="277"/>
      <c r="K161" s="277"/>
      <c r="L161" s="277"/>
      <c r="M161" s="277"/>
      <c r="N161" s="277"/>
      <c r="O161" s="277"/>
      <c r="P161" s="277"/>
      <c r="Q161" s="277"/>
      <c r="R161" s="277"/>
      <c r="S161" s="262"/>
      <c r="U161" s="283"/>
    </row>
    <row r="162" spans="1:21" ht="14.1" customHeight="1" x14ac:dyDescent="0.2">
      <c r="A162" s="252">
        <v>39</v>
      </c>
      <c r="B162" s="312"/>
      <c r="H162" s="602"/>
      <c r="I162" s="277"/>
      <c r="J162" s="277"/>
      <c r="K162" s="277"/>
      <c r="L162" s="277"/>
      <c r="M162" s="277"/>
      <c r="N162" s="277"/>
      <c r="O162" s="277"/>
      <c r="P162" s="277"/>
      <c r="Q162" s="277"/>
      <c r="R162" s="277"/>
      <c r="S162" s="262"/>
      <c r="U162" s="283"/>
    </row>
    <row r="163" spans="1:21" ht="14.1" customHeight="1" thickBot="1" x14ac:dyDescent="0.25">
      <c r="A163" s="252">
        <v>40</v>
      </c>
      <c r="B163" s="312"/>
      <c r="D163" s="258" t="s">
        <v>205</v>
      </c>
      <c r="F163" s="313"/>
      <c r="G163" s="319"/>
      <c r="H163" s="665">
        <v>40842135.890000001</v>
      </c>
      <c r="I163" s="754"/>
      <c r="J163" s="665">
        <v>507114.91</v>
      </c>
      <c r="K163" s="672"/>
      <c r="L163" s="665">
        <v>-32766.55</v>
      </c>
      <c r="M163" s="672"/>
      <c r="N163" s="665">
        <v>0</v>
      </c>
      <c r="O163" s="672"/>
      <c r="P163" s="665">
        <v>41316484.25</v>
      </c>
      <c r="Q163" s="672"/>
      <c r="R163" s="665">
        <v>40899561.013076924</v>
      </c>
      <c r="S163" s="262"/>
      <c r="U163" s="283"/>
    </row>
    <row r="164" spans="1:21" ht="14.1" customHeight="1" thickTop="1" x14ac:dyDescent="0.2">
      <c r="A164" s="252">
        <v>41</v>
      </c>
      <c r="B164" s="312"/>
      <c r="H164" s="602"/>
      <c r="I164" s="277"/>
      <c r="J164" s="277"/>
      <c r="K164" s="277"/>
      <c r="L164" s="277"/>
      <c r="M164" s="277"/>
      <c r="N164" s="277"/>
      <c r="O164" s="277"/>
      <c r="P164" s="277"/>
      <c r="Q164" s="277"/>
      <c r="R164" s="277"/>
      <c r="S164" s="262"/>
      <c r="U164" s="283"/>
    </row>
    <row r="165" spans="1:21" ht="14.1" customHeight="1" x14ac:dyDescent="0.2">
      <c r="A165" s="252">
        <v>42</v>
      </c>
      <c r="B165" s="312"/>
      <c r="S165" s="262"/>
      <c r="U165" s="283"/>
    </row>
    <row r="166" spans="1:21" ht="14.1" customHeight="1" x14ac:dyDescent="0.2">
      <c r="A166" s="252">
        <v>43</v>
      </c>
      <c r="B166" s="312"/>
      <c r="C166" s="269"/>
      <c r="F166" s="260"/>
      <c r="G166" s="260"/>
      <c r="H166" s="602"/>
      <c r="I166" s="752"/>
      <c r="J166" s="277"/>
      <c r="K166" s="752"/>
      <c r="L166" s="277"/>
      <c r="M166" s="752"/>
      <c r="N166" s="277"/>
      <c r="O166" s="752"/>
      <c r="P166" s="277"/>
      <c r="Q166" s="752"/>
      <c r="R166" s="277"/>
      <c r="S166" s="262"/>
      <c r="U166" s="283"/>
    </row>
    <row r="167" spans="1:21" ht="14.1" customHeight="1" thickBot="1" x14ac:dyDescent="0.25">
      <c r="A167" s="252">
        <v>44</v>
      </c>
      <c r="B167" s="742" t="s">
        <v>186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2"/>
      <c r="U167" s="283"/>
    </row>
    <row r="168" spans="1:21" ht="14.1" customHeight="1" x14ac:dyDescent="0.2">
      <c r="A168" s="252" t="s">
        <v>60</v>
      </c>
      <c r="P168" s="252" t="s">
        <v>60</v>
      </c>
      <c r="S168" s="262"/>
      <c r="U168" s="283"/>
    </row>
    <row r="169" spans="1:21" ht="14.1" customHeight="1" thickBot="1" x14ac:dyDescent="0.25">
      <c r="A169" s="264" t="s">
        <v>127</v>
      </c>
      <c r="B169" s="264"/>
      <c r="C169" s="264"/>
      <c r="D169" s="264"/>
      <c r="E169" s="264"/>
      <c r="F169" s="264"/>
      <c r="G169" s="264" t="s">
        <v>128</v>
      </c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 t="s">
        <v>326</v>
      </c>
      <c r="S169" s="262"/>
      <c r="U169" s="283"/>
    </row>
    <row r="170" spans="1:21" ht="14.1" customHeight="1" x14ac:dyDescent="0.2">
      <c r="A170" s="252" t="s">
        <v>129</v>
      </c>
      <c r="B170" s="285"/>
      <c r="E170" s="260" t="s">
        <v>130</v>
      </c>
      <c r="F170" s="252" t="s">
        <v>1405</v>
      </c>
      <c r="J170" s="286"/>
      <c r="K170" s="286"/>
      <c r="M170" s="286"/>
      <c r="N170" s="286"/>
      <c r="O170" s="286" t="s">
        <v>187</v>
      </c>
      <c r="R170" s="261"/>
      <c r="S170" s="262"/>
      <c r="U170" s="283"/>
    </row>
    <row r="171" spans="1:21" ht="14.1" customHeight="1" x14ac:dyDescent="0.2">
      <c r="B171" s="285"/>
      <c r="F171" s="252" t="s">
        <v>1406</v>
      </c>
      <c r="J171" s="260"/>
      <c r="K171" s="261"/>
      <c r="N171" s="260"/>
      <c r="O171" s="260" t="s">
        <v>123</v>
      </c>
      <c r="P171" s="261" t="s">
        <v>1407</v>
      </c>
      <c r="R171" s="260"/>
      <c r="S171" s="262"/>
      <c r="U171" s="283"/>
    </row>
    <row r="172" spans="1:21" ht="14.1" customHeight="1" x14ac:dyDescent="0.2">
      <c r="A172" s="252" t="s">
        <v>134</v>
      </c>
      <c r="B172" s="285"/>
      <c r="F172" s="252" t="s">
        <v>123</v>
      </c>
      <c r="J172" s="260"/>
      <c r="K172" s="261"/>
      <c r="L172" s="260"/>
      <c r="O172" s="260" t="s">
        <v>123</v>
      </c>
      <c r="P172" s="261">
        <v>0</v>
      </c>
      <c r="R172" s="260"/>
      <c r="S172" s="262"/>
      <c r="U172" s="283"/>
    </row>
    <row r="173" spans="1:21" ht="14.1" customHeight="1" x14ac:dyDescent="0.2">
      <c r="B173" s="285"/>
      <c r="F173" s="252" t="s">
        <v>123</v>
      </c>
      <c r="J173" s="260"/>
      <c r="K173" s="261"/>
      <c r="L173" s="260"/>
      <c r="O173" s="260" t="s">
        <v>123</v>
      </c>
      <c r="P173" s="261"/>
      <c r="R173" s="260"/>
      <c r="S173" s="262"/>
      <c r="U173" s="283"/>
    </row>
    <row r="174" spans="1:21" ht="14.1" customHeight="1" thickBot="1" x14ac:dyDescent="0.25">
      <c r="A174" s="264" t="s">
        <v>135</v>
      </c>
      <c r="B174" s="287"/>
      <c r="C174" s="264"/>
      <c r="D174" s="264"/>
      <c r="E174" s="264"/>
      <c r="F174" s="264" t="s">
        <v>123</v>
      </c>
      <c r="G174" s="264"/>
      <c r="H174" s="266"/>
      <c r="I174" s="264"/>
      <c r="J174" s="264"/>
      <c r="K174" s="264"/>
      <c r="L174" s="264"/>
      <c r="M174" s="264"/>
      <c r="N174" s="264"/>
      <c r="O174" s="264"/>
      <c r="P174" s="288"/>
      <c r="Q174" s="264"/>
      <c r="R174" s="264"/>
      <c r="S174" s="262"/>
      <c r="U174" s="283"/>
    </row>
    <row r="175" spans="1:21" ht="14.1" customHeight="1" x14ac:dyDescent="0.2"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2"/>
      <c r="U175" s="283"/>
    </row>
    <row r="176" spans="1:21" ht="14.1" customHeight="1" x14ac:dyDescent="0.2">
      <c r="C176" s="267" t="s">
        <v>136</v>
      </c>
      <c r="D176" s="267" t="s">
        <v>137</v>
      </c>
      <c r="E176" s="267"/>
      <c r="F176" s="267" t="s">
        <v>138</v>
      </c>
      <c r="G176" s="267"/>
      <c r="H176" s="267" t="s">
        <v>139</v>
      </c>
      <c r="I176" s="267"/>
      <c r="J176" s="269" t="s">
        <v>140</v>
      </c>
      <c r="K176" s="269"/>
      <c r="L176" s="267" t="s">
        <v>141</v>
      </c>
      <c r="M176" s="267"/>
      <c r="N176" s="267" t="s">
        <v>142</v>
      </c>
      <c r="O176" s="267"/>
      <c r="P176" s="267" t="s">
        <v>143</v>
      </c>
      <c r="Q176" s="267"/>
      <c r="R176" s="267" t="s">
        <v>144</v>
      </c>
      <c r="S176" s="262"/>
      <c r="U176" s="283"/>
    </row>
    <row r="177" spans="1:21" ht="14.1" customHeight="1" x14ac:dyDescent="0.2">
      <c r="C177" s="269" t="s">
        <v>145</v>
      </c>
      <c r="D177" s="269" t="s">
        <v>145</v>
      </c>
      <c r="F177" s="269" t="s">
        <v>6</v>
      </c>
      <c r="G177" s="269"/>
      <c r="H177" s="267" t="s">
        <v>48</v>
      </c>
      <c r="I177" s="269"/>
      <c r="J177" s="267" t="s">
        <v>40</v>
      </c>
      <c r="K177" s="269"/>
      <c r="L177" s="269" t="s">
        <v>40</v>
      </c>
      <c r="M177" s="269"/>
      <c r="P177" s="269" t="s">
        <v>48</v>
      </c>
      <c r="R177" s="269"/>
      <c r="S177" s="262"/>
      <c r="U177" s="283"/>
    </row>
    <row r="178" spans="1:21" ht="14.1" customHeight="1" x14ac:dyDescent="0.2">
      <c r="A178" s="252" t="s">
        <v>146</v>
      </c>
      <c r="B178" s="269"/>
      <c r="C178" s="269" t="s">
        <v>147</v>
      </c>
      <c r="D178" s="269" t="s">
        <v>147</v>
      </c>
      <c r="E178" s="267"/>
      <c r="F178" s="269" t="s">
        <v>148</v>
      </c>
      <c r="G178" s="269"/>
      <c r="H178" s="269" t="s">
        <v>149</v>
      </c>
      <c r="I178" s="269"/>
      <c r="J178" s="269" t="s">
        <v>48</v>
      </c>
      <c r="K178" s="267"/>
      <c r="L178" s="269" t="s">
        <v>48</v>
      </c>
      <c r="M178" s="261"/>
      <c r="N178" s="269" t="s">
        <v>150</v>
      </c>
      <c r="O178" s="267"/>
      <c r="P178" s="267" t="s">
        <v>149</v>
      </c>
      <c r="Q178" s="267"/>
      <c r="R178" s="269" t="s">
        <v>151</v>
      </c>
      <c r="S178" s="262"/>
      <c r="U178" s="283"/>
    </row>
    <row r="179" spans="1:21" ht="14.1" customHeight="1" thickBot="1" x14ac:dyDescent="0.25">
      <c r="A179" s="264" t="s">
        <v>152</v>
      </c>
      <c r="B179" s="266"/>
      <c r="C179" s="266" t="s">
        <v>52</v>
      </c>
      <c r="D179" s="266" t="s">
        <v>153</v>
      </c>
      <c r="E179" s="266"/>
      <c r="F179" s="270" t="s">
        <v>57</v>
      </c>
      <c r="G179" s="270"/>
      <c r="H179" s="270" t="s">
        <v>154</v>
      </c>
      <c r="I179" s="271"/>
      <c r="J179" s="270" t="s">
        <v>155</v>
      </c>
      <c r="K179" s="271"/>
      <c r="L179" s="271" t="s">
        <v>156</v>
      </c>
      <c r="M179" s="272"/>
      <c r="N179" s="272" t="s">
        <v>157</v>
      </c>
      <c r="O179" s="272"/>
      <c r="P179" s="272" t="s">
        <v>158</v>
      </c>
      <c r="Q179" s="272"/>
      <c r="R179" s="272" t="s">
        <v>3</v>
      </c>
      <c r="S179" s="262"/>
      <c r="U179" s="283"/>
    </row>
    <row r="180" spans="1:21" ht="14.1" customHeight="1" x14ac:dyDescent="0.2">
      <c r="A180" s="252">
        <v>1</v>
      </c>
      <c r="B180" s="269"/>
      <c r="S180" s="262"/>
      <c r="U180" s="283"/>
    </row>
    <row r="181" spans="1:21" ht="14.1" customHeight="1" x14ac:dyDescent="0.2">
      <c r="A181" s="252">
        <v>2</v>
      </c>
      <c r="B181" s="269"/>
      <c r="D181" s="83" t="s">
        <v>64</v>
      </c>
      <c r="I181" s="755"/>
      <c r="K181" s="656"/>
      <c r="M181" s="656"/>
      <c r="O181" s="656"/>
      <c r="Q181" s="656"/>
      <c r="S181" s="262"/>
      <c r="U181" s="283"/>
    </row>
    <row r="182" spans="1:21" ht="14.1" customHeight="1" x14ac:dyDescent="0.2">
      <c r="A182" s="252">
        <v>3</v>
      </c>
      <c r="B182" s="269"/>
      <c r="C182" s="269"/>
      <c r="D182" s="279" t="s">
        <v>210</v>
      </c>
      <c r="F182" s="313"/>
      <c r="G182" s="319"/>
      <c r="H182" s="661"/>
      <c r="I182" s="755"/>
      <c r="J182" s="253"/>
      <c r="K182" s="656"/>
      <c r="L182" s="253"/>
      <c r="M182" s="656"/>
      <c r="N182" s="253"/>
      <c r="O182" s="656"/>
      <c r="P182" s="253"/>
      <c r="Q182" s="656"/>
      <c r="R182" s="253"/>
      <c r="S182" s="262"/>
      <c r="U182" s="283"/>
    </row>
    <row r="183" spans="1:21" ht="14.1" customHeight="1" x14ac:dyDescent="0.2">
      <c r="A183" s="252">
        <v>4</v>
      </c>
      <c r="B183" s="269"/>
      <c r="C183" s="267">
        <v>34180</v>
      </c>
      <c r="D183" s="252" t="s">
        <v>1408</v>
      </c>
      <c r="F183" s="313">
        <v>2.2000000000000002</v>
      </c>
      <c r="G183" s="260"/>
      <c r="H183" s="655">
        <v>190101667.59000006</v>
      </c>
      <c r="I183" s="733"/>
      <c r="J183" s="655">
        <v>292646.67</v>
      </c>
      <c r="K183" s="602"/>
      <c r="L183" s="655">
        <v>-118209.21999999999</v>
      </c>
      <c r="M183" s="602"/>
      <c r="N183" s="655">
        <v>0</v>
      </c>
      <c r="O183" s="602"/>
      <c r="P183" s="655">
        <v>190276105.04000005</v>
      </c>
      <c r="Q183" s="602"/>
      <c r="R183" s="655">
        <v>190174351.14846161</v>
      </c>
      <c r="S183" s="262"/>
      <c r="U183" s="283"/>
    </row>
    <row r="184" spans="1:21" ht="14.1" customHeight="1" x14ac:dyDescent="0.2">
      <c r="A184" s="252">
        <v>5</v>
      </c>
      <c r="B184" s="269"/>
      <c r="C184" s="267">
        <v>34280</v>
      </c>
      <c r="D184" s="252" t="s">
        <v>1410</v>
      </c>
      <c r="F184" s="313">
        <v>3.7000000000000006</v>
      </c>
      <c r="G184" s="260"/>
      <c r="H184" s="655">
        <v>9702986.4199999962</v>
      </c>
      <c r="I184" s="733"/>
      <c r="J184" s="734">
        <v>0</v>
      </c>
      <c r="K184" s="277"/>
      <c r="L184" s="734">
        <v>0</v>
      </c>
      <c r="M184" s="277"/>
      <c r="N184" s="734">
        <v>-432299.34</v>
      </c>
      <c r="O184" s="277"/>
      <c r="P184" s="734">
        <v>9270687.0799999963</v>
      </c>
      <c r="Q184" s="277"/>
      <c r="R184" s="734">
        <v>9403702.261538459</v>
      </c>
      <c r="S184" s="262"/>
      <c r="U184" s="283"/>
    </row>
    <row r="185" spans="1:21" ht="14.1" customHeight="1" x14ac:dyDescent="0.2">
      <c r="A185" s="252">
        <v>6</v>
      </c>
      <c r="B185" s="269"/>
      <c r="C185" s="267">
        <v>34380</v>
      </c>
      <c r="D185" s="252" t="s">
        <v>207</v>
      </c>
      <c r="F185" s="313">
        <v>2.2000000000000002</v>
      </c>
      <c r="G185" s="260"/>
      <c r="H185" s="655">
        <v>10424249.149999999</v>
      </c>
      <c r="I185" s="733"/>
      <c r="J185" s="734">
        <v>0</v>
      </c>
      <c r="K185" s="277"/>
      <c r="L185" s="734">
        <v>-54227.4</v>
      </c>
      <c r="M185" s="277"/>
      <c r="N185" s="734">
        <v>0</v>
      </c>
      <c r="O185" s="277"/>
      <c r="P185" s="734">
        <v>10370021.749999998</v>
      </c>
      <c r="Q185" s="277"/>
      <c r="R185" s="734">
        <v>10395049.780769229</v>
      </c>
      <c r="S185" s="262"/>
      <c r="U185" s="283"/>
    </row>
    <row r="186" spans="1:21" ht="14.1" customHeight="1" x14ac:dyDescent="0.2">
      <c r="A186" s="252">
        <v>7</v>
      </c>
      <c r="B186" s="269"/>
      <c r="C186" s="267">
        <v>34580</v>
      </c>
      <c r="D186" s="252" t="s">
        <v>1409</v>
      </c>
      <c r="F186" s="313">
        <v>2.9</v>
      </c>
      <c r="G186" s="260"/>
      <c r="H186" s="655">
        <v>13904145.690000003</v>
      </c>
      <c r="I186" s="733"/>
      <c r="J186" s="734">
        <v>8299.42</v>
      </c>
      <c r="K186" s="277"/>
      <c r="L186" s="734">
        <v>0</v>
      </c>
      <c r="M186" s="277"/>
      <c r="N186" s="734">
        <v>0</v>
      </c>
      <c r="O186" s="277"/>
      <c r="P186" s="734">
        <v>13912445.110000003</v>
      </c>
      <c r="Q186" s="277"/>
      <c r="R186" s="734">
        <v>13904784.106923077</v>
      </c>
      <c r="S186" s="262"/>
      <c r="U186" s="283"/>
    </row>
    <row r="187" spans="1:21" ht="14.1" customHeight="1" x14ac:dyDescent="0.2">
      <c r="A187" s="252">
        <v>8</v>
      </c>
      <c r="B187" s="269"/>
      <c r="C187" s="267">
        <v>34680</v>
      </c>
      <c r="D187" s="252" t="s">
        <v>165</v>
      </c>
      <c r="F187" s="313">
        <v>2.4</v>
      </c>
      <c r="G187" s="260"/>
      <c r="H187" s="655">
        <v>850630.8600000001</v>
      </c>
      <c r="I187" s="733"/>
      <c r="J187" s="734">
        <v>0</v>
      </c>
      <c r="K187" s="277"/>
      <c r="L187" s="734">
        <v>0</v>
      </c>
      <c r="M187" s="277"/>
      <c r="N187" s="734">
        <v>0</v>
      </c>
      <c r="O187" s="277"/>
      <c r="P187" s="734">
        <v>850630.8600000001</v>
      </c>
      <c r="Q187" s="277"/>
      <c r="R187" s="734">
        <v>850630.86</v>
      </c>
      <c r="S187" s="262"/>
      <c r="U187" s="283"/>
    </row>
    <row r="188" spans="1:21" ht="14.1" customHeight="1" x14ac:dyDescent="0.2">
      <c r="A188" s="252">
        <v>9</v>
      </c>
      <c r="B188" s="312"/>
      <c r="C188" s="269"/>
      <c r="D188" s="252" t="s">
        <v>211</v>
      </c>
      <c r="F188" s="313"/>
      <c r="H188" s="658">
        <v>224983679.71000007</v>
      </c>
      <c r="I188" s="733"/>
      <c r="J188" s="736">
        <v>300946.08999999997</v>
      </c>
      <c r="K188" s="733"/>
      <c r="L188" s="736">
        <v>-172436.62</v>
      </c>
      <c r="M188" s="733"/>
      <c r="N188" s="736">
        <v>-432299.34</v>
      </c>
      <c r="O188" s="733"/>
      <c r="P188" s="736">
        <v>224679889.84000006</v>
      </c>
      <c r="Q188" s="733"/>
      <c r="R188" s="736">
        <v>224728518.15769237</v>
      </c>
      <c r="S188" s="262"/>
      <c r="U188" s="283"/>
    </row>
    <row r="189" spans="1:21" ht="14.1" customHeight="1" x14ac:dyDescent="0.2">
      <c r="A189" s="252">
        <v>10</v>
      </c>
      <c r="B189" s="312"/>
      <c r="H189" s="602"/>
      <c r="I189" s="277"/>
      <c r="J189" s="277"/>
      <c r="K189" s="277"/>
      <c r="L189" s="277"/>
      <c r="M189" s="277"/>
      <c r="N189" s="277"/>
      <c r="O189" s="277"/>
      <c r="P189" s="277"/>
      <c r="Q189" s="277"/>
      <c r="R189" s="277"/>
      <c r="S189" s="262"/>
      <c r="U189" s="283"/>
    </row>
    <row r="190" spans="1:21" ht="14.1" customHeight="1" x14ac:dyDescent="0.2">
      <c r="A190" s="252">
        <v>11</v>
      </c>
      <c r="B190" s="312"/>
      <c r="H190" s="602"/>
      <c r="I190" s="277"/>
      <c r="J190" s="277"/>
      <c r="K190" s="277"/>
      <c r="L190" s="277"/>
      <c r="M190" s="277"/>
      <c r="N190" s="277"/>
      <c r="O190" s="277"/>
      <c r="P190" s="277"/>
      <c r="Q190" s="277"/>
      <c r="R190" s="277"/>
      <c r="S190" s="262"/>
      <c r="U190" s="283"/>
    </row>
    <row r="191" spans="1:21" ht="14.1" customHeight="1" x14ac:dyDescent="0.2">
      <c r="A191" s="252">
        <v>12</v>
      </c>
      <c r="B191" s="312"/>
      <c r="D191" s="252" t="s">
        <v>212</v>
      </c>
      <c r="F191" s="313"/>
      <c r="G191" s="319"/>
      <c r="H191" s="737"/>
      <c r="I191" s="733"/>
      <c r="J191" s="738"/>
      <c r="K191" s="733"/>
      <c r="L191" s="733"/>
      <c r="M191" s="733"/>
      <c r="N191" s="733"/>
      <c r="O191" s="733"/>
      <c r="P191" s="733"/>
      <c r="Q191" s="733"/>
      <c r="R191" s="733"/>
      <c r="S191" s="262"/>
      <c r="U191" s="283"/>
    </row>
    <row r="192" spans="1:21" ht="14.1" customHeight="1" x14ac:dyDescent="0.2">
      <c r="A192" s="252">
        <v>13</v>
      </c>
      <c r="B192" s="312"/>
      <c r="C192" s="267">
        <v>34181</v>
      </c>
      <c r="D192" s="252" t="s">
        <v>1408</v>
      </c>
      <c r="F192" s="313">
        <v>2.5</v>
      </c>
      <c r="G192" s="260"/>
      <c r="H192" s="655">
        <v>49619943.95000001</v>
      </c>
      <c r="I192" s="733"/>
      <c r="J192" s="734">
        <v>1400001.9300000002</v>
      </c>
      <c r="K192" s="277"/>
      <c r="L192" s="734">
        <v>-501466.56</v>
      </c>
      <c r="M192" s="277"/>
      <c r="N192" s="734">
        <v>0</v>
      </c>
      <c r="O192" s="277"/>
      <c r="P192" s="734">
        <v>50518479.320000008</v>
      </c>
      <c r="Q192" s="277"/>
      <c r="R192" s="734">
        <v>49814092.403846152</v>
      </c>
      <c r="S192" s="262"/>
      <c r="U192" s="283"/>
    </row>
    <row r="193" spans="1:21" ht="14.1" customHeight="1" x14ac:dyDescent="0.2">
      <c r="A193" s="252">
        <v>14</v>
      </c>
      <c r="B193" s="312"/>
      <c r="C193" s="267">
        <v>34281</v>
      </c>
      <c r="D193" s="252" t="s">
        <v>1410</v>
      </c>
      <c r="F193" s="313">
        <v>3.4000000000000004</v>
      </c>
      <c r="G193" s="260"/>
      <c r="H193" s="655">
        <v>243837821.76000011</v>
      </c>
      <c r="I193" s="733"/>
      <c r="J193" s="734">
        <v>503985.14000000007</v>
      </c>
      <c r="K193" s="277"/>
      <c r="L193" s="734">
        <v>-182811.22</v>
      </c>
      <c r="M193" s="277"/>
      <c r="N193" s="734">
        <v>482921.28</v>
      </c>
      <c r="O193" s="277"/>
      <c r="P193" s="734">
        <v>244641916.9600001</v>
      </c>
      <c r="Q193" s="277"/>
      <c r="R193" s="734">
        <v>244332945.70384631</v>
      </c>
      <c r="S193" s="262"/>
      <c r="U193" s="283"/>
    </row>
    <row r="194" spans="1:21" ht="14.1" customHeight="1" x14ac:dyDescent="0.2">
      <c r="A194" s="252">
        <v>15</v>
      </c>
      <c r="B194" s="312"/>
      <c r="C194" s="267">
        <v>34381</v>
      </c>
      <c r="D194" s="252" t="s">
        <v>207</v>
      </c>
      <c r="F194" s="313">
        <v>4.5</v>
      </c>
      <c r="G194" s="260"/>
      <c r="H194" s="655">
        <v>146141230.96000004</v>
      </c>
      <c r="I194" s="733"/>
      <c r="J194" s="734">
        <v>745142.72</v>
      </c>
      <c r="K194" s="277"/>
      <c r="L194" s="734">
        <v>-159235.70000000001</v>
      </c>
      <c r="M194" s="277"/>
      <c r="N194" s="734">
        <v>0</v>
      </c>
      <c r="O194" s="277"/>
      <c r="P194" s="734">
        <v>146727137.98000005</v>
      </c>
      <c r="Q194" s="277"/>
      <c r="R194" s="734">
        <v>146290277.78615385</v>
      </c>
      <c r="S194" s="262"/>
      <c r="U194" s="283"/>
    </row>
    <row r="195" spans="1:21" ht="14.1" customHeight="1" x14ac:dyDescent="0.2">
      <c r="A195" s="252">
        <v>16</v>
      </c>
      <c r="B195" s="312"/>
      <c r="C195" s="267">
        <v>34581</v>
      </c>
      <c r="D195" s="252" t="s">
        <v>1409</v>
      </c>
      <c r="F195" s="313">
        <v>3.3000000000000003</v>
      </c>
      <c r="G195" s="260"/>
      <c r="H195" s="655">
        <v>57896238.769999973</v>
      </c>
      <c r="I195" s="733"/>
      <c r="J195" s="734">
        <v>161027.1</v>
      </c>
      <c r="K195" s="277"/>
      <c r="L195" s="734">
        <v>-18579.300000000003</v>
      </c>
      <c r="M195" s="277"/>
      <c r="N195" s="734">
        <v>0</v>
      </c>
      <c r="O195" s="277"/>
      <c r="P195" s="734">
        <v>58038686.569999978</v>
      </c>
      <c r="Q195" s="277"/>
      <c r="R195" s="734">
        <v>57963068.393076882</v>
      </c>
      <c r="S195" s="262"/>
      <c r="U195" s="283"/>
    </row>
    <row r="196" spans="1:21" ht="14.1" customHeight="1" x14ac:dyDescent="0.2">
      <c r="A196" s="252">
        <v>17</v>
      </c>
      <c r="B196" s="312"/>
      <c r="C196" s="267">
        <v>34681</v>
      </c>
      <c r="D196" s="252" t="s">
        <v>165</v>
      </c>
      <c r="F196" s="313">
        <v>3.1</v>
      </c>
      <c r="G196" s="260"/>
      <c r="H196" s="655">
        <v>6060776.8499999987</v>
      </c>
      <c r="I196" s="733"/>
      <c r="J196" s="734">
        <v>0</v>
      </c>
      <c r="K196" s="277"/>
      <c r="L196" s="734">
        <v>0</v>
      </c>
      <c r="M196" s="277"/>
      <c r="N196" s="734">
        <v>0</v>
      </c>
      <c r="O196" s="277"/>
      <c r="P196" s="734">
        <v>6060776.8499999987</v>
      </c>
      <c r="Q196" s="277"/>
      <c r="R196" s="734">
        <v>6060776.8499999996</v>
      </c>
      <c r="S196" s="262"/>
      <c r="U196" s="283"/>
    </row>
    <row r="197" spans="1:21" ht="14.1" customHeight="1" x14ac:dyDescent="0.2">
      <c r="A197" s="252">
        <v>18</v>
      </c>
      <c r="B197" s="312"/>
      <c r="C197" s="267"/>
      <c r="D197" s="279" t="s">
        <v>213</v>
      </c>
      <c r="F197" s="313"/>
      <c r="H197" s="658">
        <v>503556012.29000014</v>
      </c>
      <c r="I197" s="733"/>
      <c r="J197" s="736">
        <v>2810156.89</v>
      </c>
      <c r="K197" s="733"/>
      <c r="L197" s="736">
        <v>-862092.78</v>
      </c>
      <c r="M197" s="733"/>
      <c r="N197" s="736">
        <v>482921.28</v>
      </c>
      <c r="O197" s="733"/>
      <c r="P197" s="736">
        <v>505986997.68000013</v>
      </c>
      <c r="Q197" s="733"/>
      <c r="R197" s="736">
        <v>504461161.13692325</v>
      </c>
      <c r="S197" s="262"/>
      <c r="U197" s="283"/>
    </row>
    <row r="198" spans="1:21" ht="14.1" customHeight="1" x14ac:dyDescent="0.2">
      <c r="A198" s="252">
        <v>19</v>
      </c>
      <c r="B198" s="312"/>
      <c r="H198" s="602"/>
      <c r="I198" s="277"/>
      <c r="J198" s="277"/>
      <c r="K198" s="277"/>
      <c r="L198" s="277"/>
      <c r="M198" s="277"/>
      <c r="N198" s="277"/>
      <c r="O198" s="277"/>
      <c r="P198" s="277"/>
      <c r="Q198" s="277"/>
      <c r="R198" s="277"/>
      <c r="S198" s="262"/>
      <c r="U198" s="283"/>
    </row>
    <row r="199" spans="1:21" ht="14.1" customHeight="1" x14ac:dyDescent="0.2">
      <c r="A199" s="252">
        <v>20</v>
      </c>
      <c r="B199" s="312"/>
      <c r="C199" s="269"/>
      <c r="D199" s="279" t="s">
        <v>214</v>
      </c>
      <c r="H199" s="692"/>
      <c r="I199" s="733"/>
      <c r="J199" s="277"/>
      <c r="K199" s="733"/>
      <c r="L199" s="277"/>
      <c r="M199" s="733"/>
      <c r="N199" s="277"/>
      <c r="O199" s="733"/>
      <c r="P199" s="277"/>
      <c r="Q199" s="733"/>
      <c r="R199" s="277"/>
      <c r="S199" s="262"/>
      <c r="U199" s="283"/>
    </row>
    <row r="200" spans="1:21" ht="14.1" customHeight="1" x14ac:dyDescent="0.2">
      <c r="A200" s="252">
        <v>21</v>
      </c>
      <c r="B200" s="312"/>
      <c r="C200" s="267">
        <v>34182</v>
      </c>
      <c r="D200" s="252" t="s">
        <v>1408</v>
      </c>
      <c r="F200" s="313">
        <v>2.7</v>
      </c>
      <c r="G200" s="260"/>
      <c r="H200" s="655">
        <v>2154013.1900000004</v>
      </c>
      <c r="I200" s="733"/>
      <c r="J200" s="734">
        <v>15972.28</v>
      </c>
      <c r="K200" s="277"/>
      <c r="L200" s="734">
        <v>-9647.41</v>
      </c>
      <c r="M200" s="277"/>
      <c r="N200" s="734">
        <v>0</v>
      </c>
      <c r="O200" s="277"/>
      <c r="P200" s="734">
        <v>2160338.06</v>
      </c>
      <c r="Q200" s="277"/>
      <c r="R200" s="734">
        <v>2157905.4176923074</v>
      </c>
      <c r="S200" s="262"/>
      <c r="U200" s="283"/>
    </row>
    <row r="201" spans="1:21" ht="14.1" customHeight="1" x14ac:dyDescent="0.2">
      <c r="A201" s="252">
        <v>22</v>
      </c>
      <c r="B201" s="312"/>
      <c r="C201" s="267">
        <v>34282</v>
      </c>
      <c r="D201" s="252" t="s">
        <v>1410</v>
      </c>
      <c r="F201" s="313">
        <v>3.3000000000000003</v>
      </c>
      <c r="G201" s="260"/>
      <c r="H201" s="655">
        <v>2054234.7799999998</v>
      </c>
      <c r="I201" s="733"/>
      <c r="J201" s="734">
        <v>60373.46</v>
      </c>
      <c r="K201" s="277"/>
      <c r="L201" s="734">
        <v>-4470.51</v>
      </c>
      <c r="M201" s="277"/>
      <c r="N201" s="734">
        <v>-50621.94</v>
      </c>
      <c r="O201" s="277"/>
      <c r="P201" s="734">
        <v>2059515.79</v>
      </c>
      <c r="Q201" s="277"/>
      <c r="R201" s="734">
        <v>2033607.085384615</v>
      </c>
      <c r="S201" s="262"/>
      <c r="U201" s="283"/>
    </row>
    <row r="202" spans="1:21" ht="14.1" customHeight="1" x14ac:dyDescent="0.2">
      <c r="A202" s="252">
        <v>23</v>
      </c>
      <c r="B202" s="312"/>
      <c r="C202" s="267">
        <v>34382</v>
      </c>
      <c r="D202" s="252" t="s">
        <v>207</v>
      </c>
      <c r="F202" s="313">
        <v>4.4000000000000004</v>
      </c>
      <c r="G202" s="260"/>
      <c r="H202" s="655">
        <v>24943446.119999997</v>
      </c>
      <c r="I202" s="733"/>
      <c r="J202" s="734">
        <v>5239354.6900000004</v>
      </c>
      <c r="K202" s="277"/>
      <c r="L202" s="734">
        <v>-4066504.7600000002</v>
      </c>
      <c r="M202" s="277"/>
      <c r="N202" s="734">
        <v>0</v>
      </c>
      <c r="O202" s="277"/>
      <c r="P202" s="734">
        <v>26116296.049999997</v>
      </c>
      <c r="Q202" s="277"/>
      <c r="R202" s="734">
        <v>25173713.917692304</v>
      </c>
      <c r="S202" s="262"/>
      <c r="U202" s="283"/>
    </row>
    <row r="203" spans="1:21" ht="14.1" customHeight="1" x14ac:dyDescent="0.2">
      <c r="A203" s="252">
        <v>24</v>
      </c>
      <c r="B203" s="312"/>
      <c r="C203" s="267">
        <v>34582</v>
      </c>
      <c r="D203" s="252" t="s">
        <v>1409</v>
      </c>
      <c r="F203" s="313">
        <v>2.8</v>
      </c>
      <c r="G203" s="260"/>
      <c r="H203" s="655">
        <v>17259734.52</v>
      </c>
      <c r="I203" s="733"/>
      <c r="J203" s="734">
        <v>399127.31</v>
      </c>
      <c r="K203" s="277"/>
      <c r="L203" s="734">
        <v>0</v>
      </c>
      <c r="M203" s="277"/>
      <c r="N203" s="734">
        <v>0</v>
      </c>
      <c r="O203" s="277"/>
      <c r="P203" s="734">
        <v>17658861.829999998</v>
      </c>
      <c r="Q203" s="277"/>
      <c r="R203" s="734">
        <v>17385299.299230777</v>
      </c>
      <c r="S203" s="262"/>
      <c r="U203" s="283"/>
    </row>
    <row r="204" spans="1:21" ht="14.1" customHeight="1" x14ac:dyDescent="0.2">
      <c r="A204" s="252">
        <v>25</v>
      </c>
      <c r="B204" s="312"/>
      <c r="C204" s="267">
        <v>34682</v>
      </c>
      <c r="D204" s="252" t="s">
        <v>165</v>
      </c>
      <c r="F204" s="313">
        <v>3.5000000000000004</v>
      </c>
      <c r="G204" s="260"/>
      <c r="H204" s="655">
        <v>173209.91</v>
      </c>
      <c r="I204" s="733"/>
      <c r="J204" s="734">
        <v>0</v>
      </c>
      <c r="K204" s="277"/>
      <c r="L204" s="734">
        <v>0</v>
      </c>
      <c r="M204" s="277"/>
      <c r="N204" s="734">
        <v>0</v>
      </c>
      <c r="O204" s="277"/>
      <c r="P204" s="734">
        <v>173209.91</v>
      </c>
      <c r="Q204" s="277"/>
      <c r="R204" s="734">
        <v>173209.90999999997</v>
      </c>
      <c r="S204" s="262"/>
      <c r="U204" s="283"/>
    </row>
    <row r="205" spans="1:21" ht="14.1" customHeight="1" x14ac:dyDescent="0.2">
      <c r="A205" s="252">
        <v>26</v>
      </c>
      <c r="B205" s="312"/>
      <c r="C205" s="269"/>
      <c r="D205" s="279" t="s">
        <v>215</v>
      </c>
      <c r="F205" s="313"/>
      <c r="H205" s="658">
        <v>46584638.519999996</v>
      </c>
      <c r="I205" s="733"/>
      <c r="J205" s="736">
        <v>5714827.7400000002</v>
      </c>
      <c r="K205" s="733"/>
      <c r="L205" s="736">
        <v>-4080622.68</v>
      </c>
      <c r="M205" s="733"/>
      <c r="N205" s="736">
        <v>-50621.94</v>
      </c>
      <c r="O205" s="733"/>
      <c r="P205" s="736">
        <v>48168221.639999993</v>
      </c>
      <c r="Q205" s="733"/>
      <c r="R205" s="736">
        <v>46923735.629999995</v>
      </c>
      <c r="S205" s="262"/>
      <c r="U205" s="283"/>
    </row>
    <row r="206" spans="1:21" ht="14.1" customHeight="1" x14ac:dyDescent="0.2">
      <c r="A206" s="252">
        <v>27</v>
      </c>
      <c r="B206" s="312"/>
      <c r="H206" s="602"/>
      <c r="I206" s="277"/>
      <c r="J206" s="277"/>
      <c r="K206" s="277"/>
      <c r="L206" s="277"/>
      <c r="M206" s="277"/>
      <c r="N206" s="277"/>
      <c r="O206" s="277"/>
      <c r="P206" s="277"/>
      <c r="Q206" s="277"/>
      <c r="R206" s="277"/>
      <c r="S206" s="262"/>
      <c r="U206" s="283"/>
    </row>
    <row r="207" spans="1:21" ht="14.1" customHeight="1" x14ac:dyDescent="0.2">
      <c r="A207" s="252">
        <v>28</v>
      </c>
      <c r="B207" s="312"/>
      <c r="C207" s="284"/>
      <c r="D207" s="279" t="s">
        <v>216</v>
      </c>
      <c r="F207" s="313"/>
      <c r="H207" s="659"/>
      <c r="I207" s="733"/>
      <c r="J207" s="733"/>
      <c r="K207" s="733"/>
      <c r="L207" s="733"/>
      <c r="M207" s="733"/>
      <c r="N207" s="733"/>
      <c r="O207" s="733"/>
      <c r="P207" s="733"/>
      <c r="Q207" s="733"/>
      <c r="R207" s="733"/>
      <c r="S207" s="262"/>
      <c r="U207" s="283"/>
    </row>
    <row r="208" spans="1:21" ht="14.1" customHeight="1" x14ac:dyDescent="0.2">
      <c r="A208" s="252">
        <v>29</v>
      </c>
      <c r="B208" s="312"/>
      <c r="C208" s="267">
        <v>34183</v>
      </c>
      <c r="D208" s="252" t="s">
        <v>1408</v>
      </c>
      <c r="F208" s="313">
        <v>2.6</v>
      </c>
      <c r="G208" s="260"/>
      <c r="H208" s="655">
        <v>10533315.640000001</v>
      </c>
      <c r="I208" s="733"/>
      <c r="J208" s="734">
        <v>0</v>
      </c>
      <c r="K208" s="277"/>
      <c r="L208" s="734">
        <v>0</v>
      </c>
      <c r="M208" s="277"/>
      <c r="N208" s="734">
        <v>0</v>
      </c>
      <c r="O208" s="277"/>
      <c r="P208" s="734">
        <v>10533315.640000001</v>
      </c>
      <c r="Q208" s="277"/>
      <c r="R208" s="734">
        <v>10533315.639999999</v>
      </c>
      <c r="S208" s="262"/>
      <c r="U208" s="283"/>
    </row>
    <row r="209" spans="1:21" ht="14.1" customHeight="1" x14ac:dyDescent="0.2">
      <c r="A209" s="252">
        <v>30</v>
      </c>
      <c r="B209" s="312"/>
      <c r="C209" s="267">
        <v>34283</v>
      </c>
      <c r="D209" s="252" t="s">
        <v>1410</v>
      </c>
      <c r="F209" s="313">
        <v>2.9</v>
      </c>
      <c r="G209" s="260"/>
      <c r="H209" s="655">
        <v>1354215.19</v>
      </c>
      <c r="I209" s="733"/>
      <c r="J209" s="734">
        <v>0</v>
      </c>
      <c r="K209" s="277"/>
      <c r="L209" s="734">
        <v>-49639.590000000004</v>
      </c>
      <c r="M209" s="277"/>
      <c r="N209" s="734">
        <v>0</v>
      </c>
      <c r="O209" s="277"/>
      <c r="P209" s="734">
        <v>1304575.5999999999</v>
      </c>
      <c r="Q209" s="277"/>
      <c r="R209" s="734">
        <v>1327486.1799999997</v>
      </c>
      <c r="S209" s="262"/>
      <c r="U209" s="283"/>
    </row>
    <row r="210" spans="1:21" ht="14.1" customHeight="1" x14ac:dyDescent="0.2">
      <c r="A210" s="252">
        <v>31</v>
      </c>
      <c r="C210" s="267">
        <v>34383</v>
      </c>
      <c r="D210" s="252" t="s">
        <v>207</v>
      </c>
      <c r="F210" s="313">
        <v>4.5999999999999996</v>
      </c>
      <c r="G210" s="260"/>
      <c r="H210" s="655">
        <v>32584058.720000003</v>
      </c>
      <c r="I210" s="733"/>
      <c r="J210" s="734">
        <v>49882.559999999998</v>
      </c>
      <c r="K210" s="277"/>
      <c r="L210" s="734">
        <v>0</v>
      </c>
      <c r="M210" s="277"/>
      <c r="N210" s="734">
        <v>0</v>
      </c>
      <c r="O210" s="277"/>
      <c r="P210" s="734">
        <v>32633941.280000001</v>
      </c>
      <c r="Q210" s="277"/>
      <c r="R210" s="734">
        <v>32610918.559999999</v>
      </c>
      <c r="S210" s="262"/>
      <c r="U210" s="283"/>
    </row>
    <row r="211" spans="1:21" ht="14.1" customHeight="1" x14ac:dyDescent="0.2">
      <c r="A211" s="252">
        <v>32</v>
      </c>
      <c r="C211" s="267">
        <v>34583</v>
      </c>
      <c r="D211" s="252" t="s">
        <v>1409</v>
      </c>
      <c r="F211" s="313">
        <v>3</v>
      </c>
      <c r="G211" s="260"/>
      <c r="H211" s="655">
        <v>9056070.0200000033</v>
      </c>
      <c r="I211" s="733"/>
      <c r="J211" s="734">
        <v>42237.01</v>
      </c>
      <c r="K211" s="277"/>
      <c r="L211" s="734">
        <v>0</v>
      </c>
      <c r="M211" s="277"/>
      <c r="N211" s="734">
        <v>0</v>
      </c>
      <c r="O211" s="277"/>
      <c r="P211" s="734">
        <v>9098307.0300000031</v>
      </c>
      <c r="Q211" s="277"/>
      <c r="R211" s="734">
        <v>9095058.0276923105</v>
      </c>
      <c r="S211" s="262"/>
      <c r="U211" s="283"/>
    </row>
    <row r="212" spans="1:21" ht="14.1" customHeight="1" x14ac:dyDescent="0.2">
      <c r="A212" s="252">
        <v>33</v>
      </c>
      <c r="C212" s="267">
        <v>34683</v>
      </c>
      <c r="D212" s="252" t="s">
        <v>165</v>
      </c>
      <c r="F212" s="313">
        <v>3.1</v>
      </c>
      <c r="G212" s="260"/>
      <c r="H212" s="655">
        <v>432910.42</v>
      </c>
      <c r="I212" s="733"/>
      <c r="J212" s="734">
        <v>0</v>
      </c>
      <c r="K212" s="277"/>
      <c r="L212" s="734">
        <v>0</v>
      </c>
      <c r="M212" s="277"/>
      <c r="N212" s="734">
        <v>0</v>
      </c>
      <c r="O212" s="277"/>
      <c r="P212" s="734">
        <v>432910.42</v>
      </c>
      <c r="Q212" s="277"/>
      <c r="R212" s="734">
        <v>432910.42</v>
      </c>
      <c r="S212" s="262"/>
      <c r="U212" s="283"/>
    </row>
    <row r="213" spans="1:21" ht="14.1" customHeight="1" x14ac:dyDescent="0.2">
      <c r="A213" s="252">
        <v>34</v>
      </c>
      <c r="D213" s="279" t="s">
        <v>217</v>
      </c>
      <c r="F213" s="313"/>
      <c r="H213" s="658">
        <v>53960569.99000001</v>
      </c>
      <c r="I213" s="733"/>
      <c r="J213" s="736">
        <v>92119.57</v>
      </c>
      <c r="K213" s="733"/>
      <c r="L213" s="736">
        <v>-49639.590000000004</v>
      </c>
      <c r="M213" s="733"/>
      <c r="N213" s="736">
        <v>0</v>
      </c>
      <c r="O213" s="733"/>
      <c r="P213" s="736">
        <v>54003049.970000006</v>
      </c>
      <c r="Q213" s="733"/>
      <c r="R213" s="736">
        <v>53999688.827692308</v>
      </c>
      <c r="S213" s="262"/>
      <c r="U213" s="283"/>
    </row>
    <row r="214" spans="1:21" ht="14.1" customHeight="1" x14ac:dyDescent="0.2">
      <c r="A214" s="252">
        <v>35</v>
      </c>
      <c r="H214" s="602"/>
      <c r="I214" s="733"/>
      <c r="J214" s="277"/>
      <c r="K214" s="733"/>
      <c r="L214" s="277"/>
      <c r="M214" s="733"/>
      <c r="N214" s="277"/>
      <c r="O214" s="733"/>
      <c r="P214" s="277"/>
      <c r="Q214" s="733"/>
      <c r="R214" s="277"/>
      <c r="S214" s="262"/>
      <c r="U214" s="283"/>
    </row>
    <row r="215" spans="1:21" ht="14.1" customHeight="1" x14ac:dyDescent="0.2">
      <c r="A215" s="252">
        <v>36</v>
      </c>
      <c r="C215" s="269"/>
      <c r="D215" s="279" t="s">
        <v>218</v>
      </c>
      <c r="F215" s="313"/>
      <c r="H215" s="659"/>
      <c r="I215" s="733"/>
      <c r="J215" s="733"/>
      <c r="K215" s="733"/>
      <c r="L215" s="733"/>
      <c r="M215" s="733"/>
      <c r="N215" s="733"/>
      <c r="O215" s="733"/>
      <c r="P215" s="733"/>
      <c r="Q215" s="733"/>
      <c r="R215" s="733"/>
      <c r="S215" s="262"/>
      <c r="U215" s="283"/>
    </row>
    <row r="216" spans="1:21" ht="14.1" customHeight="1" x14ac:dyDescent="0.2">
      <c r="A216" s="252">
        <v>37</v>
      </c>
      <c r="C216" s="267">
        <v>34184</v>
      </c>
      <c r="D216" s="252" t="s">
        <v>1408</v>
      </c>
      <c r="F216" s="313">
        <v>2.4</v>
      </c>
      <c r="G216" s="260"/>
      <c r="H216" s="655">
        <v>5811519.6599999992</v>
      </c>
      <c r="I216" s="733"/>
      <c r="J216" s="734">
        <v>0</v>
      </c>
      <c r="K216" s="277"/>
      <c r="L216" s="734">
        <v>0</v>
      </c>
      <c r="M216" s="277"/>
      <c r="N216" s="734">
        <v>0</v>
      </c>
      <c r="O216" s="277"/>
      <c r="P216" s="734">
        <v>5811519.6599999992</v>
      </c>
      <c r="Q216" s="277"/>
      <c r="R216" s="734">
        <v>5811519.6599999974</v>
      </c>
      <c r="S216" s="262"/>
      <c r="U216" s="283"/>
    </row>
    <row r="217" spans="1:21" ht="14.1" customHeight="1" x14ac:dyDescent="0.2">
      <c r="A217" s="252">
        <v>38</v>
      </c>
      <c r="C217" s="267">
        <v>34284</v>
      </c>
      <c r="D217" s="252" t="s">
        <v>1410</v>
      </c>
      <c r="F217" s="313">
        <v>3.2</v>
      </c>
      <c r="G217" s="260"/>
      <c r="H217" s="655">
        <v>2167427.8200000003</v>
      </c>
      <c r="I217" s="733"/>
      <c r="J217" s="734">
        <v>0</v>
      </c>
      <c r="K217" s="277"/>
      <c r="L217" s="734">
        <v>0</v>
      </c>
      <c r="M217" s="277"/>
      <c r="N217" s="734">
        <v>0</v>
      </c>
      <c r="O217" s="277"/>
      <c r="P217" s="734">
        <v>2167427.8200000003</v>
      </c>
      <c r="Q217" s="277"/>
      <c r="R217" s="734">
        <v>2167427.8200000003</v>
      </c>
      <c r="S217" s="262"/>
      <c r="U217" s="283"/>
    </row>
    <row r="218" spans="1:21" ht="14.1" customHeight="1" x14ac:dyDescent="0.2">
      <c r="A218" s="252">
        <v>39</v>
      </c>
      <c r="C218" s="267">
        <v>34384</v>
      </c>
      <c r="D218" s="252" t="s">
        <v>207</v>
      </c>
      <c r="F218" s="313">
        <v>4.0999999999999996</v>
      </c>
      <c r="G218" s="260"/>
      <c r="H218" s="655">
        <v>22033275.419999998</v>
      </c>
      <c r="I218" s="733"/>
      <c r="J218" s="734">
        <v>174135.79</v>
      </c>
      <c r="K218" s="277"/>
      <c r="L218" s="734">
        <v>0</v>
      </c>
      <c r="M218" s="277"/>
      <c r="N218" s="734">
        <v>0</v>
      </c>
      <c r="O218" s="277"/>
      <c r="P218" s="734">
        <v>22207411.209999997</v>
      </c>
      <c r="Q218" s="277"/>
      <c r="R218" s="734">
        <v>22086020.176923078</v>
      </c>
      <c r="S218" s="262"/>
      <c r="U218" s="283"/>
    </row>
    <row r="219" spans="1:21" ht="14.1" customHeight="1" x14ac:dyDescent="0.2">
      <c r="A219" s="252">
        <v>40</v>
      </c>
      <c r="C219" s="267">
        <v>34584</v>
      </c>
      <c r="D219" s="252" t="s">
        <v>1409</v>
      </c>
      <c r="F219" s="313">
        <v>3.9</v>
      </c>
      <c r="G219" s="260"/>
      <c r="H219" s="655">
        <v>5563010.3499999987</v>
      </c>
      <c r="I219" s="733"/>
      <c r="J219" s="734">
        <v>10642.78</v>
      </c>
      <c r="K219" s="277"/>
      <c r="L219" s="734">
        <v>0</v>
      </c>
      <c r="M219" s="277"/>
      <c r="N219" s="734">
        <v>0</v>
      </c>
      <c r="O219" s="277"/>
      <c r="P219" s="734">
        <v>5573653.129999999</v>
      </c>
      <c r="Q219" s="277"/>
      <c r="R219" s="734">
        <v>5563829.0253846152</v>
      </c>
      <c r="S219" s="262"/>
      <c r="U219" s="283"/>
    </row>
    <row r="220" spans="1:21" ht="14.1" customHeight="1" x14ac:dyDescent="0.2">
      <c r="A220" s="252">
        <v>41</v>
      </c>
      <c r="C220" s="267">
        <v>34684</v>
      </c>
      <c r="D220" s="252" t="s">
        <v>165</v>
      </c>
      <c r="F220" s="313">
        <v>3.9</v>
      </c>
      <c r="G220" s="260"/>
      <c r="H220" s="655">
        <v>0</v>
      </c>
      <c r="I220" s="733"/>
      <c r="J220" s="734">
        <v>0</v>
      </c>
      <c r="K220" s="277"/>
      <c r="L220" s="734">
        <v>0</v>
      </c>
      <c r="M220" s="277"/>
      <c r="N220" s="734">
        <v>0</v>
      </c>
      <c r="O220" s="277"/>
      <c r="P220" s="734">
        <v>0</v>
      </c>
      <c r="Q220" s="277"/>
      <c r="R220" s="734">
        <v>0</v>
      </c>
      <c r="S220" s="262"/>
      <c r="U220" s="283"/>
    </row>
    <row r="221" spans="1:21" ht="14.45" customHeight="1" x14ac:dyDescent="0.2">
      <c r="A221" s="252">
        <v>42</v>
      </c>
      <c r="C221" s="269"/>
      <c r="D221" s="279" t="s">
        <v>219</v>
      </c>
      <c r="F221" s="313"/>
      <c r="H221" s="658">
        <v>35575233.25</v>
      </c>
      <c r="I221" s="733"/>
      <c r="J221" s="736">
        <v>184778.57</v>
      </c>
      <c r="K221" s="733"/>
      <c r="L221" s="736">
        <v>0</v>
      </c>
      <c r="M221" s="733"/>
      <c r="N221" s="736">
        <v>0</v>
      </c>
      <c r="O221" s="733"/>
      <c r="P221" s="736">
        <v>35760011.819999993</v>
      </c>
      <c r="Q221" s="733"/>
      <c r="R221" s="736">
        <v>35628796.68230769</v>
      </c>
      <c r="S221" s="262"/>
      <c r="U221" s="283"/>
    </row>
    <row r="222" spans="1:21" ht="14.45" customHeight="1" x14ac:dyDescent="0.2">
      <c r="A222" s="252">
        <v>43</v>
      </c>
      <c r="S222" s="262"/>
      <c r="U222" s="283"/>
    </row>
    <row r="223" spans="1:21" ht="14.1" customHeight="1" thickBot="1" x14ac:dyDescent="0.25">
      <c r="A223" s="252">
        <v>44</v>
      </c>
      <c r="B223" s="742" t="s">
        <v>186</v>
      </c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2"/>
      <c r="U223" s="283"/>
    </row>
    <row r="224" spans="1:21" ht="14.1" customHeight="1" x14ac:dyDescent="0.2">
      <c r="A224" s="252" t="s">
        <v>60</v>
      </c>
      <c r="P224" s="252" t="s">
        <v>60</v>
      </c>
      <c r="S224" s="262"/>
      <c r="U224" s="283"/>
    </row>
    <row r="225" spans="1:21" ht="14.1" customHeight="1" thickBot="1" x14ac:dyDescent="0.25">
      <c r="A225" s="264" t="s">
        <v>127</v>
      </c>
      <c r="B225" s="264"/>
      <c r="C225" s="264"/>
      <c r="D225" s="264"/>
      <c r="E225" s="264"/>
      <c r="F225" s="264"/>
      <c r="G225" s="264" t="s">
        <v>128</v>
      </c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 t="s">
        <v>327</v>
      </c>
      <c r="S225" s="262"/>
      <c r="U225" s="283"/>
    </row>
    <row r="226" spans="1:21" ht="14.1" customHeight="1" x14ac:dyDescent="0.2">
      <c r="A226" s="252" t="s">
        <v>129</v>
      </c>
      <c r="B226" s="285"/>
      <c r="E226" s="260" t="s">
        <v>130</v>
      </c>
      <c r="F226" s="252" t="s">
        <v>1405</v>
      </c>
      <c r="J226" s="286"/>
      <c r="K226" s="286"/>
      <c r="M226" s="286"/>
      <c r="N226" s="286"/>
      <c r="O226" s="286" t="s">
        <v>187</v>
      </c>
      <c r="R226" s="261"/>
      <c r="S226" s="262"/>
      <c r="U226" s="283"/>
    </row>
    <row r="227" spans="1:21" ht="14.1" customHeight="1" x14ac:dyDescent="0.2">
      <c r="B227" s="285"/>
      <c r="F227" s="252" t="s">
        <v>1406</v>
      </c>
      <c r="J227" s="260"/>
      <c r="K227" s="261"/>
      <c r="N227" s="260"/>
      <c r="O227" s="260" t="s">
        <v>123</v>
      </c>
      <c r="P227" s="261" t="s">
        <v>1407</v>
      </c>
      <c r="R227" s="260"/>
      <c r="S227" s="262"/>
      <c r="U227" s="283"/>
    </row>
    <row r="228" spans="1:21" ht="14.1" customHeight="1" x14ac:dyDescent="0.2">
      <c r="A228" s="252" t="s">
        <v>134</v>
      </c>
      <c r="B228" s="285"/>
      <c r="F228" s="252" t="s">
        <v>123</v>
      </c>
      <c r="J228" s="260"/>
      <c r="K228" s="261"/>
      <c r="L228" s="260"/>
      <c r="O228" s="260" t="s">
        <v>123</v>
      </c>
      <c r="P228" s="261">
        <v>0</v>
      </c>
      <c r="R228" s="260"/>
      <c r="S228" s="262"/>
      <c r="U228" s="283"/>
    </row>
    <row r="229" spans="1:21" ht="14.1" customHeight="1" x14ac:dyDescent="0.2">
      <c r="B229" s="285"/>
      <c r="F229" s="252" t="s">
        <v>123</v>
      </c>
      <c r="J229" s="260"/>
      <c r="K229" s="261"/>
      <c r="L229" s="260"/>
      <c r="O229" s="260" t="s">
        <v>123</v>
      </c>
      <c r="P229" s="261"/>
      <c r="R229" s="260"/>
      <c r="S229" s="262"/>
      <c r="U229" s="283"/>
    </row>
    <row r="230" spans="1:21" ht="14.1" customHeight="1" thickBot="1" x14ac:dyDescent="0.25">
      <c r="A230" s="264" t="s">
        <v>135</v>
      </c>
      <c r="B230" s="287"/>
      <c r="C230" s="264"/>
      <c r="D230" s="264"/>
      <c r="E230" s="264"/>
      <c r="F230" s="264" t="s">
        <v>123</v>
      </c>
      <c r="G230" s="264"/>
      <c r="H230" s="266"/>
      <c r="I230" s="264"/>
      <c r="J230" s="264"/>
      <c r="K230" s="264"/>
      <c r="L230" s="264"/>
      <c r="M230" s="264"/>
      <c r="N230" s="264"/>
      <c r="O230" s="264"/>
      <c r="P230" s="288"/>
      <c r="Q230" s="264"/>
      <c r="R230" s="264"/>
      <c r="S230" s="262"/>
      <c r="U230" s="283"/>
    </row>
    <row r="231" spans="1:21" ht="14.1" customHeight="1" x14ac:dyDescent="0.2"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2"/>
      <c r="U231" s="283"/>
    </row>
    <row r="232" spans="1:21" ht="14.1" customHeight="1" x14ac:dyDescent="0.2">
      <c r="C232" s="267" t="s">
        <v>136</v>
      </c>
      <c r="D232" s="267" t="s">
        <v>137</v>
      </c>
      <c r="E232" s="267"/>
      <c r="F232" s="267" t="s">
        <v>138</v>
      </c>
      <c r="G232" s="267"/>
      <c r="H232" s="267" t="s">
        <v>139</v>
      </c>
      <c r="I232" s="267"/>
      <c r="J232" s="269" t="s">
        <v>140</v>
      </c>
      <c r="K232" s="269"/>
      <c r="L232" s="267" t="s">
        <v>141</v>
      </c>
      <c r="M232" s="267"/>
      <c r="N232" s="267" t="s">
        <v>142</v>
      </c>
      <c r="O232" s="267"/>
      <c r="P232" s="267" t="s">
        <v>143</v>
      </c>
      <c r="Q232" s="267"/>
      <c r="R232" s="267" t="s">
        <v>144</v>
      </c>
      <c r="S232" s="262"/>
      <c r="U232" s="283"/>
    </row>
    <row r="233" spans="1:21" ht="14.1" customHeight="1" x14ac:dyDescent="0.2">
      <c r="C233" s="269" t="s">
        <v>145</v>
      </c>
      <c r="D233" s="269" t="s">
        <v>145</v>
      </c>
      <c r="F233" s="269" t="s">
        <v>6</v>
      </c>
      <c r="G233" s="269"/>
      <c r="H233" s="267" t="s">
        <v>48</v>
      </c>
      <c r="I233" s="269"/>
      <c r="J233" s="267" t="s">
        <v>40</v>
      </c>
      <c r="K233" s="269"/>
      <c r="L233" s="269" t="s">
        <v>40</v>
      </c>
      <c r="M233" s="269"/>
      <c r="P233" s="269" t="s">
        <v>48</v>
      </c>
      <c r="R233" s="269"/>
      <c r="S233" s="262"/>
      <c r="U233" s="283"/>
    </row>
    <row r="234" spans="1:21" ht="14.1" customHeight="1" x14ac:dyDescent="0.2">
      <c r="A234" s="252" t="s">
        <v>146</v>
      </c>
      <c r="B234" s="269"/>
      <c r="C234" s="269" t="s">
        <v>147</v>
      </c>
      <c r="D234" s="269" t="s">
        <v>147</v>
      </c>
      <c r="E234" s="267"/>
      <c r="F234" s="269" t="s">
        <v>148</v>
      </c>
      <c r="G234" s="269"/>
      <c r="H234" s="269" t="s">
        <v>149</v>
      </c>
      <c r="I234" s="269"/>
      <c r="J234" s="269" t="s">
        <v>48</v>
      </c>
      <c r="K234" s="267"/>
      <c r="L234" s="269" t="s">
        <v>48</v>
      </c>
      <c r="M234" s="261"/>
      <c r="N234" s="269" t="s">
        <v>150</v>
      </c>
      <c r="O234" s="267"/>
      <c r="P234" s="267" t="s">
        <v>149</v>
      </c>
      <c r="Q234" s="267"/>
      <c r="R234" s="269" t="s">
        <v>151</v>
      </c>
      <c r="S234" s="262"/>
      <c r="U234" s="283"/>
    </row>
    <row r="235" spans="1:21" ht="14.1" customHeight="1" thickBot="1" x14ac:dyDescent="0.25">
      <c r="A235" s="264" t="s">
        <v>152</v>
      </c>
      <c r="B235" s="266"/>
      <c r="C235" s="266" t="s">
        <v>52</v>
      </c>
      <c r="D235" s="266" t="s">
        <v>153</v>
      </c>
      <c r="E235" s="266"/>
      <c r="F235" s="270" t="s">
        <v>57</v>
      </c>
      <c r="G235" s="270"/>
      <c r="H235" s="270" t="s">
        <v>154</v>
      </c>
      <c r="I235" s="271"/>
      <c r="J235" s="270" t="s">
        <v>155</v>
      </c>
      <c r="K235" s="271"/>
      <c r="L235" s="271" t="s">
        <v>156</v>
      </c>
      <c r="M235" s="272"/>
      <c r="N235" s="272" t="s">
        <v>157</v>
      </c>
      <c r="O235" s="272"/>
      <c r="P235" s="272" t="s">
        <v>158</v>
      </c>
      <c r="Q235" s="272"/>
      <c r="R235" s="272" t="s">
        <v>3</v>
      </c>
      <c r="S235" s="262"/>
      <c r="U235" s="283"/>
    </row>
    <row r="236" spans="1:21" ht="14.1" customHeight="1" x14ac:dyDescent="0.2">
      <c r="A236" s="252">
        <v>1</v>
      </c>
      <c r="B236" s="269"/>
      <c r="S236" s="262"/>
      <c r="U236" s="283"/>
    </row>
    <row r="237" spans="1:21" ht="14.1" customHeight="1" x14ac:dyDescent="0.2">
      <c r="A237" s="252">
        <v>2</v>
      </c>
      <c r="B237" s="312"/>
      <c r="C237" s="269"/>
      <c r="D237" s="279" t="s">
        <v>220</v>
      </c>
      <c r="F237" s="313"/>
      <c r="H237" s="661"/>
      <c r="I237" s="752"/>
      <c r="J237" s="752"/>
      <c r="K237" s="752"/>
      <c r="L237" s="752"/>
      <c r="M237" s="752"/>
      <c r="N237" s="752"/>
      <c r="O237" s="752"/>
      <c r="P237" s="752"/>
      <c r="Q237" s="752"/>
      <c r="R237" s="752"/>
      <c r="S237" s="262"/>
      <c r="U237" s="283"/>
    </row>
    <row r="238" spans="1:21" ht="14.1" customHeight="1" x14ac:dyDescent="0.2">
      <c r="A238" s="252">
        <v>3</v>
      </c>
      <c r="B238" s="312"/>
      <c r="C238" s="267">
        <v>34185</v>
      </c>
      <c r="D238" s="252" t="s">
        <v>1408</v>
      </c>
      <c r="F238" s="313">
        <v>2.4</v>
      </c>
      <c r="G238" s="260"/>
      <c r="H238" s="655">
        <v>5746580.1099999994</v>
      </c>
      <c r="I238" s="733"/>
      <c r="J238" s="734">
        <v>0</v>
      </c>
      <c r="K238" s="277"/>
      <c r="L238" s="734">
        <v>0</v>
      </c>
      <c r="M238" s="277"/>
      <c r="N238" s="734">
        <v>0</v>
      </c>
      <c r="O238" s="277"/>
      <c r="P238" s="734">
        <v>5746580.1099999994</v>
      </c>
      <c r="Q238" s="277"/>
      <c r="R238" s="734">
        <v>5746580.1099999994</v>
      </c>
      <c r="S238" s="262"/>
      <c r="U238" s="283"/>
    </row>
    <row r="239" spans="1:21" ht="14.1" customHeight="1" x14ac:dyDescent="0.2">
      <c r="A239" s="252">
        <v>4</v>
      </c>
      <c r="B239" s="312"/>
      <c r="C239" s="267">
        <v>34285</v>
      </c>
      <c r="D239" s="252" t="s">
        <v>1410</v>
      </c>
      <c r="F239" s="313">
        <v>3.4000000000000004</v>
      </c>
      <c r="G239" s="260"/>
      <c r="H239" s="655">
        <v>2200049.62</v>
      </c>
      <c r="I239" s="733"/>
      <c r="J239" s="734">
        <v>0</v>
      </c>
      <c r="K239" s="277"/>
      <c r="L239" s="734">
        <v>0</v>
      </c>
      <c r="M239" s="277"/>
      <c r="N239" s="734">
        <v>0</v>
      </c>
      <c r="O239" s="277"/>
      <c r="P239" s="734">
        <v>2200049.62</v>
      </c>
      <c r="Q239" s="277"/>
      <c r="R239" s="734">
        <v>2200049.6200000006</v>
      </c>
      <c r="S239" s="262"/>
      <c r="U239" s="283"/>
    </row>
    <row r="240" spans="1:21" ht="14.1" customHeight="1" x14ac:dyDescent="0.2">
      <c r="A240" s="252">
        <v>5</v>
      </c>
      <c r="B240" s="312"/>
      <c r="C240" s="267">
        <v>34385</v>
      </c>
      <c r="D240" s="252" t="s">
        <v>207</v>
      </c>
      <c r="F240" s="313">
        <v>3.9</v>
      </c>
      <c r="G240" s="260"/>
      <c r="H240" s="655">
        <v>20099641.689999998</v>
      </c>
      <c r="I240" s="733"/>
      <c r="J240" s="734">
        <v>5391970.3399999999</v>
      </c>
      <c r="K240" s="277"/>
      <c r="L240" s="734">
        <v>-424861.60000000003</v>
      </c>
      <c r="M240" s="277"/>
      <c r="N240" s="734">
        <v>0</v>
      </c>
      <c r="O240" s="277"/>
      <c r="P240" s="734">
        <v>25066750.429999996</v>
      </c>
      <c r="Q240" s="277"/>
      <c r="R240" s="734">
        <v>20481726.977692306</v>
      </c>
      <c r="S240" s="262"/>
      <c r="U240" s="283"/>
    </row>
    <row r="241" spans="1:21" ht="14.1" customHeight="1" x14ac:dyDescent="0.2">
      <c r="A241" s="252">
        <v>6</v>
      </c>
      <c r="B241" s="312"/>
      <c r="C241" s="267">
        <v>34585</v>
      </c>
      <c r="D241" s="252" t="s">
        <v>1409</v>
      </c>
      <c r="F241" s="313">
        <v>3.9</v>
      </c>
      <c r="G241" s="260"/>
      <c r="H241" s="655">
        <v>5465054.8999999994</v>
      </c>
      <c r="I241" s="733"/>
      <c r="J241" s="734">
        <v>0</v>
      </c>
      <c r="K241" s="277"/>
      <c r="L241" s="734">
        <v>0</v>
      </c>
      <c r="M241" s="277"/>
      <c r="N241" s="734">
        <v>0</v>
      </c>
      <c r="O241" s="277"/>
      <c r="P241" s="734">
        <v>5465054.8999999994</v>
      </c>
      <c r="Q241" s="277"/>
      <c r="R241" s="734">
        <v>5465054.8999999994</v>
      </c>
      <c r="S241" s="262"/>
      <c r="U241" s="283"/>
    </row>
    <row r="242" spans="1:21" ht="14.1" customHeight="1" x14ac:dyDescent="0.2">
      <c r="A242" s="252">
        <v>7</v>
      </c>
      <c r="B242" s="269"/>
      <c r="C242" s="267">
        <v>34685</v>
      </c>
      <c r="D242" s="252" t="s">
        <v>165</v>
      </c>
      <c r="F242" s="313">
        <v>3.9</v>
      </c>
      <c r="G242" s="260"/>
      <c r="H242" s="655">
        <v>0</v>
      </c>
      <c r="I242" s="733"/>
      <c r="J242" s="734">
        <v>0</v>
      </c>
      <c r="K242" s="277"/>
      <c r="L242" s="734">
        <v>0</v>
      </c>
      <c r="M242" s="277"/>
      <c r="N242" s="734">
        <v>0</v>
      </c>
      <c r="O242" s="277"/>
      <c r="P242" s="734">
        <v>0</v>
      </c>
      <c r="Q242" s="277"/>
      <c r="R242" s="734">
        <v>0</v>
      </c>
      <c r="S242" s="262"/>
      <c r="U242" s="283"/>
    </row>
    <row r="243" spans="1:21" ht="14.1" customHeight="1" x14ac:dyDescent="0.2">
      <c r="A243" s="252">
        <v>8</v>
      </c>
      <c r="B243" s="269"/>
      <c r="C243" s="269"/>
      <c r="D243" s="279" t="s">
        <v>221</v>
      </c>
      <c r="F243" s="313"/>
      <c r="H243" s="658">
        <v>33511326.319999997</v>
      </c>
      <c r="I243" s="733"/>
      <c r="J243" s="736">
        <v>5391970.3399999999</v>
      </c>
      <c r="K243" s="733"/>
      <c r="L243" s="736">
        <v>-424861.60000000003</v>
      </c>
      <c r="M243" s="733"/>
      <c r="N243" s="736">
        <v>0</v>
      </c>
      <c r="O243" s="733"/>
      <c r="P243" s="736">
        <v>38478435.059999995</v>
      </c>
      <c r="Q243" s="733"/>
      <c r="R243" s="736">
        <v>33893411.607692309</v>
      </c>
      <c r="S243" s="262"/>
      <c r="U243" s="283"/>
    </row>
    <row r="244" spans="1:21" s="83" customFormat="1" ht="14.1" customHeight="1" x14ac:dyDescent="0.2">
      <c r="A244" s="83">
        <v>9</v>
      </c>
      <c r="B244" s="299"/>
      <c r="H244" s="393"/>
      <c r="I244" s="393"/>
      <c r="J244" s="393"/>
      <c r="K244" s="393"/>
      <c r="L244" s="393"/>
      <c r="M244" s="393"/>
      <c r="N244" s="393"/>
      <c r="O244" s="393"/>
      <c r="P244" s="393"/>
      <c r="Q244" s="393"/>
      <c r="R244" s="393"/>
      <c r="S244" s="109"/>
      <c r="U244" s="297"/>
    </row>
    <row r="245" spans="1:21" ht="14.1" customHeight="1" x14ac:dyDescent="0.2">
      <c r="A245" s="252">
        <v>10</v>
      </c>
      <c r="B245" s="269"/>
      <c r="C245" s="269"/>
      <c r="D245" s="279" t="s">
        <v>1374</v>
      </c>
      <c r="F245" s="313"/>
      <c r="H245" s="659"/>
      <c r="I245" s="733"/>
      <c r="J245" s="733"/>
      <c r="K245" s="733"/>
      <c r="L245" s="733"/>
      <c r="M245" s="733"/>
      <c r="N245" s="733"/>
      <c r="O245" s="733"/>
      <c r="P245" s="733"/>
      <c r="Q245" s="733"/>
      <c r="R245" s="733"/>
      <c r="S245" s="262"/>
      <c r="U245" s="283"/>
    </row>
    <row r="246" spans="1:21" ht="14.1" customHeight="1" x14ac:dyDescent="0.2">
      <c r="A246" s="252">
        <v>11</v>
      </c>
      <c r="B246" s="269"/>
      <c r="C246" s="267">
        <v>34186</v>
      </c>
      <c r="D246" s="252" t="s">
        <v>1408</v>
      </c>
      <c r="F246" s="313">
        <v>2.9000000000000004</v>
      </c>
      <c r="G246" s="260"/>
      <c r="H246" s="655">
        <v>13374554.049999999</v>
      </c>
      <c r="I246" s="733"/>
      <c r="J246" s="734">
        <v>0</v>
      </c>
      <c r="K246" s="277"/>
      <c r="L246" s="734">
        <v>0</v>
      </c>
      <c r="M246" s="277"/>
      <c r="N246" s="734">
        <v>0</v>
      </c>
      <c r="O246" s="277"/>
      <c r="P246" s="734">
        <v>13374554.049999999</v>
      </c>
      <c r="Q246" s="277"/>
      <c r="R246" s="734">
        <v>13374554.050000001</v>
      </c>
      <c r="S246" s="262"/>
      <c r="U246" s="283"/>
    </row>
    <row r="247" spans="1:21" ht="14.1" customHeight="1" x14ac:dyDescent="0.2">
      <c r="A247" s="252">
        <v>12</v>
      </c>
      <c r="B247" s="312"/>
      <c r="C247" s="267">
        <v>34286</v>
      </c>
      <c r="D247" s="252" t="s">
        <v>1410</v>
      </c>
      <c r="F247" s="313">
        <v>2.9000000000000004</v>
      </c>
      <c r="G247" s="260"/>
      <c r="H247" s="655">
        <v>213579047.27999991</v>
      </c>
      <c r="I247" s="733"/>
      <c r="J247" s="734">
        <v>72902.709999999992</v>
      </c>
      <c r="K247" s="277"/>
      <c r="L247" s="734">
        <v>-45961.83</v>
      </c>
      <c r="M247" s="277"/>
      <c r="N247" s="734">
        <v>0</v>
      </c>
      <c r="O247" s="277"/>
      <c r="P247" s="734">
        <v>213605988.15999991</v>
      </c>
      <c r="Q247" s="277"/>
      <c r="R247" s="734">
        <v>213582239.94307688</v>
      </c>
      <c r="S247" s="262"/>
      <c r="U247" s="283"/>
    </row>
    <row r="248" spans="1:21" ht="14.1" customHeight="1" x14ac:dyDescent="0.2">
      <c r="A248" s="252">
        <v>13</v>
      </c>
      <c r="B248" s="312"/>
      <c r="C248" s="267">
        <v>34386</v>
      </c>
      <c r="D248" s="252" t="s">
        <v>207</v>
      </c>
      <c r="F248" s="313">
        <v>2.9000000000000004</v>
      </c>
      <c r="G248" s="260"/>
      <c r="H248" s="655">
        <v>223541175.92999992</v>
      </c>
      <c r="I248" s="733"/>
      <c r="J248" s="734">
        <v>289506.56</v>
      </c>
      <c r="K248" s="277"/>
      <c r="L248" s="734">
        <v>-221909.81</v>
      </c>
      <c r="M248" s="277"/>
      <c r="N248" s="734">
        <v>0</v>
      </c>
      <c r="O248" s="277"/>
      <c r="P248" s="734">
        <v>223608772.67999992</v>
      </c>
      <c r="Q248" s="277"/>
      <c r="R248" s="734">
        <v>223589120.0876922</v>
      </c>
      <c r="S248" s="262"/>
      <c r="U248" s="283"/>
    </row>
    <row r="249" spans="1:21" ht="14.1" customHeight="1" x14ac:dyDescent="0.2">
      <c r="A249" s="252">
        <v>14</v>
      </c>
      <c r="B249" s="312"/>
      <c r="C249" s="267">
        <v>34586</v>
      </c>
      <c r="D249" s="252" t="s">
        <v>1409</v>
      </c>
      <c r="F249" s="313">
        <v>2.9000000000000004</v>
      </c>
      <c r="G249" s="260"/>
      <c r="H249" s="655">
        <v>18335993.590000004</v>
      </c>
      <c r="I249" s="733"/>
      <c r="J249" s="734">
        <v>0</v>
      </c>
      <c r="K249" s="277"/>
      <c r="L249" s="734">
        <v>0</v>
      </c>
      <c r="M249" s="277"/>
      <c r="N249" s="734">
        <v>0</v>
      </c>
      <c r="O249" s="277"/>
      <c r="P249" s="734">
        <v>18335993.590000004</v>
      </c>
      <c r="Q249" s="277"/>
      <c r="R249" s="734">
        <v>18335993.590000004</v>
      </c>
      <c r="S249" s="262"/>
      <c r="U249" s="283"/>
    </row>
    <row r="250" spans="1:21" ht="14.1" customHeight="1" x14ac:dyDescent="0.2">
      <c r="A250" s="252">
        <v>15</v>
      </c>
      <c r="B250" s="312"/>
      <c r="C250" s="267">
        <v>34686</v>
      </c>
      <c r="D250" s="252" t="s">
        <v>1409</v>
      </c>
      <c r="F250" s="313">
        <v>2.9000000000000004</v>
      </c>
      <c r="G250" s="260"/>
      <c r="H250" s="655">
        <v>141626.41</v>
      </c>
      <c r="I250" s="733"/>
      <c r="J250" s="734">
        <v>0</v>
      </c>
      <c r="K250" s="277"/>
      <c r="L250" s="734">
        <v>0</v>
      </c>
      <c r="M250" s="277"/>
      <c r="N250" s="734">
        <v>0</v>
      </c>
      <c r="O250" s="277"/>
      <c r="P250" s="734">
        <v>141626.41</v>
      </c>
      <c r="Q250" s="277"/>
      <c r="R250" s="734">
        <v>141626.40999999997</v>
      </c>
      <c r="S250" s="262"/>
      <c r="U250" s="283"/>
    </row>
    <row r="251" spans="1:21" ht="14.1" customHeight="1" x14ac:dyDescent="0.2">
      <c r="A251" s="252">
        <v>16</v>
      </c>
      <c r="B251" s="312"/>
      <c r="C251" s="267"/>
      <c r="D251" s="279" t="s">
        <v>1375</v>
      </c>
      <c r="F251" s="313"/>
      <c r="H251" s="658">
        <v>468972397.25999993</v>
      </c>
      <c r="I251" s="733"/>
      <c r="J251" s="736">
        <v>362409.27</v>
      </c>
      <c r="K251" s="733"/>
      <c r="L251" s="736">
        <v>-267871.64</v>
      </c>
      <c r="M251" s="733"/>
      <c r="N251" s="736">
        <v>0</v>
      </c>
      <c r="O251" s="733"/>
      <c r="P251" s="736">
        <v>469066934.88999993</v>
      </c>
      <c r="Q251" s="733"/>
      <c r="R251" s="736">
        <v>469023534.08076912</v>
      </c>
      <c r="S251" s="262"/>
      <c r="U251" s="283"/>
    </row>
    <row r="252" spans="1:21" ht="14.1" customHeight="1" x14ac:dyDescent="0.2">
      <c r="A252" s="252">
        <v>17</v>
      </c>
      <c r="B252" s="312"/>
      <c r="C252" s="83"/>
      <c r="D252" s="83"/>
      <c r="E252" s="83"/>
      <c r="F252" s="83"/>
      <c r="G252" s="83"/>
      <c r="H252" s="666"/>
      <c r="I252" s="393"/>
      <c r="J252" s="393"/>
      <c r="K252" s="393"/>
      <c r="L252" s="393"/>
      <c r="M252" s="393"/>
      <c r="N252" s="393"/>
      <c r="O252" s="393"/>
      <c r="P252" s="393"/>
      <c r="Q252" s="393"/>
      <c r="R252" s="393"/>
      <c r="S252" s="262"/>
      <c r="U252" s="283"/>
    </row>
    <row r="253" spans="1:21" ht="14.1" customHeight="1" x14ac:dyDescent="0.2">
      <c r="A253" s="252">
        <v>18</v>
      </c>
      <c r="B253" s="312"/>
      <c r="C253" s="267">
        <v>34287</v>
      </c>
      <c r="D253" s="279" t="s">
        <v>1376</v>
      </c>
      <c r="F253" s="313">
        <v>20</v>
      </c>
      <c r="G253" s="319"/>
      <c r="H253" s="655">
        <v>4.4701664592139423E-10</v>
      </c>
      <c r="I253" s="733"/>
      <c r="J253" s="734">
        <v>-3.637978807091713E-12</v>
      </c>
      <c r="K253" s="277"/>
      <c r="L253" s="734">
        <v>0</v>
      </c>
      <c r="M253" s="277"/>
      <c r="N253" s="734">
        <v>0</v>
      </c>
      <c r="O253" s="277"/>
      <c r="P253" s="734">
        <v>4.4337866711430252E-10</v>
      </c>
      <c r="Q253" s="277"/>
      <c r="R253" s="734">
        <v>6354.367692308133</v>
      </c>
      <c r="S253" s="262"/>
      <c r="U253" s="283"/>
    </row>
    <row r="254" spans="1:21" ht="14.1" customHeight="1" x14ac:dyDescent="0.2">
      <c r="A254" s="252">
        <v>19</v>
      </c>
      <c r="B254" s="312"/>
      <c r="H254" s="602"/>
      <c r="I254" s="277"/>
      <c r="J254" s="277"/>
      <c r="K254" s="277"/>
      <c r="L254" s="277"/>
      <c r="M254" s="277"/>
      <c r="N254" s="277"/>
      <c r="O254" s="277"/>
      <c r="P254" s="277"/>
      <c r="Q254" s="277"/>
      <c r="R254" s="277"/>
      <c r="S254" s="262"/>
      <c r="U254" s="283"/>
    </row>
    <row r="255" spans="1:21" ht="14.1" customHeight="1" x14ac:dyDescent="0.2">
      <c r="A255" s="252">
        <v>20</v>
      </c>
      <c r="B255" s="312"/>
      <c r="C255" s="267">
        <v>34687</v>
      </c>
      <c r="D255" s="252" t="s">
        <v>223</v>
      </c>
      <c r="F255" s="313">
        <v>14.3</v>
      </c>
      <c r="G255" s="260"/>
      <c r="H255" s="655">
        <v>1206560.47</v>
      </c>
      <c r="I255" s="733"/>
      <c r="J255" s="734">
        <v>41048.83</v>
      </c>
      <c r="K255" s="277"/>
      <c r="L255" s="734">
        <v>0</v>
      </c>
      <c r="M255" s="277"/>
      <c r="N255" s="734">
        <v>-47209.020000000004</v>
      </c>
      <c r="O255" s="277"/>
      <c r="P255" s="734">
        <v>1200400.28</v>
      </c>
      <c r="Q255" s="277"/>
      <c r="R255" s="734">
        <v>1214151.6646153852</v>
      </c>
      <c r="S255" s="262"/>
      <c r="U255" s="283"/>
    </row>
    <row r="256" spans="1:21" ht="14.1" customHeight="1" x14ac:dyDescent="0.2">
      <c r="A256" s="252">
        <v>21</v>
      </c>
      <c r="B256" s="312"/>
      <c r="C256" s="269"/>
      <c r="F256" s="313"/>
      <c r="H256" s="658"/>
      <c r="I256" s="733"/>
      <c r="J256" s="736"/>
      <c r="K256" s="733"/>
      <c r="L256" s="736"/>
      <c r="M256" s="733"/>
      <c r="N256" s="736"/>
      <c r="O256" s="733"/>
      <c r="P256" s="736"/>
      <c r="Q256" s="733"/>
      <c r="R256" s="736"/>
      <c r="S256" s="262"/>
      <c r="U256" s="283"/>
    </row>
    <row r="257" spans="1:21" ht="14.1" customHeight="1" thickBot="1" x14ac:dyDescent="0.25">
      <c r="A257" s="252">
        <v>22</v>
      </c>
      <c r="B257" s="312"/>
      <c r="C257" s="299"/>
      <c r="D257" s="83" t="s">
        <v>74</v>
      </c>
      <c r="E257" s="83"/>
      <c r="F257" s="315"/>
      <c r="G257" s="83"/>
      <c r="H257" s="665">
        <v>1368350417.8100002</v>
      </c>
      <c r="I257" s="754"/>
      <c r="J257" s="741">
        <v>14898257.300000001</v>
      </c>
      <c r="K257" s="754"/>
      <c r="L257" s="741">
        <v>-5857524.9099999992</v>
      </c>
      <c r="M257" s="754"/>
      <c r="N257" s="741">
        <v>-47209.020000000004</v>
      </c>
      <c r="O257" s="754"/>
      <c r="P257" s="741">
        <v>1377343941.1800001</v>
      </c>
      <c r="Q257" s="754"/>
      <c r="R257" s="741">
        <v>1369879352.1553848</v>
      </c>
      <c r="S257" s="262"/>
      <c r="U257" s="283"/>
    </row>
    <row r="258" spans="1:21" ht="14.1" customHeight="1" thickTop="1" x14ac:dyDescent="0.2">
      <c r="A258" s="252">
        <v>23</v>
      </c>
      <c r="B258" s="312"/>
      <c r="H258" s="602"/>
      <c r="I258" s="277"/>
      <c r="J258" s="277"/>
      <c r="K258" s="277"/>
      <c r="L258" s="277"/>
      <c r="M258" s="277"/>
      <c r="N258" s="277"/>
      <c r="O258" s="277"/>
      <c r="P258" s="277"/>
      <c r="Q258" s="277"/>
      <c r="R258" s="277"/>
      <c r="S258" s="262"/>
      <c r="U258" s="283"/>
    </row>
    <row r="259" spans="1:21" ht="14.1" customHeight="1" x14ac:dyDescent="0.2">
      <c r="A259" s="252">
        <v>24</v>
      </c>
      <c r="B259" s="312"/>
      <c r="H259" s="602"/>
      <c r="I259" s="277"/>
      <c r="J259" s="277"/>
      <c r="K259" s="277"/>
      <c r="L259" s="277"/>
      <c r="M259" s="277"/>
      <c r="N259" s="277"/>
      <c r="O259" s="277"/>
      <c r="P259" s="277"/>
      <c r="Q259" s="277"/>
      <c r="R259" s="277"/>
      <c r="S259" s="262"/>
      <c r="U259" s="283"/>
    </row>
    <row r="260" spans="1:21" ht="14.1" customHeight="1" x14ac:dyDescent="0.2">
      <c r="A260" s="252">
        <v>25</v>
      </c>
      <c r="B260" s="312"/>
      <c r="D260" s="83" t="s">
        <v>62</v>
      </c>
      <c r="H260" s="602"/>
      <c r="I260" s="277"/>
      <c r="J260" s="277"/>
      <c r="K260" s="277"/>
      <c r="L260" s="277"/>
      <c r="M260" s="277"/>
      <c r="N260" s="277"/>
      <c r="O260" s="277"/>
      <c r="P260" s="277"/>
      <c r="Q260" s="277"/>
      <c r="R260" s="277"/>
      <c r="S260" s="262"/>
      <c r="U260" s="283"/>
    </row>
    <row r="261" spans="1:21" ht="14.1" customHeight="1" x14ac:dyDescent="0.2">
      <c r="A261" s="252">
        <v>26</v>
      </c>
      <c r="B261" s="314"/>
      <c r="D261" s="279" t="s">
        <v>224</v>
      </c>
      <c r="F261" s="313"/>
      <c r="H261" s="659"/>
      <c r="I261" s="733"/>
      <c r="J261" s="733"/>
      <c r="K261" s="733"/>
      <c r="L261" s="733"/>
      <c r="M261" s="733"/>
      <c r="N261" s="733"/>
      <c r="O261" s="733"/>
      <c r="P261" s="733"/>
      <c r="Q261" s="733"/>
      <c r="R261" s="733"/>
      <c r="S261" s="262"/>
      <c r="U261" s="283"/>
    </row>
    <row r="262" spans="1:21" ht="14.1" customHeight="1" x14ac:dyDescent="0.2">
      <c r="A262" s="252">
        <v>27</v>
      </c>
      <c r="B262" s="314"/>
      <c r="C262" s="269">
        <v>34130</v>
      </c>
      <c r="D262" s="252" t="s">
        <v>1408</v>
      </c>
      <c r="F262" s="313">
        <v>2.2999999999999998</v>
      </c>
      <c r="G262" s="260"/>
      <c r="H262" s="655">
        <v>81547563.790000007</v>
      </c>
      <c r="I262" s="733"/>
      <c r="J262" s="734">
        <v>2678621.5900000003</v>
      </c>
      <c r="K262" s="277"/>
      <c r="L262" s="734">
        <v>-46606.03</v>
      </c>
      <c r="M262" s="277"/>
      <c r="N262" s="734">
        <v>0</v>
      </c>
      <c r="O262" s="277"/>
      <c r="P262" s="734">
        <v>84179579.350000009</v>
      </c>
      <c r="Q262" s="277"/>
      <c r="R262" s="734">
        <v>83182268.506923065</v>
      </c>
      <c r="S262" s="262"/>
      <c r="U262" s="283"/>
    </row>
    <row r="263" spans="1:21" ht="14.1" customHeight="1" x14ac:dyDescent="0.2">
      <c r="A263" s="252">
        <v>28</v>
      </c>
      <c r="B263" s="314"/>
      <c r="C263" s="269">
        <v>34230</v>
      </c>
      <c r="D263" s="252" t="s">
        <v>1410</v>
      </c>
      <c r="F263" s="313">
        <v>2.5</v>
      </c>
      <c r="G263" s="260"/>
      <c r="H263" s="655">
        <v>22466368.350000001</v>
      </c>
      <c r="I263" s="733"/>
      <c r="J263" s="734">
        <v>289209.28999999998</v>
      </c>
      <c r="K263" s="277"/>
      <c r="L263" s="734">
        <v>-91536.85</v>
      </c>
      <c r="M263" s="277"/>
      <c r="N263" s="734">
        <v>0</v>
      </c>
      <c r="O263" s="277"/>
      <c r="P263" s="734">
        <v>22664040.789999999</v>
      </c>
      <c r="Q263" s="277"/>
      <c r="R263" s="734">
        <v>22537893.296923082</v>
      </c>
      <c r="S263" s="262"/>
      <c r="U263" s="283"/>
    </row>
    <row r="264" spans="1:21" ht="14.1" customHeight="1" x14ac:dyDescent="0.2">
      <c r="A264" s="252">
        <v>29</v>
      </c>
      <c r="B264" s="312"/>
      <c r="C264" s="269">
        <v>34330</v>
      </c>
      <c r="D264" s="252" t="s">
        <v>207</v>
      </c>
      <c r="F264" s="313">
        <v>3.2</v>
      </c>
      <c r="G264" s="260"/>
      <c r="H264" s="655">
        <v>35297616.749999993</v>
      </c>
      <c r="I264" s="733"/>
      <c r="J264" s="734">
        <v>3740854.7099999995</v>
      </c>
      <c r="K264" s="277"/>
      <c r="L264" s="734">
        <v>-99517.170000000013</v>
      </c>
      <c r="M264" s="277"/>
      <c r="N264" s="734">
        <v>0</v>
      </c>
      <c r="O264" s="277"/>
      <c r="P264" s="734">
        <v>38938954.289999992</v>
      </c>
      <c r="Q264" s="277"/>
      <c r="R264" s="734">
        <v>37813158.407692313</v>
      </c>
      <c r="S264" s="262"/>
      <c r="U264" s="283"/>
    </row>
    <row r="265" spans="1:21" ht="14.1" customHeight="1" x14ac:dyDescent="0.2">
      <c r="A265" s="252">
        <v>30</v>
      </c>
      <c r="B265" s="312"/>
      <c r="C265" s="269">
        <v>34530</v>
      </c>
      <c r="D265" s="252" t="s">
        <v>1409</v>
      </c>
      <c r="F265" s="313">
        <v>4.2</v>
      </c>
      <c r="G265" s="260"/>
      <c r="H265" s="655">
        <v>28880280</v>
      </c>
      <c r="I265" s="733"/>
      <c r="J265" s="734">
        <v>587667.52999999991</v>
      </c>
      <c r="K265" s="277"/>
      <c r="L265" s="734">
        <v>-173311.75</v>
      </c>
      <c r="M265" s="277"/>
      <c r="N265" s="734">
        <v>0</v>
      </c>
      <c r="O265" s="277"/>
      <c r="P265" s="734">
        <v>29294635.780000001</v>
      </c>
      <c r="Q265" s="277"/>
      <c r="R265" s="734">
        <v>29184546.942307692</v>
      </c>
      <c r="S265" s="262"/>
      <c r="U265" s="283"/>
    </row>
    <row r="266" spans="1:21" ht="14.1" customHeight="1" x14ac:dyDescent="0.2">
      <c r="A266" s="252">
        <v>31</v>
      </c>
      <c r="B266" s="312"/>
      <c r="C266" s="269">
        <v>34630</v>
      </c>
      <c r="D266" s="252" t="s">
        <v>165</v>
      </c>
      <c r="F266" s="313">
        <v>3.2</v>
      </c>
      <c r="G266" s="260"/>
      <c r="H266" s="655">
        <v>10878706.539999999</v>
      </c>
      <c r="I266" s="733"/>
      <c r="J266" s="734">
        <v>183624.32000000001</v>
      </c>
      <c r="K266" s="277"/>
      <c r="L266" s="734">
        <v>-8307.6200000000008</v>
      </c>
      <c r="M266" s="277"/>
      <c r="N266" s="734">
        <v>0</v>
      </c>
      <c r="O266" s="277"/>
      <c r="P266" s="734">
        <v>11054023.24</v>
      </c>
      <c r="Q266" s="277"/>
      <c r="R266" s="734">
        <v>10963020.733076923</v>
      </c>
      <c r="S266" s="262"/>
      <c r="U266" s="283"/>
    </row>
    <row r="267" spans="1:21" ht="14.1" customHeight="1" x14ac:dyDescent="0.2">
      <c r="A267" s="252">
        <v>32</v>
      </c>
      <c r="B267" s="312"/>
      <c r="C267" s="269"/>
      <c r="D267" s="279" t="s">
        <v>225</v>
      </c>
      <c r="F267" s="313"/>
      <c r="H267" s="658">
        <v>179070535.43000001</v>
      </c>
      <c r="I267" s="733"/>
      <c r="J267" s="736">
        <v>7479977.4400000004</v>
      </c>
      <c r="K267" s="733"/>
      <c r="L267" s="736">
        <v>-419279.42000000004</v>
      </c>
      <c r="M267" s="733"/>
      <c r="N267" s="736">
        <v>0</v>
      </c>
      <c r="O267" s="733"/>
      <c r="P267" s="736">
        <v>186131233.45000002</v>
      </c>
      <c r="Q267" s="733"/>
      <c r="R267" s="736">
        <v>183680887.88692307</v>
      </c>
      <c r="S267" s="262"/>
      <c r="U267" s="283"/>
    </row>
    <row r="268" spans="1:21" ht="14.1" customHeight="1" x14ac:dyDescent="0.2">
      <c r="A268" s="252">
        <v>33</v>
      </c>
      <c r="B268" s="312"/>
      <c r="H268" s="602"/>
      <c r="I268" s="277"/>
      <c r="J268" s="277"/>
      <c r="K268" s="277"/>
      <c r="L268" s="277"/>
      <c r="M268" s="277"/>
      <c r="N268" s="277"/>
      <c r="O268" s="277"/>
      <c r="P268" s="277"/>
      <c r="Q268" s="277"/>
      <c r="R268" s="277"/>
      <c r="S268" s="262"/>
      <c r="U268" s="283"/>
    </row>
    <row r="269" spans="1:21" ht="14.1" customHeight="1" x14ac:dyDescent="0.2">
      <c r="A269" s="252">
        <v>34</v>
      </c>
      <c r="D269" s="279" t="s">
        <v>226</v>
      </c>
      <c r="H269" s="692"/>
      <c r="I269" s="756"/>
      <c r="J269" s="756"/>
      <c r="K269" s="756"/>
      <c r="L269" s="277"/>
      <c r="M269" s="277"/>
      <c r="N269" s="277"/>
      <c r="O269" s="277"/>
      <c r="P269" s="756"/>
      <c r="Q269" s="756"/>
      <c r="R269" s="756"/>
      <c r="S269" s="262"/>
      <c r="U269" s="283"/>
    </row>
    <row r="270" spans="1:21" ht="14.1" customHeight="1" x14ac:dyDescent="0.2">
      <c r="A270" s="252">
        <v>35</v>
      </c>
      <c r="C270" s="267">
        <v>34131</v>
      </c>
      <c r="D270" s="252" t="s">
        <v>1408</v>
      </c>
      <c r="F270" s="313">
        <v>2.5</v>
      </c>
      <c r="G270" s="260"/>
      <c r="H270" s="655">
        <v>21609094.940000005</v>
      </c>
      <c r="I270" s="733"/>
      <c r="J270" s="734">
        <v>0</v>
      </c>
      <c r="K270" s="277"/>
      <c r="L270" s="734">
        <v>-100735.85</v>
      </c>
      <c r="M270" s="277"/>
      <c r="N270" s="734">
        <v>0</v>
      </c>
      <c r="O270" s="277"/>
      <c r="P270" s="734">
        <v>21508359.090000004</v>
      </c>
      <c r="Q270" s="277"/>
      <c r="R270" s="734">
        <v>21547103.647692315</v>
      </c>
      <c r="S270" s="262"/>
      <c r="U270" s="283"/>
    </row>
    <row r="271" spans="1:21" ht="14.1" customHeight="1" x14ac:dyDescent="0.2">
      <c r="A271" s="252">
        <v>36</v>
      </c>
      <c r="C271" s="267">
        <v>34231</v>
      </c>
      <c r="D271" s="252" t="s">
        <v>1410</v>
      </c>
      <c r="F271" s="313">
        <v>2.9</v>
      </c>
      <c r="G271" s="260"/>
      <c r="H271" s="655">
        <v>77801542.430000022</v>
      </c>
      <c r="I271" s="733"/>
      <c r="J271" s="734">
        <v>307725.34000000003</v>
      </c>
      <c r="K271" s="277"/>
      <c r="L271" s="734">
        <v>-68035.88</v>
      </c>
      <c r="M271" s="277"/>
      <c r="N271" s="734">
        <v>3905.34</v>
      </c>
      <c r="O271" s="277"/>
      <c r="P271" s="734">
        <v>78045137.230000034</v>
      </c>
      <c r="Q271" s="277"/>
      <c r="R271" s="734">
        <v>77833056.534615397</v>
      </c>
      <c r="S271" s="262"/>
      <c r="U271" s="283"/>
    </row>
    <row r="272" spans="1:21" ht="14.1" customHeight="1" x14ac:dyDescent="0.2">
      <c r="A272" s="252">
        <v>37</v>
      </c>
      <c r="C272" s="267">
        <v>34331</v>
      </c>
      <c r="D272" s="252" t="s">
        <v>207</v>
      </c>
      <c r="F272" s="313">
        <v>4.2</v>
      </c>
      <c r="G272" s="260"/>
      <c r="H272" s="655">
        <v>209303215.88000011</v>
      </c>
      <c r="I272" s="733"/>
      <c r="J272" s="734">
        <v>1681431.13</v>
      </c>
      <c r="K272" s="277"/>
      <c r="L272" s="734">
        <v>-490630.41000000003</v>
      </c>
      <c r="M272" s="277"/>
      <c r="N272" s="734">
        <v>0</v>
      </c>
      <c r="O272" s="277"/>
      <c r="P272" s="734">
        <v>210494016.60000011</v>
      </c>
      <c r="Q272" s="277"/>
      <c r="R272" s="734">
        <v>209991374.39615393</v>
      </c>
      <c r="S272" s="262"/>
      <c r="U272" s="283"/>
    </row>
    <row r="273" spans="1:21" ht="14.1" customHeight="1" x14ac:dyDescent="0.2">
      <c r="A273" s="252">
        <v>38</v>
      </c>
      <c r="C273" s="267">
        <v>34531</v>
      </c>
      <c r="D273" s="252" t="s">
        <v>1409</v>
      </c>
      <c r="F273" s="313">
        <v>3.2</v>
      </c>
      <c r="G273" s="260"/>
      <c r="H273" s="655">
        <v>38933915.859999992</v>
      </c>
      <c r="I273" s="733"/>
      <c r="J273" s="734">
        <v>408134.20999999996</v>
      </c>
      <c r="K273" s="277"/>
      <c r="L273" s="734">
        <v>0</v>
      </c>
      <c r="M273" s="277"/>
      <c r="N273" s="734">
        <v>-3905.34</v>
      </c>
      <c r="O273" s="277"/>
      <c r="P273" s="734">
        <v>39338144.729999989</v>
      </c>
      <c r="Q273" s="277"/>
      <c r="R273" s="734">
        <v>39162423.233846158</v>
      </c>
      <c r="S273" s="262"/>
      <c r="U273" s="283"/>
    </row>
    <row r="274" spans="1:21" ht="14.1" customHeight="1" x14ac:dyDescent="0.2">
      <c r="A274" s="252">
        <v>39</v>
      </c>
      <c r="C274" s="267">
        <v>34631</v>
      </c>
      <c r="D274" s="252" t="s">
        <v>165</v>
      </c>
      <c r="F274" s="313">
        <v>2.7</v>
      </c>
      <c r="G274" s="260"/>
      <c r="H274" s="655">
        <v>1152705.94</v>
      </c>
      <c r="I274" s="733"/>
      <c r="J274" s="734">
        <v>0</v>
      </c>
      <c r="K274" s="277"/>
      <c r="L274" s="734">
        <v>0</v>
      </c>
      <c r="M274" s="277"/>
      <c r="N274" s="734">
        <v>0</v>
      </c>
      <c r="O274" s="277"/>
      <c r="P274" s="734">
        <v>1152705.94</v>
      </c>
      <c r="Q274" s="277"/>
      <c r="R274" s="734">
        <v>1152705.9399999997</v>
      </c>
      <c r="S274" s="262"/>
      <c r="U274" s="283"/>
    </row>
    <row r="275" spans="1:21" ht="14.1" customHeight="1" x14ac:dyDescent="0.2">
      <c r="A275" s="252">
        <v>40</v>
      </c>
      <c r="C275" s="269"/>
      <c r="D275" s="279" t="s">
        <v>227</v>
      </c>
      <c r="F275" s="313"/>
      <c r="H275" s="658">
        <v>348800475.05000013</v>
      </c>
      <c r="I275" s="733"/>
      <c r="J275" s="736">
        <v>2397290.6799999997</v>
      </c>
      <c r="K275" s="733"/>
      <c r="L275" s="736">
        <v>-659402.14</v>
      </c>
      <c r="M275" s="733"/>
      <c r="N275" s="736">
        <v>0</v>
      </c>
      <c r="O275" s="733"/>
      <c r="P275" s="736">
        <v>350538363.59000009</v>
      </c>
      <c r="Q275" s="733"/>
      <c r="R275" s="736">
        <v>349686663.75230783</v>
      </c>
      <c r="S275" s="262"/>
      <c r="U275" s="283"/>
    </row>
    <row r="276" spans="1:21" ht="14.1" customHeight="1" x14ac:dyDescent="0.2">
      <c r="A276" s="252">
        <v>41</v>
      </c>
      <c r="S276" s="262"/>
      <c r="U276" s="283"/>
    </row>
    <row r="277" spans="1:21" ht="14.1" customHeight="1" x14ac:dyDescent="0.2">
      <c r="A277" s="252">
        <v>42</v>
      </c>
      <c r="S277" s="262"/>
      <c r="U277" s="283"/>
    </row>
    <row r="278" spans="1:21" ht="14.1" customHeight="1" x14ac:dyDescent="0.2">
      <c r="A278" s="252">
        <v>43</v>
      </c>
      <c r="S278" s="262"/>
      <c r="U278" s="283"/>
    </row>
    <row r="279" spans="1:21" ht="14.1" customHeight="1" thickBot="1" x14ac:dyDescent="0.25">
      <c r="A279" s="252">
        <v>44</v>
      </c>
      <c r="B279" s="742" t="s">
        <v>186</v>
      </c>
      <c r="C279" s="264"/>
      <c r="D279" s="264"/>
      <c r="E279" s="264"/>
      <c r="F279" s="264"/>
      <c r="G279" s="264"/>
      <c r="H279" s="264"/>
      <c r="I279" s="264"/>
      <c r="J279" s="264"/>
      <c r="K279" s="264"/>
      <c r="L279" s="264"/>
      <c r="M279" s="264"/>
      <c r="N279" s="264"/>
      <c r="O279" s="264"/>
      <c r="P279" s="264"/>
      <c r="Q279" s="264"/>
      <c r="R279" s="264"/>
      <c r="S279" s="262"/>
      <c r="U279" s="283"/>
    </row>
    <row r="280" spans="1:21" ht="14.1" customHeight="1" x14ac:dyDescent="0.2">
      <c r="A280" s="252" t="s">
        <v>60</v>
      </c>
      <c r="P280" s="252" t="s">
        <v>60</v>
      </c>
      <c r="S280" s="262"/>
      <c r="U280" s="283"/>
    </row>
    <row r="281" spans="1:21" ht="14.1" customHeight="1" thickBot="1" x14ac:dyDescent="0.25">
      <c r="A281" s="264" t="s">
        <v>127</v>
      </c>
      <c r="B281" s="264"/>
      <c r="C281" s="264"/>
      <c r="D281" s="264"/>
      <c r="E281" s="264"/>
      <c r="F281" s="264"/>
      <c r="G281" s="264" t="s">
        <v>128</v>
      </c>
      <c r="H281" s="264"/>
      <c r="I281" s="264"/>
      <c r="J281" s="264"/>
      <c r="K281" s="264"/>
      <c r="L281" s="264"/>
      <c r="M281" s="264"/>
      <c r="N281" s="264"/>
      <c r="O281" s="264"/>
      <c r="P281" s="264"/>
      <c r="Q281" s="264"/>
      <c r="R281" s="264" t="s">
        <v>328</v>
      </c>
      <c r="S281" s="262"/>
      <c r="U281" s="283"/>
    </row>
    <row r="282" spans="1:21" ht="14.1" customHeight="1" x14ac:dyDescent="0.2">
      <c r="A282" s="252" t="s">
        <v>129</v>
      </c>
      <c r="B282" s="285"/>
      <c r="E282" s="260" t="s">
        <v>130</v>
      </c>
      <c r="F282" s="252" t="s">
        <v>1405</v>
      </c>
      <c r="J282" s="286"/>
      <c r="K282" s="286"/>
      <c r="M282" s="286"/>
      <c r="N282" s="286"/>
      <c r="O282" s="286" t="s">
        <v>187</v>
      </c>
      <c r="R282" s="261"/>
      <c r="S282" s="262"/>
      <c r="U282" s="283"/>
    </row>
    <row r="283" spans="1:21" ht="14.1" customHeight="1" x14ac:dyDescent="0.2">
      <c r="B283" s="285"/>
      <c r="F283" s="252" t="s">
        <v>1406</v>
      </c>
      <c r="J283" s="260"/>
      <c r="K283" s="261"/>
      <c r="N283" s="260"/>
      <c r="O283" s="260" t="s">
        <v>123</v>
      </c>
      <c r="P283" s="261" t="s">
        <v>1407</v>
      </c>
      <c r="R283" s="260"/>
      <c r="S283" s="262"/>
      <c r="U283" s="283"/>
    </row>
    <row r="284" spans="1:21" ht="14.1" customHeight="1" x14ac:dyDescent="0.2">
      <c r="A284" s="252" t="s">
        <v>134</v>
      </c>
      <c r="B284" s="285"/>
      <c r="F284" s="252" t="s">
        <v>123</v>
      </c>
      <c r="J284" s="260"/>
      <c r="K284" s="261"/>
      <c r="L284" s="260"/>
      <c r="O284" s="260" t="s">
        <v>123</v>
      </c>
      <c r="P284" s="261">
        <v>0</v>
      </c>
      <c r="R284" s="260"/>
      <c r="S284" s="262"/>
      <c r="U284" s="283"/>
    </row>
    <row r="285" spans="1:21" ht="14.1" customHeight="1" x14ac:dyDescent="0.2">
      <c r="B285" s="285"/>
      <c r="F285" s="252" t="s">
        <v>123</v>
      </c>
      <c r="J285" s="260"/>
      <c r="K285" s="261"/>
      <c r="L285" s="260"/>
      <c r="O285" s="260" t="s">
        <v>123</v>
      </c>
      <c r="P285" s="261"/>
      <c r="R285" s="260"/>
      <c r="S285" s="262"/>
      <c r="U285" s="283"/>
    </row>
    <row r="286" spans="1:21" ht="14.1" customHeight="1" thickBot="1" x14ac:dyDescent="0.25">
      <c r="A286" s="264" t="s">
        <v>135</v>
      </c>
      <c r="B286" s="287"/>
      <c r="C286" s="264"/>
      <c r="D286" s="264"/>
      <c r="E286" s="264"/>
      <c r="F286" s="264" t="s">
        <v>123</v>
      </c>
      <c r="G286" s="264"/>
      <c r="H286" s="266"/>
      <c r="I286" s="264"/>
      <c r="J286" s="264"/>
      <c r="K286" s="264"/>
      <c r="L286" s="264"/>
      <c r="M286" s="264"/>
      <c r="N286" s="264"/>
      <c r="O286" s="264"/>
      <c r="P286" s="288"/>
      <c r="Q286" s="264"/>
      <c r="R286" s="264"/>
      <c r="S286" s="262"/>
      <c r="U286" s="283"/>
    </row>
    <row r="287" spans="1:21" ht="14.1" customHeight="1" x14ac:dyDescent="0.2"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2"/>
      <c r="U287" s="283"/>
    </row>
    <row r="288" spans="1:21" ht="14.1" customHeight="1" x14ac:dyDescent="0.2">
      <c r="C288" s="267" t="s">
        <v>136</v>
      </c>
      <c r="D288" s="267" t="s">
        <v>137</v>
      </c>
      <c r="E288" s="267"/>
      <c r="F288" s="267" t="s">
        <v>138</v>
      </c>
      <c r="G288" s="267"/>
      <c r="H288" s="267" t="s">
        <v>139</v>
      </c>
      <c r="I288" s="267"/>
      <c r="J288" s="269" t="s">
        <v>140</v>
      </c>
      <c r="K288" s="269"/>
      <c r="L288" s="267" t="s">
        <v>141</v>
      </c>
      <c r="M288" s="267"/>
      <c r="N288" s="267" t="s">
        <v>142</v>
      </c>
      <c r="O288" s="267"/>
      <c r="P288" s="267" t="s">
        <v>143</v>
      </c>
      <c r="Q288" s="267"/>
      <c r="R288" s="267" t="s">
        <v>144</v>
      </c>
      <c r="S288" s="262"/>
      <c r="U288" s="283"/>
    </row>
    <row r="289" spans="1:21" ht="14.1" customHeight="1" x14ac:dyDescent="0.2">
      <c r="C289" s="269" t="s">
        <v>145</v>
      </c>
      <c r="D289" s="269" t="s">
        <v>145</v>
      </c>
      <c r="F289" s="269" t="s">
        <v>6</v>
      </c>
      <c r="G289" s="269"/>
      <c r="H289" s="267" t="s">
        <v>48</v>
      </c>
      <c r="I289" s="269"/>
      <c r="J289" s="267" t="s">
        <v>40</v>
      </c>
      <c r="K289" s="269"/>
      <c r="L289" s="269" t="s">
        <v>40</v>
      </c>
      <c r="M289" s="269"/>
      <c r="P289" s="269" t="s">
        <v>48</v>
      </c>
      <c r="R289" s="269"/>
      <c r="S289" s="262"/>
      <c r="U289" s="283"/>
    </row>
    <row r="290" spans="1:21" ht="14.1" customHeight="1" x14ac:dyDescent="0.2">
      <c r="A290" s="252" t="s">
        <v>146</v>
      </c>
      <c r="B290" s="269"/>
      <c r="C290" s="269" t="s">
        <v>147</v>
      </c>
      <c r="D290" s="269" t="s">
        <v>147</v>
      </c>
      <c r="E290" s="267"/>
      <c r="F290" s="269" t="s">
        <v>148</v>
      </c>
      <c r="G290" s="269"/>
      <c r="H290" s="269" t="s">
        <v>149</v>
      </c>
      <c r="I290" s="269"/>
      <c r="J290" s="269" t="s">
        <v>48</v>
      </c>
      <c r="K290" s="267"/>
      <c r="L290" s="269" t="s">
        <v>48</v>
      </c>
      <c r="M290" s="261"/>
      <c r="N290" s="269" t="s">
        <v>150</v>
      </c>
      <c r="O290" s="267"/>
      <c r="P290" s="267" t="s">
        <v>149</v>
      </c>
      <c r="Q290" s="267"/>
      <c r="R290" s="269" t="s">
        <v>151</v>
      </c>
      <c r="S290" s="262"/>
      <c r="U290" s="283"/>
    </row>
    <row r="291" spans="1:21" ht="14.1" customHeight="1" thickBot="1" x14ac:dyDescent="0.25">
      <c r="A291" s="264" t="s">
        <v>152</v>
      </c>
      <c r="B291" s="266"/>
      <c r="C291" s="266" t="s">
        <v>52</v>
      </c>
      <c r="D291" s="266" t="s">
        <v>153</v>
      </c>
      <c r="E291" s="266"/>
      <c r="F291" s="270" t="s">
        <v>57</v>
      </c>
      <c r="G291" s="270"/>
      <c r="H291" s="270" t="s">
        <v>154</v>
      </c>
      <c r="I291" s="271"/>
      <c r="J291" s="270" t="s">
        <v>155</v>
      </c>
      <c r="K291" s="271"/>
      <c r="L291" s="271" t="s">
        <v>156</v>
      </c>
      <c r="M291" s="272"/>
      <c r="N291" s="272" t="s">
        <v>157</v>
      </c>
      <c r="O291" s="272"/>
      <c r="P291" s="272" t="s">
        <v>158</v>
      </c>
      <c r="Q291" s="272"/>
      <c r="R291" s="272" t="s">
        <v>3</v>
      </c>
      <c r="S291" s="262"/>
      <c r="U291" s="283"/>
    </row>
    <row r="292" spans="1:21" ht="14.1" customHeight="1" x14ac:dyDescent="0.2">
      <c r="A292" s="252">
        <v>1</v>
      </c>
      <c r="B292" s="312"/>
      <c r="S292" s="262"/>
      <c r="U292" s="283"/>
    </row>
    <row r="293" spans="1:21" ht="14.1" customHeight="1" x14ac:dyDescent="0.2">
      <c r="A293" s="252">
        <v>2</v>
      </c>
      <c r="B293" s="312"/>
      <c r="C293" s="269"/>
      <c r="D293" s="279" t="s">
        <v>228</v>
      </c>
      <c r="F293" s="313"/>
      <c r="H293" s="660"/>
      <c r="I293" s="752"/>
      <c r="J293" s="752"/>
      <c r="K293" s="752"/>
      <c r="L293" s="752"/>
      <c r="M293" s="752"/>
      <c r="N293" s="752"/>
      <c r="O293" s="752"/>
      <c r="P293" s="733"/>
      <c r="Q293" s="752"/>
      <c r="R293" s="752"/>
      <c r="S293" s="262"/>
      <c r="U293" s="283"/>
    </row>
    <row r="294" spans="1:21" ht="14.1" customHeight="1" x14ac:dyDescent="0.2">
      <c r="A294" s="252">
        <v>3</v>
      </c>
      <c r="B294" s="312"/>
      <c r="C294" s="267">
        <v>34132</v>
      </c>
      <c r="D294" s="252" t="s">
        <v>1408</v>
      </c>
      <c r="F294" s="313">
        <v>2.5</v>
      </c>
      <c r="G294" s="260"/>
      <c r="H294" s="655">
        <v>26971966.289999995</v>
      </c>
      <c r="I294" s="733"/>
      <c r="J294" s="734">
        <v>0</v>
      </c>
      <c r="K294" s="277"/>
      <c r="L294" s="734">
        <v>0</v>
      </c>
      <c r="M294" s="277"/>
      <c r="N294" s="734">
        <v>0</v>
      </c>
      <c r="O294" s="277"/>
      <c r="P294" s="734">
        <v>26971966.289999995</v>
      </c>
      <c r="Q294" s="277"/>
      <c r="R294" s="734">
        <v>26971966.290000003</v>
      </c>
      <c r="S294" s="262"/>
      <c r="U294" s="283"/>
    </row>
    <row r="295" spans="1:21" ht="14.1" customHeight="1" x14ac:dyDescent="0.2">
      <c r="A295" s="252">
        <v>4</v>
      </c>
      <c r="B295" s="312"/>
      <c r="C295" s="267">
        <v>34232</v>
      </c>
      <c r="D295" s="252" t="s">
        <v>1410</v>
      </c>
      <c r="F295" s="313">
        <v>2.9</v>
      </c>
      <c r="G295" s="260"/>
      <c r="H295" s="655">
        <v>98699481.770000011</v>
      </c>
      <c r="I295" s="733"/>
      <c r="J295" s="734">
        <v>6395356.0999999996</v>
      </c>
      <c r="K295" s="277"/>
      <c r="L295" s="734">
        <v>-1418558.06</v>
      </c>
      <c r="M295" s="277"/>
      <c r="N295" s="734">
        <v>0</v>
      </c>
      <c r="O295" s="277"/>
      <c r="P295" s="734">
        <v>103676279.81</v>
      </c>
      <c r="Q295" s="277"/>
      <c r="R295" s="734">
        <v>102409281.82538463</v>
      </c>
      <c r="S295" s="262"/>
      <c r="U295" s="283"/>
    </row>
    <row r="296" spans="1:21" ht="14.1" customHeight="1" x14ac:dyDescent="0.2">
      <c r="A296" s="252">
        <v>5</v>
      </c>
      <c r="B296" s="312"/>
      <c r="C296" s="267">
        <v>34332</v>
      </c>
      <c r="D296" s="252" t="s">
        <v>207</v>
      </c>
      <c r="F296" s="313">
        <v>4.0999999999999996</v>
      </c>
      <c r="G296" s="260"/>
      <c r="H296" s="655">
        <v>286570778.38</v>
      </c>
      <c r="I296" s="733"/>
      <c r="J296" s="734">
        <v>1962859.23</v>
      </c>
      <c r="K296" s="277"/>
      <c r="L296" s="734">
        <v>-489373.14</v>
      </c>
      <c r="M296" s="277"/>
      <c r="N296" s="734">
        <v>0</v>
      </c>
      <c r="O296" s="277"/>
      <c r="P296" s="734">
        <v>288044264.47000003</v>
      </c>
      <c r="Q296" s="277"/>
      <c r="R296" s="734">
        <v>287134473.66615391</v>
      </c>
      <c r="S296" s="262"/>
      <c r="U296" s="283"/>
    </row>
    <row r="297" spans="1:21" ht="14.1" customHeight="1" x14ac:dyDescent="0.2">
      <c r="A297" s="252">
        <v>6</v>
      </c>
      <c r="B297" s="312"/>
      <c r="C297" s="267">
        <v>34532</v>
      </c>
      <c r="D297" s="252" t="s">
        <v>1409</v>
      </c>
      <c r="F297" s="313">
        <v>3.1</v>
      </c>
      <c r="G297" s="260"/>
      <c r="H297" s="655">
        <v>43953040.530000001</v>
      </c>
      <c r="I297" s="733"/>
      <c r="J297" s="734">
        <v>110962.87</v>
      </c>
      <c r="K297" s="277"/>
      <c r="L297" s="734">
        <v>-5236.04</v>
      </c>
      <c r="M297" s="277"/>
      <c r="N297" s="734">
        <v>0</v>
      </c>
      <c r="O297" s="277"/>
      <c r="P297" s="734">
        <v>44058767.359999999</v>
      </c>
      <c r="Q297" s="277"/>
      <c r="R297" s="734">
        <v>44020917.950000003</v>
      </c>
      <c r="S297" s="262"/>
      <c r="U297" s="283"/>
    </row>
    <row r="298" spans="1:21" ht="14.1" customHeight="1" x14ac:dyDescent="0.2">
      <c r="A298" s="252">
        <v>7</v>
      </c>
      <c r="B298" s="312"/>
      <c r="C298" s="267">
        <v>34632</v>
      </c>
      <c r="D298" s="252" t="s">
        <v>165</v>
      </c>
      <c r="F298" s="313">
        <v>2.8</v>
      </c>
      <c r="G298" s="260"/>
      <c r="H298" s="655">
        <v>1455592.35</v>
      </c>
      <c r="I298" s="733"/>
      <c r="J298" s="734">
        <v>0</v>
      </c>
      <c r="K298" s="277"/>
      <c r="L298" s="734">
        <v>0</v>
      </c>
      <c r="M298" s="277"/>
      <c r="N298" s="734">
        <v>0</v>
      </c>
      <c r="O298" s="277"/>
      <c r="P298" s="734">
        <v>1455592.35</v>
      </c>
      <c r="Q298" s="277"/>
      <c r="R298" s="734">
        <v>1455592.35</v>
      </c>
      <c r="S298" s="262"/>
      <c r="U298" s="283"/>
    </row>
    <row r="299" spans="1:21" ht="14.1" customHeight="1" x14ac:dyDescent="0.2">
      <c r="A299" s="252">
        <v>8</v>
      </c>
      <c r="B299" s="312"/>
      <c r="C299" s="269"/>
      <c r="D299" s="279" t="s">
        <v>229</v>
      </c>
      <c r="F299" s="313"/>
      <c r="H299" s="658">
        <v>457650859.32000005</v>
      </c>
      <c r="I299" s="733"/>
      <c r="J299" s="736">
        <v>8469178.1999999993</v>
      </c>
      <c r="K299" s="733"/>
      <c r="L299" s="736">
        <v>-1913167.2400000002</v>
      </c>
      <c r="M299" s="733"/>
      <c r="N299" s="736">
        <v>0</v>
      </c>
      <c r="O299" s="733"/>
      <c r="P299" s="736">
        <v>464206870.28000009</v>
      </c>
      <c r="Q299" s="733"/>
      <c r="R299" s="736">
        <v>461992232.08153856</v>
      </c>
      <c r="S299" s="262"/>
      <c r="U299" s="283"/>
    </row>
    <row r="300" spans="1:21" ht="14.1" customHeight="1" x14ac:dyDescent="0.2">
      <c r="A300" s="252">
        <v>9</v>
      </c>
      <c r="B300" s="312"/>
      <c r="H300" s="602"/>
      <c r="I300" s="277"/>
      <c r="J300" s="277"/>
      <c r="K300" s="277"/>
      <c r="L300" s="277"/>
      <c r="M300" s="277"/>
      <c r="N300" s="277"/>
      <c r="O300" s="277"/>
      <c r="P300" s="277"/>
      <c r="Q300" s="277"/>
      <c r="R300" s="277"/>
      <c r="S300" s="262"/>
      <c r="U300" s="283"/>
    </row>
    <row r="301" spans="1:21" ht="14.1" customHeight="1" x14ac:dyDescent="0.2">
      <c r="A301" s="252">
        <v>10</v>
      </c>
      <c r="B301" s="312"/>
      <c r="C301" s="269"/>
      <c r="D301" s="279" t="s">
        <v>230</v>
      </c>
      <c r="H301" s="602"/>
      <c r="I301" s="733"/>
      <c r="J301" s="277"/>
      <c r="K301" s="733"/>
      <c r="L301" s="277"/>
      <c r="M301" s="733"/>
      <c r="N301" s="277"/>
      <c r="O301" s="733"/>
      <c r="P301" s="277"/>
      <c r="Q301" s="733"/>
      <c r="R301" s="277"/>
      <c r="S301" s="262"/>
      <c r="U301" s="283"/>
    </row>
    <row r="302" spans="1:21" ht="14.1" customHeight="1" x14ac:dyDescent="0.2">
      <c r="A302" s="252">
        <v>11</v>
      </c>
      <c r="B302" s="312"/>
      <c r="C302" s="267">
        <v>34133</v>
      </c>
      <c r="D302" s="252" t="s">
        <v>1408</v>
      </c>
      <c r="F302" s="313">
        <v>2.6</v>
      </c>
      <c r="G302" s="260"/>
      <c r="H302" s="655">
        <v>656349.29</v>
      </c>
      <c r="I302" s="733"/>
      <c r="J302" s="734">
        <v>0</v>
      </c>
      <c r="K302" s="277"/>
      <c r="L302" s="734">
        <v>0</v>
      </c>
      <c r="M302" s="277"/>
      <c r="N302" s="734">
        <v>0</v>
      </c>
      <c r="O302" s="277"/>
      <c r="P302" s="734">
        <v>656349.29</v>
      </c>
      <c r="Q302" s="277"/>
      <c r="R302" s="734">
        <v>656349.28999999992</v>
      </c>
      <c r="S302" s="262"/>
      <c r="U302" s="283"/>
    </row>
    <row r="303" spans="1:21" ht="14.1" customHeight="1" x14ac:dyDescent="0.2">
      <c r="A303" s="252">
        <v>12</v>
      </c>
      <c r="B303" s="312"/>
      <c r="C303" s="267">
        <v>34233</v>
      </c>
      <c r="D303" s="252" t="s">
        <v>1410</v>
      </c>
      <c r="F303" s="313">
        <v>3.6000000000000005</v>
      </c>
      <c r="G303" s="260"/>
      <c r="H303" s="655">
        <v>3389689.5699999994</v>
      </c>
      <c r="I303" s="733"/>
      <c r="J303" s="734">
        <v>0</v>
      </c>
      <c r="K303" s="277"/>
      <c r="L303" s="734">
        <v>0</v>
      </c>
      <c r="M303" s="277"/>
      <c r="N303" s="734">
        <v>0</v>
      </c>
      <c r="O303" s="277"/>
      <c r="P303" s="734">
        <v>3389689.5699999994</v>
      </c>
      <c r="Q303" s="277"/>
      <c r="R303" s="734">
        <v>3389689.57</v>
      </c>
      <c r="S303" s="262"/>
      <c r="U303" s="283"/>
    </row>
    <row r="304" spans="1:21" ht="14.1" customHeight="1" x14ac:dyDescent="0.2">
      <c r="A304" s="252">
        <v>13</v>
      </c>
      <c r="B304" s="312"/>
      <c r="C304" s="267">
        <v>34333</v>
      </c>
      <c r="D304" s="252" t="s">
        <v>207</v>
      </c>
      <c r="F304" s="313">
        <v>4</v>
      </c>
      <c r="G304" s="260"/>
      <c r="H304" s="655">
        <v>15422171.260000002</v>
      </c>
      <c r="I304" s="733"/>
      <c r="J304" s="734">
        <v>103713.55</v>
      </c>
      <c r="K304" s="277"/>
      <c r="L304" s="734">
        <v>-67181.61</v>
      </c>
      <c r="M304" s="277"/>
      <c r="N304" s="734">
        <v>0</v>
      </c>
      <c r="O304" s="277"/>
      <c r="P304" s="734">
        <v>15458703.200000003</v>
      </c>
      <c r="Q304" s="277"/>
      <c r="R304" s="734">
        <v>15424981.409230769</v>
      </c>
      <c r="S304" s="262"/>
      <c r="U304" s="283"/>
    </row>
    <row r="305" spans="1:21" ht="14.1" customHeight="1" x14ac:dyDescent="0.2">
      <c r="A305" s="252">
        <v>14</v>
      </c>
      <c r="B305" s="312"/>
      <c r="C305" s="267">
        <v>34533</v>
      </c>
      <c r="D305" s="252" t="s">
        <v>1409</v>
      </c>
      <c r="F305" s="313">
        <v>4</v>
      </c>
      <c r="G305" s="260"/>
      <c r="H305" s="655">
        <v>13966336.740000002</v>
      </c>
      <c r="I305" s="733"/>
      <c r="J305" s="734">
        <v>188956.36000000002</v>
      </c>
      <c r="K305" s="277"/>
      <c r="L305" s="734">
        <v>0</v>
      </c>
      <c r="M305" s="277"/>
      <c r="N305" s="734">
        <v>0</v>
      </c>
      <c r="O305" s="277"/>
      <c r="P305" s="734">
        <v>14155293.100000001</v>
      </c>
      <c r="Q305" s="277"/>
      <c r="R305" s="734">
        <v>14009942.053846158</v>
      </c>
      <c r="S305" s="262"/>
      <c r="U305" s="283"/>
    </row>
    <row r="306" spans="1:21" ht="14.1" customHeight="1" x14ac:dyDescent="0.2">
      <c r="A306" s="252">
        <v>15</v>
      </c>
      <c r="B306" s="312"/>
      <c r="C306" s="267">
        <v>34633</v>
      </c>
      <c r="D306" s="252" t="s">
        <v>165</v>
      </c>
      <c r="F306" s="313">
        <v>4</v>
      </c>
      <c r="G306" s="260"/>
      <c r="H306" s="655">
        <v>904.61</v>
      </c>
      <c r="I306" s="733"/>
      <c r="J306" s="734">
        <v>0</v>
      </c>
      <c r="K306" s="277"/>
      <c r="L306" s="734">
        <v>0</v>
      </c>
      <c r="M306" s="277"/>
      <c r="N306" s="734">
        <v>0</v>
      </c>
      <c r="O306" s="277"/>
      <c r="P306" s="734">
        <v>904.61</v>
      </c>
      <c r="Q306" s="277"/>
      <c r="R306" s="734">
        <v>904.61</v>
      </c>
      <c r="S306" s="262"/>
      <c r="U306" s="283"/>
    </row>
    <row r="307" spans="1:21" ht="14.1" customHeight="1" x14ac:dyDescent="0.2">
      <c r="A307" s="252">
        <v>16</v>
      </c>
      <c r="B307" s="312"/>
      <c r="D307" s="279" t="s">
        <v>231</v>
      </c>
      <c r="F307" s="313"/>
      <c r="H307" s="658">
        <v>33435451.470000003</v>
      </c>
      <c r="I307" s="733"/>
      <c r="J307" s="736">
        <v>292669.91000000003</v>
      </c>
      <c r="K307" s="733"/>
      <c r="L307" s="736">
        <v>-67181.61</v>
      </c>
      <c r="M307" s="733"/>
      <c r="N307" s="736">
        <v>0</v>
      </c>
      <c r="O307" s="733"/>
      <c r="P307" s="736">
        <v>33660939.770000003</v>
      </c>
      <c r="Q307" s="733"/>
      <c r="R307" s="736">
        <v>33481866.933076926</v>
      </c>
      <c r="S307" s="262"/>
      <c r="U307" s="283"/>
    </row>
    <row r="308" spans="1:21" ht="14.1" customHeight="1" x14ac:dyDescent="0.2">
      <c r="A308" s="252">
        <v>17</v>
      </c>
      <c r="B308" s="312"/>
      <c r="H308" s="602"/>
      <c r="I308" s="277"/>
      <c r="J308" s="277"/>
      <c r="K308" s="277"/>
      <c r="L308" s="277"/>
      <c r="M308" s="277"/>
      <c r="N308" s="277"/>
      <c r="O308" s="277"/>
      <c r="P308" s="277"/>
      <c r="Q308" s="277"/>
      <c r="R308" s="277"/>
      <c r="S308" s="262"/>
      <c r="U308" s="283"/>
    </row>
    <row r="309" spans="1:21" ht="14.1" customHeight="1" x14ac:dyDescent="0.2">
      <c r="A309" s="252">
        <v>18</v>
      </c>
      <c r="B309" s="312"/>
      <c r="C309" s="269"/>
      <c r="D309" s="279" t="s">
        <v>232</v>
      </c>
      <c r="H309" s="602"/>
      <c r="I309" s="733"/>
      <c r="J309" s="277"/>
      <c r="K309" s="733"/>
      <c r="L309" s="277"/>
      <c r="M309" s="733"/>
      <c r="N309" s="277"/>
      <c r="O309" s="733"/>
      <c r="P309" s="277"/>
      <c r="Q309" s="733"/>
      <c r="R309" s="277"/>
      <c r="S309" s="262"/>
      <c r="U309" s="283"/>
    </row>
    <row r="310" spans="1:21" ht="14.1" customHeight="1" x14ac:dyDescent="0.2">
      <c r="A310" s="252">
        <v>19</v>
      </c>
      <c r="B310" s="312"/>
      <c r="C310" s="267">
        <v>34134</v>
      </c>
      <c r="D310" s="252" t="s">
        <v>1408</v>
      </c>
      <c r="F310" s="313">
        <v>2.6</v>
      </c>
      <c r="G310" s="260"/>
      <c r="H310" s="655">
        <v>242333.96</v>
      </c>
      <c r="I310" s="733"/>
      <c r="J310" s="734">
        <v>0</v>
      </c>
      <c r="K310" s="277"/>
      <c r="L310" s="734">
        <v>0</v>
      </c>
      <c r="M310" s="277"/>
      <c r="N310" s="734">
        <v>0</v>
      </c>
      <c r="O310" s="277"/>
      <c r="P310" s="734">
        <v>242333.96</v>
      </c>
      <c r="Q310" s="277"/>
      <c r="R310" s="734">
        <v>242333.96</v>
      </c>
      <c r="S310" s="262"/>
      <c r="U310" s="283"/>
    </row>
    <row r="311" spans="1:21" ht="14.1" customHeight="1" x14ac:dyDescent="0.2">
      <c r="A311" s="252">
        <v>20</v>
      </c>
      <c r="B311" s="312"/>
      <c r="C311" s="267">
        <v>34234</v>
      </c>
      <c r="D311" s="252" t="s">
        <v>1410</v>
      </c>
      <c r="F311" s="313">
        <v>3.6000000000000005</v>
      </c>
      <c r="G311" s="260"/>
      <c r="H311" s="655">
        <v>3362086.7600000002</v>
      </c>
      <c r="I311" s="733"/>
      <c r="J311" s="734">
        <v>0</v>
      </c>
      <c r="K311" s="277"/>
      <c r="L311" s="734">
        <v>0</v>
      </c>
      <c r="M311" s="277"/>
      <c r="N311" s="734">
        <v>0</v>
      </c>
      <c r="O311" s="277"/>
      <c r="P311" s="734">
        <v>3362086.7600000002</v>
      </c>
      <c r="Q311" s="277"/>
      <c r="R311" s="734">
        <v>3362086.7600000002</v>
      </c>
      <c r="S311" s="262"/>
      <c r="U311" s="283"/>
    </row>
    <row r="312" spans="1:21" ht="14.1" customHeight="1" x14ac:dyDescent="0.2">
      <c r="A312" s="252">
        <v>21</v>
      </c>
      <c r="B312" s="312"/>
      <c r="C312" s="267">
        <v>34334</v>
      </c>
      <c r="D312" s="252" t="s">
        <v>207</v>
      </c>
      <c r="F312" s="313">
        <v>4</v>
      </c>
      <c r="G312" s="260"/>
      <c r="H312" s="655">
        <v>15839920.229999999</v>
      </c>
      <c r="I312" s="733"/>
      <c r="J312" s="734">
        <v>122350.7</v>
      </c>
      <c r="K312" s="277"/>
      <c r="L312" s="734">
        <v>-79254.040000000008</v>
      </c>
      <c r="M312" s="277"/>
      <c r="N312" s="734">
        <v>0</v>
      </c>
      <c r="O312" s="277"/>
      <c r="P312" s="734">
        <v>15883016.889999999</v>
      </c>
      <c r="Q312" s="277"/>
      <c r="R312" s="734">
        <v>15849862.764615385</v>
      </c>
      <c r="S312" s="262"/>
      <c r="U312" s="283"/>
    </row>
    <row r="313" spans="1:21" ht="14.1" customHeight="1" x14ac:dyDescent="0.2">
      <c r="A313" s="252">
        <v>22</v>
      </c>
      <c r="B313" s="312"/>
      <c r="C313" s="267">
        <v>34534</v>
      </c>
      <c r="D313" s="252" t="s">
        <v>1409</v>
      </c>
      <c r="F313" s="313">
        <v>4</v>
      </c>
      <c r="G313" s="260"/>
      <c r="H313" s="655">
        <v>4041455.86</v>
      </c>
      <c r="I313" s="733"/>
      <c r="J313" s="734">
        <v>127543.14</v>
      </c>
      <c r="K313" s="277"/>
      <c r="L313" s="734">
        <v>0</v>
      </c>
      <c r="M313" s="277"/>
      <c r="N313" s="734">
        <v>0</v>
      </c>
      <c r="O313" s="277"/>
      <c r="P313" s="734">
        <v>4168999</v>
      </c>
      <c r="Q313" s="277"/>
      <c r="R313" s="734">
        <v>4070888.8923076922</v>
      </c>
      <c r="S313" s="262"/>
      <c r="U313" s="283"/>
    </row>
    <row r="314" spans="1:21" ht="14.1" customHeight="1" x14ac:dyDescent="0.2">
      <c r="A314" s="252">
        <v>23</v>
      </c>
      <c r="B314" s="312"/>
      <c r="C314" s="267">
        <v>34634</v>
      </c>
      <c r="D314" s="252" t="s">
        <v>165</v>
      </c>
      <c r="F314" s="313">
        <v>4</v>
      </c>
      <c r="G314" s="260"/>
      <c r="H314" s="655">
        <v>904.61</v>
      </c>
      <c r="I314" s="733"/>
      <c r="J314" s="734">
        <v>0</v>
      </c>
      <c r="K314" s="277"/>
      <c r="L314" s="734">
        <v>0</v>
      </c>
      <c r="M314" s="277"/>
      <c r="N314" s="734">
        <v>0</v>
      </c>
      <c r="O314" s="277"/>
      <c r="P314" s="734">
        <v>904.61</v>
      </c>
      <c r="Q314" s="277"/>
      <c r="R314" s="734">
        <v>904.61</v>
      </c>
      <c r="S314" s="262"/>
      <c r="U314" s="283"/>
    </row>
    <row r="315" spans="1:21" ht="14.1" customHeight="1" x14ac:dyDescent="0.2">
      <c r="A315" s="252">
        <v>24</v>
      </c>
      <c r="B315" s="312"/>
      <c r="C315" s="269"/>
      <c r="D315" s="279" t="s">
        <v>233</v>
      </c>
      <c r="F315" s="313"/>
      <c r="H315" s="658">
        <v>23486701.419999998</v>
      </c>
      <c r="I315" s="733"/>
      <c r="J315" s="736">
        <v>249893.84</v>
      </c>
      <c r="K315" s="733"/>
      <c r="L315" s="736">
        <v>-79254.040000000008</v>
      </c>
      <c r="M315" s="733"/>
      <c r="N315" s="736">
        <v>0</v>
      </c>
      <c r="O315" s="733"/>
      <c r="P315" s="736">
        <v>23657341.219999999</v>
      </c>
      <c r="Q315" s="733"/>
      <c r="R315" s="736">
        <v>23526076.986923076</v>
      </c>
      <c r="S315" s="262"/>
      <c r="U315" s="283"/>
    </row>
    <row r="316" spans="1:21" ht="14.1" customHeight="1" x14ac:dyDescent="0.2">
      <c r="A316" s="252">
        <v>25</v>
      </c>
      <c r="B316" s="312"/>
      <c r="H316" s="602"/>
      <c r="I316" s="277"/>
      <c r="J316" s="277"/>
      <c r="K316" s="277"/>
      <c r="L316" s="277"/>
      <c r="M316" s="277"/>
      <c r="N316" s="277"/>
      <c r="O316" s="277"/>
      <c r="P316" s="277"/>
      <c r="Q316" s="277"/>
      <c r="R316" s="277"/>
      <c r="S316" s="262"/>
      <c r="U316" s="283"/>
    </row>
    <row r="317" spans="1:21" ht="14.1" customHeight="1" x14ac:dyDescent="0.2">
      <c r="A317" s="252">
        <v>26</v>
      </c>
      <c r="B317" s="312"/>
      <c r="C317" s="284"/>
      <c r="D317" s="279" t="s">
        <v>234</v>
      </c>
      <c r="E317" s="269"/>
      <c r="F317" s="318"/>
      <c r="G317" s="318"/>
      <c r="H317" s="655"/>
      <c r="I317" s="753"/>
      <c r="J317" s="734"/>
      <c r="K317" s="753"/>
      <c r="L317" s="753"/>
      <c r="M317" s="753"/>
      <c r="N317" s="753"/>
      <c r="O317" s="753"/>
      <c r="P317" s="753"/>
      <c r="Q317" s="753"/>
      <c r="R317" s="753"/>
      <c r="S317" s="262"/>
      <c r="U317" s="283"/>
    </row>
    <row r="318" spans="1:21" ht="14.1" customHeight="1" x14ac:dyDescent="0.2">
      <c r="A318" s="252">
        <v>27</v>
      </c>
      <c r="B318" s="312"/>
      <c r="C318" s="267">
        <v>34135</v>
      </c>
      <c r="D318" s="252" t="s">
        <v>1408</v>
      </c>
      <c r="E318" s="269"/>
      <c r="F318" s="313">
        <v>2.6</v>
      </c>
      <c r="G318" s="260"/>
      <c r="H318" s="655">
        <v>793114.26</v>
      </c>
      <c r="I318" s="733"/>
      <c r="J318" s="734">
        <v>0</v>
      </c>
      <c r="K318" s="277"/>
      <c r="L318" s="734">
        <v>0</v>
      </c>
      <c r="M318" s="277"/>
      <c r="N318" s="734">
        <v>0</v>
      </c>
      <c r="O318" s="277"/>
      <c r="P318" s="734">
        <v>793114.26</v>
      </c>
      <c r="Q318" s="277"/>
      <c r="R318" s="734">
        <v>793114.25999999989</v>
      </c>
      <c r="S318" s="262"/>
      <c r="U318" s="283"/>
    </row>
    <row r="319" spans="1:21" ht="14.1" customHeight="1" x14ac:dyDescent="0.2">
      <c r="A319" s="252">
        <v>28</v>
      </c>
      <c r="B319" s="312"/>
      <c r="C319" s="267">
        <v>34235</v>
      </c>
      <c r="D319" s="252" t="s">
        <v>1410</v>
      </c>
      <c r="E319" s="269"/>
      <c r="F319" s="313">
        <v>3.6000000000000005</v>
      </c>
      <c r="G319" s="260"/>
      <c r="H319" s="655">
        <v>2008466.75</v>
      </c>
      <c r="I319" s="733"/>
      <c r="J319" s="734">
        <v>37617.910000000003</v>
      </c>
      <c r="K319" s="277"/>
      <c r="L319" s="734">
        <v>0</v>
      </c>
      <c r="M319" s="277"/>
      <c r="N319" s="734">
        <v>0</v>
      </c>
      <c r="O319" s="277"/>
      <c r="P319" s="734">
        <v>2046084.66</v>
      </c>
      <c r="Q319" s="277"/>
      <c r="R319" s="734">
        <v>2043190.9746153848</v>
      </c>
      <c r="S319" s="262"/>
      <c r="U319" s="283"/>
    </row>
    <row r="320" spans="1:21" ht="14.1" customHeight="1" x14ac:dyDescent="0.2">
      <c r="A320" s="252">
        <v>29</v>
      </c>
      <c r="B320" s="312"/>
      <c r="C320" s="267">
        <v>34335</v>
      </c>
      <c r="D320" s="252" t="s">
        <v>207</v>
      </c>
      <c r="E320" s="269"/>
      <c r="F320" s="313">
        <v>4</v>
      </c>
      <c r="G320" s="260"/>
      <c r="H320" s="655">
        <v>18588288.959999997</v>
      </c>
      <c r="I320" s="733"/>
      <c r="J320" s="734">
        <v>99059.06</v>
      </c>
      <c r="K320" s="277"/>
      <c r="L320" s="734">
        <v>-64166.61</v>
      </c>
      <c r="M320" s="277"/>
      <c r="N320" s="734">
        <v>0</v>
      </c>
      <c r="O320" s="277"/>
      <c r="P320" s="734">
        <v>18623181.409999996</v>
      </c>
      <c r="Q320" s="277"/>
      <c r="R320" s="734">
        <v>18590972.994615383</v>
      </c>
      <c r="S320" s="262"/>
      <c r="U320" s="283"/>
    </row>
    <row r="321" spans="1:21" ht="14.1" customHeight="1" x14ac:dyDescent="0.2">
      <c r="A321" s="252">
        <v>30</v>
      </c>
      <c r="B321" s="312"/>
      <c r="C321" s="267">
        <v>34535</v>
      </c>
      <c r="D321" s="252" t="s">
        <v>1409</v>
      </c>
      <c r="E321" s="269"/>
      <c r="F321" s="313">
        <v>4</v>
      </c>
      <c r="G321" s="260"/>
      <c r="H321" s="655">
        <v>10147530.66</v>
      </c>
      <c r="I321" s="733"/>
      <c r="J321" s="734">
        <v>203516.29</v>
      </c>
      <c r="K321" s="277"/>
      <c r="L321" s="734">
        <v>0</v>
      </c>
      <c r="M321" s="277"/>
      <c r="N321" s="734">
        <v>0</v>
      </c>
      <c r="O321" s="277"/>
      <c r="P321" s="734">
        <v>10351046.949999999</v>
      </c>
      <c r="Q321" s="277"/>
      <c r="R321" s="734">
        <v>10194495.957692306</v>
      </c>
      <c r="S321" s="262"/>
      <c r="U321" s="283"/>
    </row>
    <row r="322" spans="1:21" ht="14.1" customHeight="1" x14ac:dyDescent="0.2">
      <c r="A322" s="252">
        <v>31</v>
      </c>
      <c r="B322" s="312"/>
      <c r="C322" s="267">
        <v>34635</v>
      </c>
      <c r="D322" s="252" t="s">
        <v>165</v>
      </c>
      <c r="F322" s="313">
        <v>4</v>
      </c>
      <c r="G322" s="260"/>
      <c r="H322" s="655">
        <v>0</v>
      </c>
      <c r="I322" s="733"/>
      <c r="J322" s="734">
        <v>0</v>
      </c>
      <c r="K322" s="277"/>
      <c r="L322" s="734">
        <v>0</v>
      </c>
      <c r="M322" s="277"/>
      <c r="N322" s="734">
        <v>0</v>
      </c>
      <c r="O322" s="277"/>
      <c r="P322" s="734">
        <v>0</v>
      </c>
      <c r="Q322" s="277"/>
      <c r="R322" s="734">
        <v>0</v>
      </c>
      <c r="S322" s="262"/>
      <c r="U322" s="283"/>
    </row>
    <row r="323" spans="1:21" ht="14.1" customHeight="1" x14ac:dyDescent="0.2">
      <c r="A323" s="252">
        <v>32</v>
      </c>
      <c r="B323" s="312"/>
      <c r="C323" s="269"/>
      <c r="D323" s="279" t="s">
        <v>235</v>
      </c>
      <c r="E323" s="269"/>
      <c r="F323" s="313"/>
      <c r="H323" s="658">
        <v>31537400.629999999</v>
      </c>
      <c r="I323" s="733"/>
      <c r="J323" s="736">
        <v>340193.26</v>
      </c>
      <c r="K323" s="733"/>
      <c r="L323" s="736">
        <v>-64166.61</v>
      </c>
      <c r="M323" s="733"/>
      <c r="N323" s="736">
        <v>0</v>
      </c>
      <c r="O323" s="733"/>
      <c r="P323" s="736">
        <v>31813427.279999997</v>
      </c>
      <c r="Q323" s="733"/>
      <c r="R323" s="736">
        <v>31621774.186923075</v>
      </c>
      <c r="S323" s="262"/>
      <c r="U323" s="283"/>
    </row>
    <row r="324" spans="1:21" ht="14.1" customHeight="1" x14ac:dyDescent="0.2">
      <c r="A324" s="252">
        <v>33</v>
      </c>
      <c r="B324" s="312"/>
      <c r="H324" s="602"/>
      <c r="I324" s="277"/>
      <c r="J324" s="277"/>
      <c r="K324" s="277"/>
      <c r="L324" s="277"/>
      <c r="M324" s="277"/>
      <c r="N324" s="277"/>
      <c r="O324" s="277"/>
      <c r="P324" s="277"/>
      <c r="Q324" s="277"/>
      <c r="R324" s="277"/>
      <c r="S324" s="262"/>
      <c r="U324" s="283"/>
    </row>
    <row r="325" spans="1:21" ht="14.1" customHeight="1" x14ac:dyDescent="0.2">
      <c r="A325" s="252">
        <v>34</v>
      </c>
      <c r="B325" s="312"/>
      <c r="H325" s="602"/>
      <c r="I325" s="277"/>
      <c r="J325" s="277"/>
      <c r="K325" s="277"/>
      <c r="L325" s="277"/>
      <c r="M325" s="277"/>
      <c r="N325" s="277"/>
      <c r="O325" s="277"/>
      <c r="P325" s="277"/>
      <c r="Q325" s="277"/>
      <c r="R325" s="277"/>
      <c r="S325" s="262"/>
      <c r="U325" s="283"/>
    </row>
    <row r="326" spans="1:21" ht="14.1" customHeight="1" x14ac:dyDescent="0.2">
      <c r="A326" s="252">
        <v>35</v>
      </c>
      <c r="B326" s="312"/>
      <c r="S326" s="262"/>
      <c r="U326" s="283"/>
    </row>
    <row r="327" spans="1:21" s="83" customFormat="1" ht="14.1" customHeight="1" x14ac:dyDescent="0.2">
      <c r="A327" s="252">
        <v>36</v>
      </c>
      <c r="B327" s="328"/>
      <c r="S327" s="109"/>
      <c r="U327" s="297"/>
    </row>
    <row r="328" spans="1:21" ht="14.1" customHeight="1" x14ac:dyDescent="0.2">
      <c r="A328" s="252">
        <v>37</v>
      </c>
      <c r="B328" s="312"/>
      <c r="S328" s="262"/>
      <c r="U328" s="283"/>
    </row>
    <row r="329" spans="1:21" ht="14.1" customHeight="1" x14ac:dyDescent="0.2">
      <c r="A329" s="252">
        <v>38</v>
      </c>
      <c r="B329" s="312"/>
      <c r="H329" s="283"/>
      <c r="S329" s="262"/>
      <c r="U329" s="283"/>
    </row>
    <row r="330" spans="1:21" ht="14.1" customHeight="1" x14ac:dyDescent="0.2">
      <c r="A330" s="252">
        <v>39</v>
      </c>
      <c r="B330" s="312"/>
      <c r="H330" s="283"/>
      <c r="S330" s="262"/>
      <c r="U330" s="283"/>
    </row>
    <row r="331" spans="1:21" ht="14.1" customHeight="1" x14ac:dyDescent="0.2">
      <c r="A331" s="252">
        <v>40</v>
      </c>
      <c r="B331" s="312"/>
      <c r="H331" s="283"/>
      <c r="S331" s="262"/>
      <c r="U331" s="283"/>
    </row>
    <row r="332" spans="1:21" ht="14.1" customHeight="1" x14ac:dyDescent="0.2">
      <c r="A332" s="252">
        <v>41</v>
      </c>
      <c r="B332" s="312"/>
      <c r="H332" s="283"/>
      <c r="S332" s="262"/>
      <c r="U332" s="283"/>
    </row>
    <row r="333" spans="1:21" ht="14.1" customHeight="1" x14ac:dyDescent="0.2">
      <c r="A333" s="252">
        <v>42</v>
      </c>
      <c r="B333" s="312"/>
      <c r="H333" s="283"/>
      <c r="S333" s="262"/>
      <c r="U333" s="283"/>
    </row>
    <row r="334" spans="1:21" ht="14.1" customHeight="1" x14ac:dyDescent="0.2">
      <c r="A334" s="252">
        <v>43</v>
      </c>
      <c r="B334" s="312"/>
      <c r="H334" s="283"/>
      <c r="S334" s="262"/>
      <c r="U334" s="283"/>
    </row>
    <row r="335" spans="1:21" ht="14.1" customHeight="1" thickBot="1" x14ac:dyDescent="0.25">
      <c r="A335" s="252">
        <v>44</v>
      </c>
      <c r="B335" s="742" t="s">
        <v>186</v>
      </c>
      <c r="C335" s="264"/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  <c r="R335" s="264"/>
      <c r="S335" s="262"/>
      <c r="U335" s="283"/>
    </row>
    <row r="336" spans="1:21" ht="14.1" customHeight="1" x14ac:dyDescent="0.2">
      <c r="A336" s="252" t="s">
        <v>60</v>
      </c>
      <c r="P336" s="252" t="s">
        <v>60</v>
      </c>
      <c r="S336" s="262"/>
      <c r="U336" s="283"/>
    </row>
    <row r="337" spans="1:21" ht="14.1" customHeight="1" thickBot="1" x14ac:dyDescent="0.25">
      <c r="A337" s="264" t="s">
        <v>127</v>
      </c>
      <c r="B337" s="264"/>
      <c r="C337" s="264"/>
      <c r="D337" s="264"/>
      <c r="E337" s="264"/>
      <c r="F337" s="264"/>
      <c r="G337" s="264" t="s">
        <v>128</v>
      </c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  <c r="R337" s="264" t="s">
        <v>329</v>
      </c>
      <c r="S337" s="262"/>
      <c r="U337" s="283"/>
    </row>
    <row r="338" spans="1:21" ht="14.1" customHeight="1" x14ac:dyDescent="0.2">
      <c r="A338" s="252" t="s">
        <v>129</v>
      </c>
      <c r="B338" s="285"/>
      <c r="E338" s="260" t="s">
        <v>130</v>
      </c>
      <c r="F338" s="252" t="s">
        <v>1405</v>
      </c>
      <c r="J338" s="286"/>
      <c r="K338" s="286"/>
      <c r="M338" s="286"/>
      <c r="N338" s="286"/>
      <c r="O338" s="286" t="s">
        <v>187</v>
      </c>
      <c r="R338" s="261"/>
      <c r="S338" s="262"/>
      <c r="U338" s="283"/>
    </row>
    <row r="339" spans="1:21" ht="14.1" customHeight="1" x14ac:dyDescent="0.2">
      <c r="B339" s="285"/>
      <c r="F339" s="252" t="s">
        <v>1406</v>
      </c>
      <c r="J339" s="260"/>
      <c r="K339" s="261"/>
      <c r="N339" s="260"/>
      <c r="O339" s="260" t="s">
        <v>123</v>
      </c>
      <c r="P339" s="261" t="s">
        <v>1407</v>
      </c>
      <c r="R339" s="260"/>
      <c r="S339" s="262"/>
      <c r="U339" s="283"/>
    </row>
    <row r="340" spans="1:21" ht="14.1" customHeight="1" x14ac:dyDescent="0.2">
      <c r="A340" s="252" t="s">
        <v>134</v>
      </c>
      <c r="B340" s="285"/>
      <c r="F340" s="252" t="s">
        <v>123</v>
      </c>
      <c r="J340" s="260"/>
      <c r="K340" s="261"/>
      <c r="L340" s="260"/>
      <c r="O340" s="260" t="s">
        <v>123</v>
      </c>
      <c r="P340" s="261"/>
      <c r="R340" s="260"/>
      <c r="S340" s="262"/>
      <c r="U340" s="283"/>
    </row>
    <row r="341" spans="1:21" ht="14.1" customHeight="1" x14ac:dyDescent="0.2">
      <c r="B341" s="285"/>
      <c r="F341" s="252" t="s">
        <v>123</v>
      </c>
      <c r="J341" s="260"/>
      <c r="K341" s="261"/>
      <c r="L341" s="260"/>
      <c r="O341" s="260" t="s">
        <v>123</v>
      </c>
      <c r="P341" s="261"/>
      <c r="R341" s="260"/>
      <c r="S341" s="262"/>
      <c r="U341" s="283"/>
    </row>
    <row r="342" spans="1:21" ht="14.1" customHeight="1" thickBot="1" x14ac:dyDescent="0.25">
      <c r="A342" s="264" t="s">
        <v>135</v>
      </c>
      <c r="B342" s="287"/>
      <c r="C342" s="264"/>
      <c r="D342" s="264"/>
      <c r="E342" s="264"/>
      <c r="F342" s="264" t="s">
        <v>123</v>
      </c>
      <c r="G342" s="264"/>
      <c r="H342" s="266"/>
      <c r="I342" s="264"/>
      <c r="J342" s="264"/>
      <c r="K342" s="264"/>
      <c r="L342" s="264"/>
      <c r="M342" s="264"/>
      <c r="N342" s="264"/>
      <c r="O342" s="264"/>
      <c r="P342" s="288"/>
      <c r="Q342" s="264"/>
      <c r="R342" s="264"/>
      <c r="S342" s="262"/>
      <c r="U342" s="283"/>
    </row>
    <row r="343" spans="1:21" ht="14.1" customHeight="1" x14ac:dyDescent="0.2"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2"/>
      <c r="U343" s="283"/>
    </row>
    <row r="344" spans="1:21" ht="14.1" customHeight="1" x14ac:dyDescent="0.2">
      <c r="C344" s="267" t="s">
        <v>136</v>
      </c>
      <c r="D344" s="267" t="s">
        <v>137</v>
      </c>
      <c r="E344" s="267"/>
      <c r="F344" s="267" t="s">
        <v>138</v>
      </c>
      <c r="G344" s="267"/>
      <c r="H344" s="267" t="s">
        <v>139</v>
      </c>
      <c r="I344" s="267"/>
      <c r="J344" s="269" t="s">
        <v>140</v>
      </c>
      <c r="K344" s="269"/>
      <c r="L344" s="267" t="s">
        <v>141</v>
      </c>
      <c r="M344" s="267"/>
      <c r="N344" s="267" t="s">
        <v>142</v>
      </c>
      <c r="O344" s="267"/>
      <c r="P344" s="267" t="s">
        <v>143</v>
      </c>
      <c r="Q344" s="267"/>
      <c r="R344" s="267" t="s">
        <v>144</v>
      </c>
      <c r="S344" s="262"/>
      <c r="U344" s="283"/>
    </row>
    <row r="345" spans="1:21" ht="14.1" customHeight="1" x14ac:dyDescent="0.2">
      <c r="C345" s="269" t="s">
        <v>145</v>
      </c>
      <c r="D345" s="269" t="s">
        <v>145</v>
      </c>
      <c r="F345" s="269" t="s">
        <v>6</v>
      </c>
      <c r="G345" s="269"/>
      <c r="H345" s="267" t="s">
        <v>48</v>
      </c>
      <c r="I345" s="269"/>
      <c r="J345" s="267" t="s">
        <v>40</v>
      </c>
      <c r="K345" s="269"/>
      <c r="L345" s="269" t="s">
        <v>40</v>
      </c>
      <c r="M345" s="269"/>
      <c r="P345" s="269" t="s">
        <v>48</v>
      </c>
      <c r="R345" s="269"/>
      <c r="S345" s="262"/>
      <c r="U345" s="283"/>
    </row>
    <row r="346" spans="1:21" ht="14.1" customHeight="1" x14ac:dyDescent="0.2">
      <c r="A346" s="252" t="s">
        <v>146</v>
      </c>
      <c r="B346" s="269"/>
      <c r="C346" s="269" t="s">
        <v>147</v>
      </c>
      <c r="D346" s="269" t="s">
        <v>147</v>
      </c>
      <c r="E346" s="267"/>
      <c r="F346" s="269" t="s">
        <v>148</v>
      </c>
      <c r="G346" s="269"/>
      <c r="H346" s="269" t="s">
        <v>149</v>
      </c>
      <c r="I346" s="269"/>
      <c r="J346" s="269" t="s">
        <v>48</v>
      </c>
      <c r="K346" s="267"/>
      <c r="L346" s="269" t="s">
        <v>48</v>
      </c>
      <c r="M346" s="261"/>
      <c r="N346" s="269" t="s">
        <v>150</v>
      </c>
      <c r="O346" s="267"/>
      <c r="P346" s="267" t="s">
        <v>149</v>
      </c>
      <c r="Q346" s="267"/>
      <c r="R346" s="269" t="s">
        <v>151</v>
      </c>
      <c r="S346" s="262"/>
      <c r="U346" s="283"/>
    </row>
    <row r="347" spans="1:21" ht="14.1" customHeight="1" thickBot="1" x14ac:dyDescent="0.25">
      <c r="A347" s="264" t="s">
        <v>152</v>
      </c>
      <c r="B347" s="266"/>
      <c r="C347" s="266" t="s">
        <v>52</v>
      </c>
      <c r="D347" s="266" t="s">
        <v>153</v>
      </c>
      <c r="E347" s="266"/>
      <c r="F347" s="270" t="s">
        <v>57</v>
      </c>
      <c r="G347" s="270"/>
      <c r="H347" s="270" t="s">
        <v>154</v>
      </c>
      <c r="I347" s="271"/>
      <c r="J347" s="270" t="s">
        <v>155</v>
      </c>
      <c r="K347" s="271"/>
      <c r="L347" s="271" t="s">
        <v>156</v>
      </c>
      <c r="M347" s="272"/>
      <c r="N347" s="272" t="s">
        <v>157</v>
      </c>
      <c r="O347" s="272"/>
      <c r="P347" s="272" t="s">
        <v>158</v>
      </c>
      <c r="Q347" s="272"/>
      <c r="R347" s="272" t="s">
        <v>3</v>
      </c>
      <c r="S347" s="262"/>
      <c r="U347" s="283"/>
    </row>
    <row r="348" spans="1:21" ht="14.1" customHeight="1" x14ac:dyDescent="0.2">
      <c r="A348" s="252">
        <v>1</v>
      </c>
      <c r="B348" s="312"/>
      <c r="S348" s="262"/>
      <c r="U348" s="283"/>
    </row>
    <row r="349" spans="1:21" ht="14.1" customHeight="1" x14ac:dyDescent="0.2">
      <c r="A349" s="252">
        <v>2</v>
      </c>
      <c r="B349" s="312"/>
      <c r="C349" s="269"/>
      <c r="D349" s="279" t="s">
        <v>236</v>
      </c>
      <c r="I349" s="752"/>
      <c r="K349" s="752"/>
      <c r="M349" s="752"/>
      <c r="O349" s="752"/>
      <c r="Q349" s="752"/>
      <c r="S349" s="262"/>
      <c r="U349" s="283"/>
    </row>
    <row r="350" spans="1:21" ht="14.1" customHeight="1" x14ac:dyDescent="0.2">
      <c r="A350" s="252">
        <v>3</v>
      </c>
      <c r="B350" s="312"/>
      <c r="C350" s="267">
        <v>34136</v>
      </c>
      <c r="D350" s="252" t="s">
        <v>1408</v>
      </c>
      <c r="F350" s="313">
        <v>2.6</v>
      </c>
      <c r="G350" s="260"/>
      <c r="H350" s="655">
        <v>2656231.54</v>
      </c>
      <c r="I350" s="733"/>
      <c r="J350" s="734">
        <v>0</v>
      </c>
      <c r="K350" s="277"/>
      <c r="L350" s="734">
        <v>0</v>
      </c>
      <c r="M350" s="277"/>
      <c r="N350" s="734">
        <v>0</v>
      </c>
      <c r="O350" s="277"/>
      <c r="P350" s="734">
        <v>2656231.54</v>
      </c>
      <c r="Q350" s="277"/>
      <c r="R350" s="734">
        <v>2656231.5399999996</v>
      </c>
      <c r="S350" s="262"/>
      <c r="U350" s="283"/>
    </row>
    <row r="351" spans="1:21" ht="14.1" customHeight="1" x14ac:dyDescent="0.2">
      <c r="A351" s="252">
        <v>4</v>
      </c>
      <c r="B351" s="312"/>
      <c r="C351" s="267">
        <v>34236</v>
      </c>
      <c r="D351" s="252" t="s">
        <v>1410</v>
      </c>
      <c r="F351" s="313">
        <v>3.6000000000000005</v>
      </c>
      <c r="G351" s="260"/>
      <c r="H351" s="655">
        <v>1537279.06</v>
      </c>
      <c r="I351" s="733"/>
      <c r="J351" s="734">
        <v>0</v>
      </c>
      <c r="K351" s="277"/>
      <c r="L351" s="734">
        <v>0</v>
      </c>
      <c r="M351" s="277"/>
      <c r="N351" s="734">
        <v>0</v>
      </c>
      <c r="O351" s="277"/>
      <c r="P351" s="734">
        <v>1537279.06</v>
      </c>
      <c r="Q351" s="277"/>
      <c r="R351" s="734">
        <v>1537279.06</v>
      </c>
      <c r="S351" s="262"/>
      <c r="U351" s="283"/>
    </row>
    <row r="352" spans="1:21" ht="14.1" customHeight="1" x14ac:dyDescent="0.2">
      <c r="A352" s="252">
        <v>5</v>
      </c>
      <c r="B352" s="312"/>
      <c r="C352" s="267">
        <v>34336</v>
      </c>
      <c r="D352" s="252" t="s">
        <v>207</v>
      </c>
      <c r="F352" s="313">
        <v>4</v>
      </c>
      <c r="G352" s="260"/>
      <c r="H352" s="655">
        <v>17478929.289999999</v>
      </c>
      <c r="I352" s="733"/>
      <c r="J352" s="734">
        <v>108992.66</v>
      </c>
      <c r="K352" s="277"/>
      <c r="L352" s="734">
        <v>-70601.22</v>
      </c>
      <c r="M352" s="277"/>
      <c r="N352" s="734">
        <v>0</v>
      </c>
      <c r="O352" s="277"/>
      <c r="P352" s="734">
        <v>17517320.73</v>
      </c>
      <c r="Q352" s="277"/>
      <c r="R352" s="734">
        <v>17481882.477692302</v>
      </c>
      <c r="S352" s="262"/>
      <c r="U352" s="283"/>
    </row>
    <row r="353" spans="1:21" ht="14.1" customHeight="1" x14ac:dyDescent="0.2">
      <c r="A353" s="252">
        <v>6</v>
      </c>
      <c r="B353" s="312"/>
      <c r="C353" s="267">
        <v>34536</v>
      </c>
      <c r="D353" s="252" t="s">
        <v>1409</v>
      </c>
      <c r="F353" s="313">
        <v>4</v>
      </c>
      <c r="G353" s="260"/>
      <c r="H353" s="655">
        <v>14209231.789999999</v>
      </c>
      <c r="I353" s="733"/>
      <c r="J353" s="734">
        <v>149374.85</v>
      </c>
      <c r="K353" s="277"/>
      <c r="L353" s="734">
        <v>0</v>
      </c>
      <c r="M353" s="277"/>
      <c r="N353" s="734">
        <v>0</v>
      </c>
      <c r="O353" s="277"/>
      <c r="P353" s="734">
        <v>14358606.639999999</v>
      </c>
      <c r="Q353" s="277"/>
      <c r="R353" s="734">
        <v>14243702.909230761</v>
      </c>
      <c r="S353" s="262"/>
      <c r="U353" s="283"/>
    </row>
    <row r="354" spans="1:21" ht="14.1" customHeight="1" x14ac:dyDescent="0.2">
      <c r="A354" s="252">
        <v>7</v>
      </c>
      <c r="B354" s="312"/>
      <c r="C354" s="267">
        <v>34636</v>
      </c>
      <c r="D354" s="252" t="s">
        <v>165</v>
      </c>
      <c r="F354" s="313">
        <v>4</v>
      </c>
      <c r="G354" s="260"/>
      <c r="H354" s="655">
        <v>11736.48</v>
      </c>
      <c r="I354" s="733"/>
      <c r="J354" s="734">
        <v>0</v>
      </c>
      <c r="K354" s="277"/>
      <c r="L354" s="734">
        <v>0</v>
      </c>
      <c r="M354" s="277"/>
      <c r="N354" s="734">
        <v>0</v>
      </c>
      <c r="O354" s="277"/>
      <c r="P354" s="734">
        <v>11736.48</v>
      </c>
      <c r="Q354" s="277"/>
      <c r="R354" s="734">
        <v>11736.48</v>
      </c>
      <c r="S354" s="262"/>
      <c r="U354" s="283"/>
    </row>
    <row r="355" spans="1:21" ht="14.1" customHeight="1" x14ac:dyDescent="0.2">
      <c r="A355" s="252">
        <v>8</v>
      </c>
      <c r="B355" s="312"/>
      <c r="C355" s="269"/>
      <c r="D355" s="279" t="s">
        <v>237</v>
      </c>
      <c r="F355" s="313"/>
      <c r="H355" s="658">
        <v>35893408.159999996</v>
      </c>
      <c r="I355" s="733"/>
      <c r="J355" s="736">
        <v>258367.51</v>
      </c>
      <c r="K355" s="733"/>
      <c r="L355" s="736">
        <v>-70601.22</v>
      </c>
      <c r="M355" s="733"/>
      <c r="N355" s="736">
        <v>0</v>
      </c>
      <c r="O355" s="733"/>
      <c r="P355" s="736">
        <v>36081174.449999996</v>
      </c>
      <c r="Q355" s="733"/>
      <c r="R355" s="736">
        <v>35930832.466923058</v>
      </c>
      <c r="S355" s="262"/>
      <c r="U355" s="283"/>
    </row>
    <row r="356" spans="1:21" ht="14.1" customHeight="1" x14ac:dyDescent="0.2">
      <c r="A356" s="252">
        <v>9</v>
      </c>
      <c r="B356" s="312"/>
      <c r="H356" s="602"/>
      <c r="I356" s="277"/>
      <c r="J356" s="277"/>
      <c r="K356" s="277"/>
      <c r="L356" s="277"/>
      <c r="M356" s="277"/>
      <c r="N356" s="277"/>
      <c r="O356" s="277"/>
      <c r="P356" s="277"/>
      <c r="Q356" s="277"/>
      <c r="R356" s="277"/>
      <c r="S356" s="262"/>
      <c r="U356" s="283"/>
    </row>
    <row r="357" spans="1:21" ht="14.1" customHeight="1" x14ac:dyDescent="0.2">
      <c r="A357" s="252">
        <v>10</v>
      </c>
      <c r="B357" s="312"/>
      <c r="C357" s="267">
        <v>34637</v>
      </c>
      <c r="D357" s="279" t="s">
        <v>1377</v>
      </c>
      <c r="F357" s="313">
        <v>14.3</v>
      </c>
      <c r="H357" s="655">
        <v>702614.98999999987</v>
      </c>
      <c r="I357" s="277"/>
      <c r="J357" s="734">
        <v>58918.590000000004</v>
      </c>
      <c r="K357" s="277"/>
      <c r="L357" s="734">
        <v>-259168.02000000002</v>
      </c>
      <c r="M357" s="277"/>
      <c r="N357" s="734">
        <v>47209.020000000004</v>
      </c>
      <c r="O357" s="277"/>
      <c r="P357" s="734">
        <v>549574.57999999984</v>
      </c>
      <c r="Q357" s="277"/>
      <c r="R357" s="734">
        <v>552549.73769230756</v>
      </c>
      <c r="S357" s="262"/>
      <c r="U357" s="283"/>
    </row>
    <row r="358" spans="1:21" ht="14.1" customHeight="1" x14ac:dyDescent="0.2">
      <c r="A358" s="252">
        <v>11</v>
      </c>
      <c r="B358" s="312"/>
      <c r="H358" s="602"/>
      <c r="I358" s="277"/>
      <c r="J358" s="277"/>
      <c r="K358" s="277"/>
      <c r="L358" s="277"/>
      <c r="M358" s="277"/>
      <c r="N358" s="277"/>
      <c r="O358" s="277"/>
      <c r="P358" s="277"/>
      <c r="Q358" s="277"/>
      <c r="R358" s="277"/>
      <c r="S358" s="262"/>
      <c r="U358" s="283"/>
    </row>
    <row r="359" spans="1:21" ht="14.1" customHeight="1" thickBot="1" x14ac:dyDescent="0.25">
      <c r="A359" s="252">
        <v>12</v>
      </c>
      <c r="B359" s="312"/>
      <c r="C359" s="83"/>
      <c r="D359" s="83" t="s">
        <v>73</v>
      </c>
      <c r="E359" s="83"/>
      <c r="F359" s="315"/>
      <c r="G359" s="83"/>
      <c r="H359" s="665">
        <v>1110577446.4700003</v>
      </c>
      <c r="I359" s="754"/>
      <c r="J359" s="741">
        <v>19546489.430000003</v>
      </c>
      <c r="K359" s="754"/>
      <c r="L359" s="741">
        <v>-3532220.3000000003</v>
      </c>
      <c r="M359" s="754"/>
      <c r="N359" s="741">
        <v>47209.020000000004</v>
      </c>
      <c r="O359" s="754"/>
      <c r="P359" s="741">
        <v>1126638924.6200001</v>
      </c>
      <c r="Q359" s="754"/>
      <c r="R359" s="741">
        <v>1120472884.0323079</v>
      </c>
      <c r="S359" s="262"/>
      <c r="U359" s="283"/>
    </row>
    <row r="360" spans="1:21" ht="14.1" customHeight="1" thickTop="1" x14ac:dyDescent="0.2">
      <c r="A360" s="252">
        <v>13</v>
      </c>
      <c r="B360" s="312"/>
      <c r="H360" s="602"/>
      <c r="I360" s="277"/>
      <c r="J360" s="277"/>
      <c r="K360" s="277"/>
      <c r="L360" s="277"/>
      <c r="M360" s="277"/>
      <c r="N360" s="277"/>
      <c r="O360" s="277"/>
      <c r="P360" s="277"/>
      <c r="Q360" s="277"/>
      <c r="R360" s="277"/>
      <c r="S360" s="262"/>
      <c r="U360" s="283"/>
    </row>
    <row r="361" spans="1:21" ht="14.1" customHeight="1" x14ac:dyDescent="0.2">
      <c r="A361" s="252">
        <v>14</v>
      </c>
      <c r="B361" s="312"/>
      <c r="D361" s="83" t="s">
        <v>841</v>
      </c>
      <c r="H361" s="602"/>
      <c r="I361" s="733"/>
      <c r="J361" s="277"/>
      <c r="K361" s="733"/>
      <c r="L361" s="277"/>
      <c r="M361" s="733"/>
      <c r="N361" s="277"/>
      <c r="O361" s="733"/>
      <c r="P361" s="277"/>
      <c r="Q361" s="733"/>
      <c r="R361" s="277"/>
      <c r="S361" s="262"/>
      <c r="U361" s="283"/>
    </row>
    <row r="362" spans="1:21" ht="14.1" customHeight="1" x14ac:dyDescent="0.2">
      <c r="A362" s="252">
        <v>15</v>
      </c>
      <c r="B362" s="312"/>
      <c r="C362" s="267">
        <v>34199</v>
      </c>
      <c r="D362" s="252" t="s">
        <v>239</v>
      </c>
      <c r="F362" s="313">
        <v>3.3000000000000003</v>
      </c>
      <c r="H362" s="655">
        <v>176075355.94</v>
      </c>
      <c r="I362" s="733"/>
      <c r="J362" s="734">
        <v>48076133.62000002</v>
      </c>
      <c r="K362" s="277"/>
      <c r="L362" s="734">
        <v>0</v>
      </c>
      <c r="M362" s="277"/>
      <c r="N362" s="734">
        <v>0</v>
      </c>
      <c r="O362" s="277"/>
      <c r="P362" s="734">
        <v>224151489.56</v>
      </c>
      <c r="Q362" s="277"/>
      <c r="R362" s="734">
        <v>217715901.43769231</v>
      </c>
      <c r="S362" s="262"/>
      <c r="U362" s="283"/>
    </row>
    <row r="363" spans="1:21" ht="14.1" customHeight="1" x14ac:dyDescent="0.2">
      <c r="A363" s="252">
        <v>16</v>
      </c>
      <c r="B363" s="312"/>
      <c r="C363" s="269">
        <v>34399</v>
      </c>
      <c r="D363" s="252" t="s">
        <v>313</v>
      </c>
      <c r="F363" s="313">
        <v>3.3000000000000003</v>
      </c>
      <c r="H363" s="655">
        <v>272856761.74000007</v>
      </c>
      <c r="I363" s="734"/>
      <c r="J363" s="734">
        <v>71675465.629999995</v>
      </c>
      <c r="K363" s="733"/>
      <c r="L363" s="734">
        <v>0</v>
      </c>
      <c r="M363" s="733"/>
      <c r="N363" s="734">
        <v>0</v>
      </c>
      <c r="O363" s="733"/>
      <c r="P363" s="734">
        <v>344532227.37000006</v>
      </c>
      <c r="Q363" s="733"/>
      <c r="R363" s="734">
        <v>337388268.72076929</v>
      </c>
      <c r="S363" s="262"/>
      <c r="U363" s="283"/>
    </row>
    <row r="364" spans="1:21" ht="14.1" customHeight="1" x14ac:dyDescent="0.2">
      <c r="A364" s="252">
        <v>17</v>
      </c>
      <c r="B364" s="312"/>
      <c r="C364" s="269">
        <v>34599</v>
      </c>
      <c r="D364" s="252" t="s">
        <v>1411</v>
      </c>
      <c r="F364" s="313">
        <v>3.3000000000000003</v>
      </c>
      <c r="H364" s="655">
        <v>96257197.900000006</v>
      </c>
      <c r="I364" s="734"/>
      <c r="J364" s="734">
        <v>71261483.86999999</v>
      </c>
      <c r="K364" s="733"/>
      <c r="L364" s="734">
        <v>0</v>
      </c>
      <c r="M364" s="733"/>
      <c r="N364" s="734">
        <v>0</v>
      </c>
      <c r="O364" s="733"/>
      <c r="P364" s="734">
        <v>167518681.76999998</v>
      </c>
      <c r="Q364" s="733"/>
      <c r="R364" s="734">
        <v>136617295.26384619</v>
      </c>
      <c r="S364" s="262"/>
      <c r="U364" s="283"/>
    </row>
    <row r="365" spans="1:21" ht="14.1" customHeight="1" x14ac:dyDescent="0.2">
      <c r="A365" s="252">
        <v>18</v>
      </c>
      <c r="B365" s="314"/>
      <c r="C365" s="269"/>
      <c r="D365" s="83" t="s">
        <v>398</v>
      </c>
      <c r="F365" s="269"/>
      <c r="H365" s="676">
        <v>545189315.58000004</v>
      </c>
      <c r="I365" s="734"/>
      <c r="J365" s="757">
        <v>191013083.12</v>
      </c>
      <c r="K365" s="733"/>
      <c r="L365" s="757">
        <v>0</v>
      </c>
      <c r="M365" s="733"/>
      <c r="N365" s="757">
        <v>0</v>
      </c>
      <c r="O365" s="733"/>
      <c r="P365" s="757">
        <v>736202398.70000005</v>
      </c>
      <c r="Q365" s="733"/>
      <c r="R365" s="757">
        <v>691721465.42230773</v>
      </c>
      <c r="S365" s="262"/>
      <c r="U365" s="283"/>
    </row>
    <row r="366" spans="1:21" ht="14.1" customHeight="1" x14ac:dyDescent="0.2">
      <c r="A366" s="252">
        <v>19</v>
      </c>
      <c r="B366" s="314"/>
      <c r="H366" s="602"/>
      <c r="I366" s="277"/>
      <c r="J366" s="277"/>
      <c r="K366" s="277"/>
      <c r="L366" s="277"/>
      <c r="M366" s="277"/>
      <c r="N366" s="277"/>
      <c r="O366" s="277"/>
      <c r="P366" s="277"/>
      <c r="Q366" s="277"/>
      <c r="R366" s="277"/>
      <c r="S366" s="262"/>
      <c r="U366" s="283"/>
    </row>
    <row r="367" spans="1:21" ht="14.1" customHeight="1" x14ac:dyDescent="0.2">
      <c r="A367" s="252">
        <v>20</v>
      </c>
      <c r="B367" s="312"/>
      <c r="D367" s="677" t="s">
        <v>1378</v>
      </c>
      <c r="H367" s="277"/>
      <c r="I367" s="277"/>
      <c r="J367" s="277"/>
      <c r="K367" s="277"/>
      <c r="L367" s="277"/>
      <c r="M367" s="277"/>
      <c r="N367" s="277"/>
      <c r="O367" s="277"/>
      <c r="P367" s="277"/>
      <c r="Q367" s="277"/>
      <c r="R367" s="277"/>
      <c r="S367" s="262"/>
      <c r="U367" s="283"/>
    </row>
    <row r="368" spans="1:21" ht="14.1" customHeight="1" x14ac:dyDescent="0.2">
      <c r="A368" s="252">
        <v>21</v>
      </c>
      <c r="B368" s="312"/>
      <c r="C368" s="267">
        <v>34800</v>
      </c>
      <c r="D368" s="252" t="s">
        <v>1379</v>
      </c>
      <c r="F368" s="313">
        <v>10</v>
      </c>
      <c r="G368" s="758"/>
      <c r="H368" s="655">
        <v>0</v>
      </c>
      <c r="I368" s="758"/>
      <c r="J368" s="734">
        <v>0</v>
      </c>
      <c r="K368" s="733"/>
      <c r="L368" s="734">
        <v>0</v>
      </c>
      <c r="M368" s="733"/>
      <c r="N368" s="734">
        <v>0</v>
      </c>
      <c r="O368" s="733"/>
      <c r="P368" s="734">
        <v>0</v>
      </c>
      <c r="Q368" s="733"/>
      <c r="R368" s="734">
        <v>0</v>
      </c>
      <c r="S368" s="262"/>
      <c r="U368" s="283"/>
    </row>
    <row r="369" spans="1:21" ht="14.1" customHeight="1" x14ac:dyDescent="0.2">
      <c r="A369" s="252">
        <v>22</v>
      </c>
      <c r="B369" s="312"/>
      <c r="C369" s="267">
        <v>34899</v>
      </c>
      <c r="D369" s="252" t="s">
        <v>1380</v>
      </c>
      <c r="F369" s="313">
        <v>10</v>
      </c>
      <c r="G369" s="758"/>
      <c r="H369" s="655">
        <v>0</v>
      </c>
      <c r="I369" s="758"/>
      <c r="J369" s="734">
        <v>9473273.8499999996</v>
      </c>
      <c r="K369" s="733"/>
      <c r="L369" s="734">
        <v>0</v>
      </c>
      <c r="M369" s="733"/>
      <c r="N369" s="734">
        <v>0</v>
      </c>
      <c r="O369" s="733"/>
      <c r="P369" s="734">
        <v>9473273.8499999996</v>
      </c>
      <c r="Q369" s="733"/>
      <c r="R369" s="734">
        <v>3517032.5215384616</v>
      </c>
      <c r="S369" s="262"/>
      <c r="U369" s="283"/>
    </row>
    <row r="370" spans="1:21" ht="14.1" customHeight="1" x14ac:dyDescent="0.2">
      <c r="A370" s="252">
        <v>23</v>
      </c>
      <c r="B370" s="312"/>
      <c r="C370" s="267">
        <v>34388</v>
      </c>
      <c r="D370" s="252" t="s">
        <v>1381</v>
      </c>
      <c r="F370" s="313">
        <v>4</v>
      </c>
      <c r="H370" s="655">
        <v>0</v>
      </c>
      <c r="I370" s="734"/>
      <c r="J370" s="734">
        <v>0</v>
      </c>
      <c r="K370" s="733"/>
      <c r="L370" s="734">
        <v>0</v>
      </c>
      <c r="M370" s="733"/>
      <c r="N370" s="734">
        <v>0</v>
      </c>
      <c r="O370" s="733"/>
      <c r="P370" s="734">
        <v>0</v>
      </c>
      <c r="Q370" s="733"/>
      <c r="R370" s="734">
        <v>0</v>
      </c>
      <c r="S370" s="262"/>
      <c r="U370" s="283"/>
    </row>
    <row r="371" spans="1:21" ht="14.1" customHeight="1" x14ac:dyDescent="0.2">
      <c r="A371" s="252">
        <v>24</v>
      </c>
      <c r="B371" s="312"/>
      <c r="D371" s="83" t="s">
        <v>1382</v>
      </c>
      <c r="H371" s="676">
        <v>0</v>
      </c>
      <c r="I371" s="734"/>
      <c r="J371" s="757">
        <v>9473273.8499999996</v>
      </c>
      <c r="K371" s="733"/>
      <c r="L371" s="757">
        <v>0</v>
      </c>
      <c r="M371" s="733"/>
      <c r="N371" s="757">
        <v>0</v>
      </c>
      <c r="O371" s="733"/>
      <c r="P371" s="757">
        <v>9473273.8499999996</v>
      </c>
      <c r="Q371" s="733"/>
      <c r="R371" s="757">
        <v>3517032.5215384616</v>
      </c>
      <c r="S371" s="262"/>
      <c r="U371" s="283"/>
    </row>
    <row r="372" spans="1:21" ht="14.1" customHeight="1" x14ac:dyDescent="0.2">
      <c r="A372" s="252">
        <v>25</v>
      </c>
      <c r="B372" s="312"/>
      <c r="S372" s="262"/>
      <c r="U372" s="283"/>
    </row>
    <row r="373" spans="1:21" ht="14.1" customHeight="1" thickBot="1" x14ac:dyDescent="0.25">
      <c r="A373" s="252">
        <v>26</v>
      </c>
      <c r="C373" s="269"/>
      <c r="D373" s="252" t="s">
        <v>66</v>
      </c>
      <c r="H373" s="316">
        <v>3064959315.7500005</v>
      </c>
      <c r="I373" s="754"/>
      <c r="J373" s="316">
        <v>235438218.60999998</v>
      </c>
      <c r="K373" s="754"/>
      <c r="L373" s="316">
        <v>-9422511.7599999998</v>
      </c>
      <c r="M373" s="754"/>
      <c r="N373" s="316">
        <v>0</v>
      </c>
      <c r="O373" s="754"/>
      <c r="P373" s="316">
        <v>3290975022.5999999</v>
      </c>
      <c r="Q373" s="754"/>
      <c r="R373" s="316">
        <v>3226490295.1446157</v>
      </c>
      <c r="S373" s="262"/>
      <c r="U373" s="283"/>
    </row>
    <row r="374" spans="1:21" ht="14.1" customHeight="1" thickTop="1" x14ac:dyDescent="0.2">
      <c r="A374" s="252">
        <v>27</v>
      </c>
      <c r="C374" s="267"/>
      <c r="H374" s="659"/>
      <c r="I374" s="733"/>
      <c r="J374" s="733"/>
      <c r="K374" s="733"/>
      <c r="L374" s="733"/>
      <c r="M374" s="733"/>
      <c r="N374" s="733"/>
      <c r="O374" s="733"/>
      <c r="P374" s="733"/>
      <c r="Q374" s="733"/>
      <c r="R374" s="733"/>
      <c r="S374" s="262"/>
      <c r="U374" s="283"/>
    </row>
    <row r="375" spans="1:21" ht="14.1" customHeight="1" thickBot="1" x14ac:dyDescent="0.25">
      <c r="A375" s="252">
        <v>28</v>
      </c>
      <c r="B375" s="312"/>
      <c r="C375" s="268"/>
      <c r="D375" s="83" t="s">
        <v>67</v>
      </c>
      <c r="E375" s="83"/>
      <c r="G375" s="83"/>
      <c r="H375" s="665">
        <v>5245292644.3699999</v>
      </c>
      <c r="I375" s="754"/>
      <c r="J375" s="741">
        <v>335359172.38999999</v>
      </c>
      <c r="K375" s="754"/>
      <c r="L375" s="741">
        <v>-35008543.370000005</v>
      </c>
      <c r="M375" s="754"/>
      <c r="N375" s="741">
        <v>0</v>
      </c>
      <c r="O375" s="754"/>
      <c r="P375" s="741">
        <v>5545643273.3899994</v>
      </c>
      <c r="Q375" s="754"/>
      <c r="R375" s="741">
        <v>5452357034.6084614</v>
      </c>
      <c r="S375" s="262"/>
      <c r="U375" s="283"/>
    </row>
    <row r="376" spans="1:21" ht="14.1" customHeight="1" thickTop="1" x14ac:dyDescent="0.2">
      <c r="A376" s="252">
        <v>29</v>
      </c>
      <c r="B376" s="312"/>
      <c r="C376" s="269"/>
      <c r="D376" s="269"/>
      <c r="E376" s="269"/>
      <c r="F376" s="318"/>
      <c r="G376" s="318"/>
      <c r="H376" s="655"/>
      <c r="I376" s="733"/>
      <c r="J376" s="734"/>
      <c r="K376" s="734"/>
      <c r="L376" s="734"/>
      <c r="M376" s="734"/>
      <c r="N376" s="734"/>
      <c r="O376" s="734"/>
      <c r="P376" s="734"/>
      <c r="Q376" s="734"/>
      <c r="R376" s="734"/>
      <c r="S376" s="262"/>
      <c r="U376" s="283"/>
    </row>
    <row r="377" spans="1:21" ht="14.1" customHeight="1" x14ac:dyDescent="0.2">
      <c r="A377" s="252">
        <v>30</v>
      </c>
      <c r="B377" s="312"/>
      <c r="C377" s="299"/>
      <c r="D377" s="298" t="s">
        <v>124</v>
      </c>
      <c r="E377" s="298"/>
      <c r="F377" s="83"/>
      <c r="G377" s="83"/>
      <c r="H377" s="672"/>
      <c r="I377" s="754"/>
      <c r="J377" s="759"/>
      <c r="K377" s="759"/>
      <c r="L377" s="759"/>
      <c r="M377" s="759"/>
      <c r="N377" s="759"/>
      <c r="O377" s="759"/>
      <c r="P377" s="759"/>
      <c r="Q377" s="759"/>
      <c r="R377" s="759"/>
      <c r="S377" s="262"/>
      <c r="U377" s="283"/>
    </row>
    <row r="378" spans="1:21" ht="14.1" customHeight="1" x14ac:dyDescent="0.2">
      <c r="A378" s="252">
        <v>31</v>
      </c>
      <c r="B378" s="312"/>
      <c r="C378" s="267">
        <v>35001</v>
      </c>
      <c r="D378" s="682" t="s">
        <v>242</v>
      </c>
      <c r="F378" s="313">
        <v>1.3</v>
      </c>
      <c r="G378" s="260"/>
      <c r="H378" s="655">
        <v>12103372.469999999</v>
      </c>
      <c r="I378" s="733"/>
      <c r="J378" s="734">
        <v>48292.15</v>
      </c>
      <c r="K378" s="277"/>
      <c r="L378" s="734">
        <v>0</v>
      </c>
      <c r="M378" s="277"/>
      <c r="N378" s="734">
        <v>0</v>
      </c>
      <c r="O378" s="277"/>
      <c r="P378" s="734">
        <v>12151664.619999999</v>
      </c>
      <c r="Q378" s="277"/>
      <c r="R378" s="734">
        <v>12132015.750769231</v>
      </c>
      <c r="S378" s="262"/>
      <c r="U378" s="283"/>
    </row>
    <row r="379" spans="1:21" ht="14.1" customHeight="1" x14ac:dyDescent="0.2">
      <c r="A379" s="252">
        <v>32</v>
      </c>
      <c r="B379" s="312"/>
      <c r="C379" s="267">
        <v>35200</v>
      </c>
      <c r="D379" s="682" t="s">
        <v>243</v>
      </c>
      <c r="F379" s="313">
        <v>1.7000000000000002</v>
      </c>
      <c r="G379" s="260"/>
      <c r="H379" s="655">
        <v>50488652.04999999</v>
      </c>
      <c r="I379" s="733"/>
      <c r="J379" s="734">
        <v>6529629.7200000007</v>
      </c>
      <c r="K379" s="277"/>
      <c r="L379" s="734">
        <v>-16795.13</v>
      </c>
      <c r="M379" s="277"/>
      <c r="N379" s="734">
        <v>-32571.43</v>
      </c>
      <c r="O379" s="277"/>
      <c r="P379" s="734">
        <v>56968915.209999986</v>
      </c>
      <c r="Q379" s="277"/>
      <c r="R379" s="734">
        <v>52396719.152307697</v>
      </c>
      <c r="S379" s="262"/>
      <c r="U379" s="283"/>
    </row>
    <row r="380" spans="1:21" ht="14.1" customHeight="1" x14ac:dyDescent="0.2">
      <c r="A380" s="252">
        <v>33</v>
      </c>
      <c r="B380" s="312"/>
      <c r="C380" s="267">
        <v>35300</v>
      </c>
      <c r="D380" s="760" t="s">
        <v>244</v>
      </c>
      <c r="E380" s="280"/>
      <c r="F380" s="313">
        <v>2.2999999999999998</v>
      </c>
      <c r="G380" s="260"/>
      <c r="H380" s="655">
        <v>318281546.97000021</v>
      </c>
      <c r="I380" s="733"/>
      <c r="J380" s="734">
        <v>41716910.609999999</v>
      </c>
      <c r="K380" s="277"/>
      <c r="L380" s="734">
        <v>-3462212.83</v>
      </c>
      <c r="M380" s="277"/>
      <c r="N380" s="734">
        <v>-509927.09</v>
      </c>
      <c r="O380" s="277"/>
      <c r="P380" s="734">
        <v>356026317.66000026</v>
      </c>
      <c r="Q380" s="277"/>
      <c r="R380" s="734">
        <v>340110581.15538478</v>
      </c>
      <c r="S380" s="262"/>
      <c r="U380" s="283"/>
    </row>
    <row r="381" spans="1:21" ht="14.1" customHeight="1" x14ac:dyDescent="0.2">
      <c r="A381" s="252">
        <v>34</v>
      </c>
      <c r="B381" s="312"/>
      <c r="C381" s="267">
        <v>35400</v>
      </c>
      <c r="D381" s="760" t="s">
        <v>245</v>
      </c>
      <c r="E381" s="280"/>
      <c r="F381" s="313">
        <v>2.2999999999999998</v>
      </c>
      <c r="G381" s="260"/>
      <c r="H381" s="655">
        <v>5092060.5500000007</v>
      </c>
      <c r="I381" s="733"/>
      <c r="J381" s="734">
        <v>0</v>
      </c>
      <c r="K381" s="277"/>
      <c r="L381" s="734">
        <v>0</v>
      </c>
      <c r="M381" s="277"/>
      <c r="N381" s="734">
        <v>0</v>
      </c>
      <c r="O381" s="277"/>
      <c r="P381" s="734">
        <v>5092060.5500000007</v>
      </c>
      <c r="Q381" s="277"/>
      <c r="R381" s="734">
        <v>5092060.5499999989</v>
      </c>
      <c r="S381" s="262"/>
      <c r="U381" s="283"/>
    </row>
    <row r="382" spans="1:21" ht="14.1" customHeight="1" x14ac:dyDescent="0.2">
      <c r="A382" s="252">
        <v>35</v>
      </c>
      <c r="B382" s="312"/>
      <c r="C382" s="267">
        <v>35500</v>
      </c>
      <c r="D382" s="682" t="s">
        <v>246</v>
      </c>
      <c r="F382" s="313">
        <v>3.6000000000000005</v>
      </c>
      <c r="G382" s="260"/>
      <c r="H382" s="655">
        <v>352343824.31999993</v>
      </c>
      <c r="I382" s="733"/>
      <c r="J382" s="734">
        <v>16329966.68</v>
      </c>
      <c r="K382" s="277"/>
      <c r="L382" s="734">
        <v>-834449.58</v>
      </c>
      <c r="M382" s="277"/>
      <c r="N382" s="734">
        <v>-115599.15000000001</v>
      </c>
      <c r="O382" s="277"/>
      <c r="P382" s="734">
        <v>367723742.26999998</v>
      </c>
      <c r="Q382" s="277"/>
      <c r="R382" s="734">
        <v>364827022.82769209</v>
      </c>
      <c r="S382" s="262"/>
      <c r="U382" s="283"/>
    </row>
    <row r="383" spans="1:21" ht="14.1" customHeight="1" x14ac:dyDescent="0.2">
      <c r="A383" s="252">
        <v>36</v>
      </c>
      <c r="B383" s="312"/>
      <c r="C383" s="267">
        <v>35600</v>
      </c>
      <c r="D383" s="682" t="s">
        <v>247</v>
      </c>
      <c r="F383" s="313">
        <v>2.8</v>
      </c>
      <c r="G383" s="260"/>
      <c r="H383" s="655">
        <v>155216543.84000003</v>
      </c>
      <c r="I383" s="733"/>
      <c r="J383" s="734">
        <v>9979321.5</v>
      </c>
      <c r="K383" s="277"/>
      <c r="L383" s="734">
        <v>-1190128.6099999999</v>
      </c>
      <c r="M383" s="277"/>
      <c r="N383" s="734">
        <v>-81.10999999998603</v>
      </c>
      <c r="O383" s="277"/>
      <c r="P383" s="734">
        <v>164005655.62</v>
      </c>
      <c r="Q383" s="277"/>
      <c r="R383" s="734">
        <v>158105553.18461543</v>
      </c>
      <c r="S383" s="262"/>
      <c r="U383" s="283"/>
    </row>
    <row r="384" spans="1:21" ht="14.1" customHeight="1" x14ac:dyDescent="0.2">
      <c r="A384" s="252">
        <v>37</v>
      </c>
      <c r="B384" s="312"/>
      <c r="C384" s="267">
        <v>35601</v>
      </c>
      <c r="D384" s="682" t="s">
        <v>248</v>
      </c>
      <c r="F384" s="313">
        <v>2</v>
      </c>
      <c r="G384" s="260"/>
      <c r="H384" s="655">
        <v>2110610.13</v>
      </c>
      <c r="I384" s="733"/>
      <c r="J384" s="734">
        <v>0</v>
      </c>
      <c r="K384" s="277"/>
      <c r="L384" s="734">
        <v>0</v>
      </c>
      <c r="M384" s="277"/>
      <c r="N384" s="734">
        <v>0</v>
      </c>
      <c r="O384" s="277"/>
      <c r="P384" s="734">
        <v>2110610.13</v>
      </c>
      <c r="Q384" s="277"/>
      <c r="R384" s="734">
        <v>2110610.1299999994</v>
      </c>
      <c r="S384" s="262"/>
      <c r="U384" s="283"/>
    </row>
    <row r="385" spans="1:21" ht="14.1" customHeight="1" x14ac:dyDescent="0.2">
      <c r="A385" s="252">
        <v>38</v>
      </c>
      <c r="B385" s="312"/>
      <c r="C385" s="267">
        <v>35700</v>
      </c>
      <c r="D385" s="682" t="s">
        <v>249</v>
      </c>
      <c r="F385" s="313">
        <v>1.8000000000000003</v>
      </c>
      <c r="G385" s="260"/>
      <c r="H385" s="655">
        <v>3597803.02</v>
      </c>
      <c r="I385" s="733"/>
      <c r="J385" s="734">
        <v>0</v>
      </c>
      <c r="K385" s="277"/>
      <c r="L385" s="734">
        <v>0</v>
      </c>
      <c r="M385" s="277"/>
      <c r="N385" s="734">
        <v>0</v>
      </c>
      <c r="O385" s="277"/>
      <c r="P385" s="734">
        <v>3597803.02</v>
      </c>
      <c r="Q385" s="277"/>
      <c r="R385" s="734">
        <v>3597803.0200000009</v>
      </c>
      <c r="S385" s="262"/>
      <c r="U385" s="283"/>
    </row>
    <row r="386" spans="1:21" ht="14.1" customHeight="1" x14ac:dyDescent="0.2">
      <c r="A386" s="252">
        <v>39</v>
      </c>
      <c r="B386" s="312"/>
      <c r="C386" s="267">
        <v>35800</v>
      </c>
      <c r="D386" s="682" t="s">
        <v>250</v>
      </c>
      <c r="F386" s="313">
        <v>2.2999999999999998</v>
      </c>
      <c r="G386" s="260"/>
      <c r="H386" s="655">
        <v>7404951.0200000005</v>
      </c>
      <c r="I386" s="733"/>
      <c r="J386" s="734">
        <v>0</v>
      </c>
      <c r="K386" s="277"/>
      <c r="L386" s="734">
        <v>0</v>
      </c>
      <c r="M386" s="277"/>
      <c r="N386" s="734">
        <v>0</v>
      </c>
      <c r="O386" s="277"/>
      <c r="P386" s="734">
        <v>7404951.0200000005</v>
      </c>
      <c r="Q386" s="277"/>
      <c r="R386" s="734">
        <v>7404951.0200000005</v>
      </c>
      <c r="S386" s="262"/>
      <c r="U386" s="283"/>
    </row>
    <row r="387" spans="1:21" ht="14.1" customHeight="1" x14ac:dyDescent="0.2">
      <c r="A387" s="252">
        <v>40</v>
      </c>
      <c r="B387" s="312"/>
      <c r="C387" s="267">
        <v>35900</v>
      </c>
      <c r="D387" s="685" t="s">
        <v>251</v>
      </c>
      <c r="E387" s="282"/>
      <c r="F387" s="313">
        <v>1.5</v>
      </c>
      <c r="G387" s="260"/>
      <c r="H387" s="655">
        <v>15532302.810000001</v>
      </c>
      <c r="I387" s="733"/>
      <c r="J387" s="734">
        <v>117269.83000000002</v>
      </c>
      <c r="K387" s="277"/>
      <c r="L387" s="734">
        <v>-52176.98</v>
      </c>
      <c r="M387" s="277"/>
      <c r="N387" s="734">
        <v>0</v>
      </c>
      <c r="O387" s="277"/>
      <c r="P387" s="734">
        <v>15597395.66</v>
      </c>
      <c r="Q387" s="277"/>
      <c r="R387" s="734">
        <v>15572881.030000001</v>
      </c>
      <c r="S387" s="262"/>
      <c r="U387" s="283"/>
    </row>
    <row r="388" spans="1:21" ht="14.1" customHeight="1" x14ac:dyDescent="0.2">
      <c r="A388" s="252">
        <v>41</v>
      </c>
      <c r="B388" s="312"/>
      <c r="C388" s="267"/>
      <c r="D388" s="282"/>
      <c r="E388" s="282"/>
      <c r="F388" s="313"/>
      <c r="G388" s="282"/>
      <c r="H388" s="658"/>
      <c r="I388" s="733"/>
      <c r="J388" s="736"/>
      <c r="K388" s="733"/>
      <c r="L388" s="736"/>
      <c r="M388" s="733"/>
      <c r="N388" s="736"/>
      <c r="O388" s="733"/>
      <c r="P388" s="736"/>
      <c r="Q388" s="733"/>
      <c r="R388" s="736"/>
      <c r="S388" s="262"/>
      <c r="U388" s="283"/>
    </row>
    <row r="389" spans="1:21" ht="14.1" customHeight="1" thickBot="1" x14ac:dyDescent="0.25">
      <c r="A389" s="252">
        <v>42</v>
      </c>
      <c r="B389" s="312"/>
      <c r="C389" s="299"/>
      <c r="D389" s="300" t="s">
        <v>166</v>
      </c>
      <c r="E389" s="300"/>
      <c r="F389" s="315"/>
      <c r="G389" s="257"/>
      <c r="H389" s="665">
        <v>922171667.18000007</v>
      </c>
      <c r="I389" s="754"/>
      <c r="J389" s="741">
        <v>74721390.489999995</v>
      </c>
      <c r="K389" s="754"/>
      <c r="L389" s="741">
        <v>-5555763.1300000008</v>
      </c>
      <c r="M389" s="754"/>
      <c r="N389" s="741">
        <v>-658178.78</v>
      </c>
      <c r="O389" s="754"/>
      <c r="P389" s="741">
        <v>990679115.76000011</v>
      </c>
      <c r="Q389" s="754"/>
      <c r="R389" s="741">
        <v>961350197.82076919</v>
      </c>
      <c r="S389" s="262"/>
      <c r="U389" s="283"/>
    </row>
    <row r="390" spans="1:21" ht="14.1" customHeight="1" thickTop="1" x14ac:dyDescent="0.2">
      <c r="A390" s="252">
        <v>43</v>
      </c>
      <c r="B390" s="312"/>
      <c r="S390" s="262"/>
      <c r="U390" s="283"/>
    </row>
    <row r="391" spans="1:21" ht="14.1" customHeight="1" thickBot="1" x14ac:dyDescent="0.25">
      <c r="A391" s="252">
        <v>44</v>
      </c>
      <c r="B391" s="742" t="s">
        <v>186</v>
      </c>
      <c r="C391" s="264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2"/>
      <c r="U391" s="283"/>
    </row>
    <row r="392" spans="1:21" ht="14.1" customHeight="1" x14ac:dyDescent="0.2">
      <c r="A392" s="252" t="s">
        <v>60</v>
      </c>
      <c r="P392" s="252" t="s">
        <v>60</v>
      </c>
      <c r="S392" s="262"/>
      <c r="U392" s="283"/>
    </row>
    <row r="393" spans="1:21" ht="14.1" customHeight="1" thickBot="1" x14ac:dyDescent="0.25">
      <c r="A393" s="264" t="s">
        <v>127</v>
      </c>
      <c r="B393" s="264"/>
      <c r="C393" s="264"/>
      <c r="D393" s="264"/>
      <c r="E393" s="264"/>
      <c r="F393" s="264"/>
      <c r="G393" s="264" t="s">
        <v>128</v>
      </c>
      <c r="H393" s="264"/>
      <c r="I393" s="264"/>
      <c r="J393" s="264"/>
      <c r="K393" s="264"/>
      <c r="L393" s="264"/>
      <c r="M393" s="264"/>
      <c r="N393" s="264"/>
      <c r="O393" s="264"/>
      <c r="P393" s="264"/>
      <c r="Q393" s="264"/>
      <c r="R393" s="264" t="s">
        <v>330</v>
      </c>
      <c r="S393" s="262"/>
      <c r="U393" s="283"/>
    </row>
    <row r="394" spans="1:21" ht="14.1" customHeight="1" x14ac:dyDescent="0.2">
      <c r="A394" s="252" t="s">
        <v>129</v>
      </c>
      <c r="B394" s="285"/>
      <c r="E394" s="260" t="s">
        <v>130</v>
      </c>
      <c r="F394" s="252" t="s">
        <v>1405</v>
      </c>
      <c r="J394" s="286"/>
      <c r="K394" s="286"/>
      <c r="M394" s="286"/>
      <c r="N394" s="286"/>
      <c r="O394" s="286" t="s">
        <v>187</v>
      </c>
      <c r="R394" s="261"/>
      <c r="S394" s="262"/>
      <c r="U394" s="283"/>
    </row>
    <row r="395" spans="1:21" ht="14.1" customHeight="1" x14ac:dyDescent="0.2">
      <c r="B395" s="285"/>
      <c r="F395" s="252" t="s">
        <v>1406</v>
      </c>
      <c r="J395" s="260"/>
      <c r="K395" s="261"/>
      <c r="N395" s="260"/>
      <c r="O395" s="260" t="s">
        <v>123</v>
      </c>
      <c r="P395" s="261" t="s">
        <v>1407</v>
      </c>
      <c r="R395" s="260"/>
      <c r="S395" s="262"/>
      <c r="U395" s="283"/>
    </row>
    <row r="396" spans="1:21" ht="14.1" customHeight="1" x14ac:dyDescent="0.2">
      <c r="A396" s="252" t="s">
        <v>134</v>
      </c>
      <c r="B396" s="285"/>
      <c r="F396" s="252" t="s">
        <v>123</v>
      </c>
      <c r="J396" s="260"/>
      <c r="K396" s="261"/>
      <c r="L396" s="260"/>
      <c r="O396" s="260" t="s">
        <v>123</v>
      </c>
      <c r="P396" s="261"/>
      <c r="R396" s="260"/>
      <c r="S396" s="262"/>
      <c r="U396" s="283"/>
    </row>
    <row r="397" spans="1:21" ht="14.1" customHeight="1" x14ac:dyDescent="0.2">
      <c r="B397" s="285"/>
      <c r="F397" s="252" t="s">
        <v>123</v>
      </c>
      <c r="J397" s="260"/>
      <c r="K397" s="261"/>
      <c r="L397" s="260"/>
      <c r="O397" s="260" t="s">
        <v>123</v>
      </c>
      <c r="P397" s="261"/>
      <c r="R397" s="260"/>
      <c r="S397" s="262"/>
      <c r="U397" s="283"/>
    </row>
    <row r="398" spans="1:21" ht="14.1" customHeight="1" thickBot="1" x14ac:dyDescent="0.25">
      <c r="A398" s="264" t="s">
        <v>135</v>
      </c>
      <c r="B398" s="287"/>
      <c r="C398" s="264"/>
      <c r="D398" s="264"/>
      <c r="E398" s="264"/>
      <c r="F398" s="264" t="s">
        <v>123</v>
      </c>
      <c r="G398" s="264"/>
      <c r="H398" s="266"/>
      <c r="I398" s="264"/>
      <c r="J398" s="264"/>
      <c r="K398" s="264"/>
      <c r="L398" s="264"/>
      <c r="M398" s="264"/>
      <c r="N398" s="264"/>
      <c r="O398" s="264"/>
      <c r="P398" s="288"/>
      <c r="Q398" s="264"/>
      <c r="R398" s="264"/>
      <c r="S398" s="262"/>
      <c r="U398" s="283"/>
    </row>
    <row r="399" spans="1:21" ht="14.1" customHeight="1" x14ac:dyDescent="0.2"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2"/>
      <c r="U399" s="283"/>
    </row>
    <row r="400" spans="1:21" ht="14.1" customHeight="1" x14ac:dyDescent="0.2">
      <c r="C400" s="267" t="s">
        <v>136</v>
      </c>
      <c r="D400" s="267" t="s">
        <v>137</v>
      </c>
      <c r="E400" s="267"/>
      <c r="F400" s="267" t="s">
        <v>138</v>
      </c>
      <c r="G400" s="267"/>
      <c r="H400" s="267" t="s">
        <v>139</v>
      </c>
      <c r="I400" s="267"/>
      <c r="J400" s="269" t="s">
        <v>140</v>
      </c>
      <c r="K400" s="269"/>
      <c r="L400" s="267" t="s">
        <v>141</v>
      </c>
      <c r="M400" s="267"/>
      <c r="N400" s="267" t="s">
        <v>142</v>
      </c>
      <c r="O400" s="267"/>
      <c r="P400" s="267" t="s">
        <v>143</v>
      </c>
      <c r="Q400" s="267"/>
      <c r="R400" s="267" t="s">
        <v>144</v>
      </c>
      <c r="S400" s="262"/>
      <c r="U400" s="283"/>
    </row>
    <row r="401" spans="1:21" ht="14.1" customHeight="1" x14ac:dyDescent="0.2">
      <c r="C401" s="269" t="s">
        <v>145</v>
      </c>
      <c r="D401" s="269" t="s">
        <v>145</v>
      </c>
      <c r="F401" s="269" t="s">
        <v>6</v>
      </c>
      <c r="G401" s="269"/>
      <c r="H401" s="267" t="s">
        <v>48</v>
      </c>
      <c r="I401" s="269"/>
      <c r="J401" s="267" t="s">
        <v>40</v>
      </c>
      <c r="K401" s="269"/>
      <c r="L401" s="269" t="s">
        <v>40</v>
      </c>
      <c r="M401" s="269"/>
      <c r="P401" s="269" t="s">
        <v>48</v>
      </c>
      <c r="R401" s="269"/>
      <c r="S401" s="262"/>
      <c r="U401" s="283"/>
    </row>
    <row r="402" spans="1:21" ht="14.1" customHeight="1" x14ac:dyDescent="0.2">
      <c r="A402" s="252" t="s">
        <v>146</v>
      </c>
      <c r="B402" s="269"/>
      <c r="C402" s="269" t="s">
        <v>147</v>
      </c>
      <c r="D402" s="269" t="s">
        <v>147</v>
      </c>
      <c r="E402" s="267"/>
      <c r="F402" s="269" t="s">
        <v>148</v>
      </c>
      <c r="G402" s="269"/>
      <c r="H402" s="269" t="s">
        <v>149</v>
      </c>
      <c r="I402" s="269"/>
      <c r="J402" s="269" t="s">
        <v>48</v>
      </c>
      <c r="K402" s="267"/>
      <c r="L402" s="269" t="s">
        <v>48</v>
      </c>
      <c r="M402" s="261"/>
      <c r="N402" s="269" t="s">
        <v>150</v>
      </c>
      <c r="O402" s="267"/>
      <c r="P402" s="267" t="s">
        <v>149</v>
      </c>
      <c r="Q402" s="267"/>
      <c r="R402" s="269" t="s">
        <v>151</v>
      </c>
      <c r="S402" s="262"/>
      <c r="U402" s="283"/>
    </row>
    <row r="403" spans="1:21" ht="14.1" customHeight="1" thickBot="1" x14ac:dyDescent="0.25">
      <c r="A403" s="264" t="s">
        <v>152</v>
      </c>
      <c r="B403" s="266"/>
      <c r="C403" s="266" t="s">
        <v>52</v>
      </c>
      <c r="D403" s="266" t="s">
        <v>153</v>
      </c>
      <c r="E403" s="266"/>
      <c r="F403" s="270" t="s">
        <v>57</v>
      </c>
      <c r="G403" s="270"/>
      <c r="H403" s="270" t="s">
        <v>154</v>
      </c>
      <c r="I403" s="271"/>
      <c r="J403" s="270" t="s">
        <v>155</v>
      </c>
      <c r="K403" s="271"/>
      <c r="L403" s="271" t="s">
        <v>156</v>
      </c>
      <c r="M403" s="272"/>
      <c r="N403" s="272" t="s">
        <v>157</v>
      </c>
      <c r="O403" s="272"/>
      <c r="P403" s="272" t="s">
        <v>158</v>
      </c>
      <c r="Q403" s="272"/>
      <c r="R403" s="272" t="s">
        <v>3</v>
      </c>
      <c r="S403" s="262"/>
      <c r="U403" s="283"/>
    </row>
    <row r="404" spans="1:21" ht="14.1" customHeight="1" x14ac:dyDescent="0.2">
      <c r="A404" s="252">
        <v>1</v>
      </c>
      <c r="B404" s="269"/>
      <c r="S404" s="262"/>
      <c r="U404" s="283"/>
    </row>
    <row r="405" spans="1:21" ht="14.1" customHeight="1" x14ac:dyDescent="0.2">
      <c r="A405" s="252">
        <v>2</v>
      </c>
      <c r="B405" s="312"/>
      <c r="C405" s="322"/>
      <c r="D405" s="83" t="s">
        <v>125</v>
      </c>
      <c r="E405" s="83"/>
      <c r="F405" s="315"/>
      <c r="G405" s="83"/>
      <c r="H405" s="323"/>
      <c r="I405" s="323"/>
      <c r="J405" s="323"/>
      <c r="K405" s="323"/>
      <c r="L405" s="323"/>
      <c r="M405" s="323"/>
      <c r="N405" s="323"/>
      <c r="O405" s="323"/>
      <c r="P405" s="323"/>
      <c r="Q405" s="323"/>
      <c r="R405" s="761"/>
      <c r="S405" s="262"/>
      <c r="U405" s="283"/>
    </row>
    <row r="406" spans="1:21" ht="14.1" customHeight="1" x14ac:dyDescent="0.2">
      <c r="A406" s="252">
        <v>3</v>
      </c>
      <c r="B406" s="312"/>
      <c r="C406" s="269">
        <v>36001</v>
      </c>
      <c r="D406" s="282" t="s">
        <v>242</v>
      </c>
      <c r="E406" s="282"/>
      <c r="F406" s="313"/>
      <c r="G406" s="260"/>
      <c r="H406" s="655"/>
      <c r="I406" s="752"/>
      <c r="J406" s="734"/>
      <c r="K406" s="752"/>
      <c r="L406" s="734"/>
      <c r="M406" s="752"/>
      <c r="N406" s="734"/>
      <c r="O406" s="752"/>
      <c r="P406" s="734"/>
      <c r="Q406" s="752"/>
      <c r="R406" s="734"/>
      <c r="S406" s="262"/>
      <c r="U406" s="283"/>
    </row>
    <row r="407" spans="1:21" ht="14.1" customHeight="1" x14ac:dyDescent="0.2">
      <c r="A407" s="252">
        <v>4</v>
      </c>
      <c r="B407" s="312"/>
      <c r="C407" s="269">
        <v>36100</v>
      </c>
      <c r="D407" s="252" t="s">
        <v>243</v>
      </c>
      <c r="F407" s="313">
        <v>1.8000000000000003</v>
      </c>
      <c r="G407" s="260"/>
      <c r="H407" s="655">
        <v>24230245.84</v>
      </c>
      <c r="I407" s="733"/>
      <c r="J407" s="734">
        <v>4441552.2300000004</v>
      </c>
      <c r="K407" s="277"/>
      <c r="L407" s="734">
        <v>-50430.740000000005</v>
      </c>
      <c r="M407" s="277"/>
      <c r="N407" s="734">
        <v>16234.75</v>
      </c>
      <c r="O407" s="277"/>
      <c r="P407" s="734">
        <v>28637602.080000002</v>
      </c>
      <c r="Q407" s="277"/>
      <c r="R407" s="734">
        <v>26961536.774615381</v>
      </c>
      <c r="S407" s="262"/>
      <c r="U407" s="283"/>
    </row>
    <row r="408" spans="1:21" ht="14.1" customHeight="1" x14ac:dyDescent="0.2">
      <c r="A408" s="252">
        <v>5</v>
      </c>
      <c r="B408" s="312"/>
      <c r="C408" s="269">
        <v>36200</v>
      </c>
      <c r="D408" s="252" t="s">
        <v>244</v>
      </c>
      <c r="F408" s="313">
        <v>2.4</v>
      </c>
      <c r="G408" s="260"/>
      <c r="H408" s="655">
        <v>251601057.17999998</v>
      </c>
      <c r="I408" s="733"/>
      <c r="J408" s="734">
        <v>5324802.3299999991</v>
      </c>
      <c r="K408" s="277"/>
      <c r="L408" s="734">
        <v>-1690096.28</v>
      </c>
      <c r="M408" s="277"/>
      <c r="N408" s="734">
        <v>551249.88</v>
      </c>
      <c r="O408" s="277"/>
      <c r="P408" s="734">
        <v>255787013.10999998</v>
      </c>
      <c r="Q408" s="277"/>
      <c r="R408" s="734">
        <v>259497475.59</v>
      </c>
      <c r="S408" s="262"/>
      <c r="U408" s="283"/>
    </row>
    <row r="409" spans="1:21" ht="14.1" customHeight="1" x14ac:dyDescent="0.2">
      <c r="A409" s="252">
        <v>6</v>
      </c>
      <c r="B409" s="312"/>
      <c r="C409" s="269">
        <v>36400</v>
      </c>
      <c r="D409" s="252" t="s">
        <v>252</v>
      </c>
      <c r="F409" s="313">
        <v>4.4000000000000004</v>
      </c>
      <c r="G409" s="260"/>
      <c r="H409" s="655">
        <v>333019244.75000018</v>
      </c>
      <c r="I409" s="733"/>
      <c r="J409" s="734">
        <v>2849482.5500000007</v>
      </c>
      <c r="K409" s="277"/>
      <c r="L409" s="734">
        <v>-2839621.1300000004</v>
      </c>
      <c r="M409" s="277"/>
      <c r="N409" s="734">
        <v>-364008.21</v>
      </c>
      <c r="O409" s="277"/>
      <c r="P409" s="734">
        <v>332665097.96000022</v>
      </c>
      <c r="Q409" s="277"/>
      <c r="R409" s="734">
        <v>332236103.28769249</v>
      </c>
      <c r="S409" s="262"/>
      <c r="U409" s="283"/>
    </row>
    <row r="410" spans="1:21" ht="14.1" customHeight="1" x14ac:dyDescent="0.2">
      <c r="A410" s="252">
        <v>7</v>
      </c>
      <c r="B410" s="269"/>
      <c r="C410" s="269">
        <v>36500</v>
      </c>
      <c r="D410" s="252" t="s">
        <v>247</v>
      </c>
      <c r="F410" s="313">
        <v>3.1</v>
      </c>
      <c r="G410" s="260"/>
      <c r="H410" s="655">
        <v>261850255.59000006</v>
      </c>
      <c r="I410" s="733"/>
      <c r="J410" s="734">
        <v>4303076.8</v>
      </c>
      <c r="K410" s="277"/>
      <c r="L410" s="734">
        <v>-1904165.25</v>
      </c>
      <c r="M410" s="277"/>
      <c r="N410" s="734">
        <v>293836.47000000009</v>
      </c>
      <c r="O410" s="277"/>
      <c r="P410" s="734">
        <v>264543003.61000007</v>
      </c>
      <c r="Q410" s="277"/>
      <c r="R410" s="734">
        <v>265837342.13384625</v>
      </c>
      <c r="S410" s="262"/>
      <c r="U410" s="283"/>
    </row>
    <row r="411" spans="1:21" ht="14.1" customHeight="1" x14ac:dyDescent="0.2">
      <c r="A411" s="252">
        <v>8</v>
      </c>
      <c r="B411" s="269"/>
      <c r="C411" s="269">
        <v>36600</v>
      </c>
      <c r="D411" s="252" t="s">
        <v>249</v>
      </c>
      <c r="F411" s="313">
        <v>1.8000000000000003</v>
      </c>
      <c r="G411" s="260"/>
      <c r="H411" s="655">
        <v>286362213.31999987</v>
      </c>
      <c r="I411" s="733"/>
      <c r="J411" s="734">
        <v>18256584.789999999</v>
      </c>
      <c r="K411" s="277"/>
      <c r="L411" s="734">
        <v>-171912.2</v>
      </c>
      <c r="M411" s="277"/>
      <c r="N411" s="734">
        <v>487307.34</v>
      </c>
      <c r="O411" s="277"/>
      <c r="P411" s="734">
        <v>304934193.24999988</v>
      </c>
      <c r="Q411" s="277"/>
      <c r="R411" s="734">
        <v>296573801.33076912</v>
      </c>
      <c r="S411" s="262"/>
      <c r="U411" s="283"/>
    </row>
    <row r="412" spans="1:21" ht="14.1" customHeight="1" x14ac:dyDescent="0.2">
      <c r="A412" s="252">
        <v>9</v>
      </c>
      <c r="B412" s="269"/>
      <c r="C412" s="269">
        <v>36700</v>
      </c>
      <c r="D412" s="252" t="s">
        <v>250</v>
      </c>
      <c r="F412" s="313">
        <v>3</v>
      </c>
      <c r="G412" s="260"/>
      <c r="H412" s="655">
        <v>296208322.48000026</v>
      </c>
      <c r="I412" s="733"/>
      <c r="J412" s="734">
        <v>28458439.850000001</v>
      </c>
      <c r="K412" s="277"/>
      <c r="L412" s="734">
        <v>-5117990.25</v>
      </c>
      <c r="M412" s="277"/>
      <c r="N412" s="734">
        <v>67985.920000000042</v>
      </c>
      <c r="O412" s="277"/>
      <c r="P412" s="734">
        <v>319616758.0000003</v>
      </c>
      <c r="Q412" s="277"/>
      <c r="R412" s="734">
        <v>309671727.6061542</v>
      </c>
      <c r="S412" s="262"/>
      <c r="U412" s="283"/>
    </row>
    <row r="413" spans="1:21" ht="14.1" customHeight="1" x14ac:dyDescent="0.2">
      <c r="A413" s="252">
        <v>10</v>
      </c>
      <c r="B413" s="312"/>
      <c r="C413" s="269">
        <v>36800</v>
      </c>
      <c r="D413" s="252" t="s">
        <v>253</v>
      </c>
      <c r="F413" s="313">
        <v>4.4000000000000004</v>
      </c>
      <c r="G413" s="260"/>
      <c r="H413" s="655">
        <v>699987176.20000041</v>
      </c>
      <c r="I413" s="733"/>
      <c r="J413" s="734">
        <v>49171572.359999999</v>
      </c>
      <c r="K413" s="277"/>
      <c r="L413" s="734">
        <v>-8674669.9899999984</v>
      </c>
      <c r="M413" s="277"/>
      <c r="N413" s="734">
        <v>-269154.68000000005</v>
      </c>
      <c r="O413" s="277"/>
      <c r="P413" s="734">
        <v>740214923.89000046</v>
      </c>
      <c r="Q413" s="277"/>
      <c r="R413" s="734">
        <v>720050144.32769275</v>
      </c>
      <c r="S413" s="262"/>
      <c r="U413" s="283"/>
    </row>
    <row r="414" spans="1:21" ht="14.1" customHeight="1" x14ac:dyDescent="0.2">
      <c r="A414" s="252">
        <v>11</v>
      </c>
      <c r="B414" s="312"/>
      <c r="C414" s="269">
        <v>36900</v>
      </c>
      <c r="D414" s="252" t="s">
        <v>254</v>
      </c>
      <c r="F414" s="313">
        <v>3.4000000000000004</v>
      </c>
      <c r="G414" s="260"/>
      <c r="H414" s="655">
        <v>77275952.74999997</v>
      </c>
      <c r="I414" s="733"/>
      <c r="J414" s="734">
        <v>908565.16999999993</v>
      </c>
      <c r="K414" s="277"/>
      <c r="L414" s="734">
        <v>-86910.150000000009</v>
      </c>
      <c r="M414" s="277"/>
      <c r="N414" s="734">
        <v>13277.220000000001</v>
      </c>
      <c r="O414" s="277"/>
      <c r="P414" s="734">
        <v>78110884.989999965</v>
      </c>
      <c r="Q414" s="277"/>
      <c r="R414" s="734">
        <v>78377544.37846154</v>
      </c>
      <c r="S414" s="262"/>
      <c r="U414" s="283"/>
    </row>
    <row r="415" spans="1:21" ht="14.1" customHeight="1" x14ac:dyDescent="0.2">
      <c r="A415" s="252">
        <v>12</v>
      </c>
      <c r="B415" s="312"/>
      <c r="C415" s="269">
        <v>36902</v>
      </c>
      <c r="D415" s="252" t="s">
        <v>255</v>
      </c>
      <c r="F415" s="313">
        <v>2.8</v>
      </c>
      <c r="G415" s="260"/>
      <c r="H415" s="655">
        <v>125873217.07000004</v>
      </c>
      <c r="I415" s="733"/>
      <c r="J415" s="734">
        <v>4044951.57</v>
      </c>
      <c r="K415" s="277"/>
      <c r="L415" s="734">
        <v>-289706.98000000004</v>
      </c>
      <c r="M415" s="277"/>
      <c r="N415" s="734">
        <v>-332105.97000000003</v>
      </c>
      <c r="O415" s="277"/>
      <c r="P415" s="734">
        <v>129296355.69000003</v>
      </c>
      <c r="Q415" s="277"/>
      <c r="R415" s="734">
        <v>128076415.57615389</v>
      </c>
      <c r="S415" s="262"/>
      <c r="U415" s="283"/>
    </row>
    <row r="416" spans="1:21" ht="14.1" customHeight="1" x14ac:dyDescent="0.2">
      <c r="A416" s="252">
        <v>13</v>
      </c>
      <c r="B416" s="312"/>
      <c r="C416" s="269">
        <v>37000</v>
      </c>
      <c r="D416" s="252" t="s">
        <v>256</v>
      </c>
      <c r="F416" s="313">
        <v>7.2000000000000011</v>
      </c>
      <c r="G416" s="260"/>
      <c r="H416" s="655">
        <v>83007233.929999977</v>
      </c>
      <c r="I416" s="733"/>
      <c r="J416" s="734">
        <v>402096.25</v>
      </c>
      <c r="K416" s="277"/>
      <c r="L416" s="734">
        <v>-4604303.3999999994</v>
      </c>
      <c r="M416" s="277"/>
      <c r="N416" s="734">
        <v>-23514.91</v>
      </c>
      <c r="O416" s="277"/>
      <c r="P416" s="734">
        <v>78781511.869999975</v>
      </c>
      <c r="Q416" s="277"/>
      <c r="R416" s="734">
        <v>80086562.443846166</v>
      </c>
      <c r="S416" s="262"/>
      <c r="U416" s="283"/>
    </row>
    <row r="417" spans="1:22" ht="14.1" customHeight="1" x14ac:dyDescent="0.2">
      <c r="A417" s="252">
        <v>14</v>
      </c>
      <c r="B417" s="312"/>
      <c r="C417" s="269">
        <v>37001</v>
      </c>
      <c r="D417" s="252" t="s">
        <v>1383</v>
      </c>
      <c r="F417" s="313">
        <v>7.2000000000000011</v>
      </c>
      <c r="H417" s="655">
        <v>0</v>
      </c>
      <c r="I417" s="733"/>
      <c r="J417" s="734">
        <v>0</v>
      </c>
      <c r="K417" s="277"/>
      <c r="L417" s="734">
        <v>0</v>
      </c>
      <c r="M417" s="277"/>
      <c r="N417" s="734">
        <v>0</v>
      </c>
      <c r="O417" s="277"/>
      <c r="P417" s="734">
        <v>0</v>
      </c>
      <c r="Q417" s="277"/>
      <c r="R417" s="734">
        <v>0</v>
      </c>
      <c r="S417" s="262"/>
      <c r="U417" s="283"/>
    </row>
    <row r="418" spans="1:22" ht="14.1" customHeight="1" x14ac:dyDescent="0.2">
      <c r="A418" s="252">
        <v>15</v>
      </c>
      <c r="B418" s="269"/>
      <c r="C418" s="269">
        <v>37300</v>
      </c>
      <c r="D418" s="252" t="s">
        <v>257</v>
      </c>
      <c r="F418" s="313">
        <v>5.4</v>
      </c>
      <c r="G418" s="260"/>
      <c r="H418" s="655">
        <v>274480865.57999986</v>
      </c>
      <c r="I418" s="733"/>
      <c r="J418" s="734">
        <v>45959687.809999987</v>
      </c>
      <c r="K418" s="277"/>
      <c r="L418" s="734">
        <v>-11946522.130000001</v>
      </c>
      <c r="M418" s="277"/>
      <c r="N418" s="734">
        <v>7701.41</v>
      </c>
      <c r="O418" s="277"/>
      <c r="P418" s="734">
        <v>308501732.6699999</v>
      </c>
      <c r="Q418" s="277"/>
      <c r="R418" s="734">
        <v>292867809.71538442</v>
      </c>
      <c r="S418" s="262"/>
      <c r="U418" s="283"/>
    </row>
    <row r="419" spans="1:22" ht="14.1" customHeight="1" x14ac:dyDescent="0.2">
      <c r="A419" s="252">
        <v>16</v>
      </c>
      <c r="B419" s="269"/>
      <c r="C419" s="269"/>
      <c r="F419" s="313"/>
      <c r="G419" s="260"/>
      <c r="H419" s="655"/>
      <c r="I419" s="733"/>
      <c r="J419" s="734"/>
      <c r="K419" s="277"/>
      <c r="L419" s="734"/>
      <c r="M419" s="277"/>
      <c r="N419" s="734"/>
      <c r="O419" s="277"/>
      <c r="P419" s="734"/>
      <c r="Q419" s="277"/>
      <c r="R419" s="734"/>
      <c r="S419" s="262"/>
      <c r="U419" s="283"/>
    </row>
    <row r="420" spans="1:22" ht="14.1" customHeight="1" thickBot="1" x14ac:dyDescent="0.25">
      <c r="A420" s="252">
        <v>17</v>
      </c>
      <c r="B420" s="269"/>
      <c r="D420" s="83" t="s">
        <v>169</v>
      </c>
      <c r="E420" s="83"/>
      <c r="F420" s="315"/>
      <c r="G420" s="257"/>
      <c r="H420" s="665">
        <v>2713895784.6900005</v>
      </c>
      <c r="I420" s="754"/>
      <c r="J420" s="665">
        <v>164120811.70999998</v>
      </c>
      <c r="K420" s="754"/>
      <c r="L420" s="665">
        <v>-37376328.5</v>
      </c>
      <c r="M420" s="754"/>
      <c r="N420" s="665">
        <v>448809.22000000003</v>
      </c>
      <c r="O420" s="754"/>
      <c r="P420" s="665">
        <v>2841089077.1200008</v>
      </c>
      <c r="Q420" s="754"/>
      <c r="R420" s="665">
        <v>2790236463.1646161</v>
      </c>
      <c r="S420" s="262"/>
      <c r="U420" s="283"/>
    </row>
    <row r="421" spans="1:22" ht="14.1" customHeight="1" thickTop="1" x14ac:dyDescent="0.2">
      <c r="A421" s="252">
        <v>18</v>
      </c>
      <c r="B421" s="269"/>
      <c r="C421" s="83"/>
      <c r="H421" s="602"/>
      <c r="I421" s="277"/>
      <c r="J421" s="277"/>
      <c r="K421" s="277"/>
      <c r="L421" s="277"/>
      <c r="M421" s="277"/>
      <c r="N421" s="277"/>
      <c r="O421" s="277"/>
      <c r="P421" s="277"/>
      <c r="Q421" s="277"/>
      <c r="R421" s="277"/>
      <c r="S421" s="262"/>
      <c r="U421" s="283"/>
    </row>
    <row r="422" spans="1:22" ht="14.1" customHeight="1" x14ac:dyDescent="0.2">
      <c r="A422" s="252">
        <v>19</v>
      </c>
      <c r="B422" s="312"/>
      <c r="C422" s="83"/>
      <c r="D422" s="298" t="s">
        <v>126</v>
      </c>
      <c r="E422" s="298"/>
      <c r="F422" s="315"/>
      <c r="G422" s="83"/>
      <c r="H422" s="672"/>
      <c r="I422" s="754"/>
      <c r="J422" s="754"/>
      <c r="K422" s="754"/>
      <c r="L422" s="754"/>
      <c r="M422" s="754"/>
      <c r="N422" s="754"/>
      <c r="O422" s="754"/>
      <c r="P422" s="754"/>
      <c r="Q422" s="754"/>
      <c r="R422" s="754"/>
      <c r="S422" s="262"/>
    </row>
    <row r="423" spans="1:22" s="83" customFormat="1" ht="14.1" customHeight="1" x14ac:dyDescent="0.2">
      <c r="A423" s="252">
        <v>20</v>
      </c>
      <c r="B423" s="299"/>
      <c r="C423" s="269">
        <v>39000</v>
      </c>
      <c r="D423" s="682" t="s">
        <v>243</v>
      </c>
      <c r="E423" s="252"/>
      <c r="F423" s="313">
        <v>2.2999999999999998</v>
      </c>
      <c r="G423" s="260"/>
      <c r="H423" s="655">
        <v>121579245.11000001</v>
      </c>
      <c r="I423" s="733"/>
      <c r="J423" s="734">
        <v>5519868.1399999997</v>
      </c>
      <c r="K423" s="277"/>
      <c r="L423" s="734">
        <v>-659039.31999999983</v>
      </c>
      <c r="M423" s="277"/>
      <c r="N423" s="734">
        <v>0</v>
      </c>
      <c r="O423" s="277"/>
      <c r="P423" s="734">
        <v>126440073.93000002</v>
      </c>
      <c r="Q423" s="277"/>
      <c r="R423" s="734">
        <v>124008065.30692308</v>
      </c>
      <c r="S423" s="109"/>
      <c r="U423" s="297"/>
    </row>
    <row r="424" spans="1:22" ht="14.1" customHeight="1" x14ac:dyDescent="0.2">
      <c r="A424" s="252">
        <v>21</v>
      </c>
      <c r="B424" s="269"/>
      <c r="C424" s="269">
        <v>39101</v>
      </c>
      <c r="D424" s="682" t="s">
        <v>258</v>
      </c>
      <c r="F424" s="313">
        <v>14.299999999999999</v>
      </c>
      <c r="G424" s="260"/>
      <c r="H424" s="655">
        <v>5776002.5</v>
      </c>
      <c r="I424" s="733"/>
      <c r="J424" s="734">
        <v>360319</v>
      </c>
      <c r="K424" s="277"/>
      <c r="L424" s="734">
        <v>-389864.3</v>
      </c>
      <c r="M424" s="277"/>
      <c r="N424" s="734">
        <v>0</v>
      </c>
      <c r="O424" s="277"/>
      <c r="P424" s="734">
        <v>5746457.2000000002</v>
      </c>
      <c r="Q424" s="277"/>
      <c r="R424" s="734">
        <v>5702830.3746153852</v>
      </c>
      <c r="S424" s="262"/>
      <c r="U424" s="283"/>
    </row>
    <row r="425" spans="1:22" ht="14.1" customHeight="1" x14ac:dyDescent="0.2">
      <c r="A425" s="252">
        <v>22</v>
      </c>
      <c r="B425" s="269"/>
      <c r="C425" s="269">
        <v>39102</v>
      </c>
      <c r="D425" s="682" t="s">
        <v>259</v>
      </c>
      <c r="F425" s="313">
        <v>25</v>
      </c>
      <c r="G425" s="260"/>
      <c r="H425" s="655">
        <v>3849326.6100000008</v>
      </c>
      <c r="I425" s="733"/>
      <c r="J425" s="734">
        <v>1199069.49</v>
      </c>
      <c r="K425" s="277"/>
      <c r="L425" s="734">
        <v>-2776131.76</v>
      </c>
      <c r="M425" s="277"/>
      <c r="N425" s="734">
        <v>0</v>
      </c>
      <c r="O425" s="277"/>
      <c r="P425" s="734">
        <v>2272264.3400000008</v>
      </c>
      <c r="Q425" s="277"/>
      <c r="R425" s="734">
        <v>3113947.8238461548</v>
      </c>
      <c r="S425" s="262"/>
      <c r="U425" s="283"/>
    </row>
    <row r="426" spans="1:22" ht="14.1" customHeight="1" x14ac:dyDescent="0.2">
      <c r="A426" s="252">
        <v>23</v>
      </c>
      <c r="B426" s="269"/>
      <c r="C426" s="269">
        <v>39103</v>
      </c>
      <c r="D426" s="682" t="s">
        <v>260</v>
      </c>
      <c r="F426" s="313">
        <v>14.299999999999999</v>
      </c>
      <c r="G426" s="260"/>
      <c r="H426" s="655">
        <v>0</v>
      </c>
      <c r="I426" s="733"/>
      <c r="J426" s="734">
        <v>0</v>
      </c>
      <c r="K426" s="277"/>
      <c r="L426" s="734">
        <v>0</v>
      </c>
      <c r="M426" s="277"/>
      <c r="N426" s="734">
        <v>0</v>
      </c>
      <c r="O426" s="277"/>
      <c r="P426" s="734">
        <v>0</v>
      </c>
      <c r="Q426" s="277"/>
      <c r="R426" s="734">
        <v>0</v>
      </c>
      <c r="S426" s="262"/>
      <c r="U426" s="283"/>
    </row>
    <row r="427" spans="1:22" ht="14.1" customHeight="1" x14ac:dyDescent="0.2">
      <c r="A427" s="252">
        <v>24</v>
      </c>
      <c r="B427" s="269"/>
      <c r="C427" s="269">
        <v>39104</v>
      </c>
      <c r="D427" s="682" t="s">
        <v>261</v>
      </c>
      <c r="F427" s="313">
        <v>20</v>
      </c>
      <c r="G427" s="260"/>
      <c r="H427" s="655">
        <v>35915918.480000012</v>
      </c>
      <c r="I427" s="733"/>
      <c r="J427" s="734">
        <v>5375677.4500000011</v>
      </c>
      <c r="K427" s="277"/>
      <c r="L427" s="734">
        <v>-4303247.4799999995</v>
      </c>
      <c r="M427" s="277"/>
      <c r="N427" s="734">
        <v>962186.4</v>
      </c>
      <c r="O427" s="277"/>
      <c r="P427" s="734">
        <v>37950534.850000016</v>
      </c>
      <c r="Q427" s="277"/>
      <c r="R427" s="734">
        <v>33329310.37000002</v>
      </c>
      <c r="S427" s="262"/>
      <c r="U427" s="283"/>
    </row>
    <row r="428" spans="1:22" ht="14.1" customHeight="1" x14ac:dyDescent="0.2">
      <c r="A428" s="252">
        <v>25</v>
      </c>
      <c r="B428" s="269"/>
      <c r="C428" s="269">
        <v>39202</v>
      </c>
      <c r="D428" s="683" t="s">
        <v>262</v>
      </c>
      <c r="F428" s="313">
        <v>5.2</v>
      </c>
      <c r="G428" s="260"/>
      <c r="H428" s="655">
        <v>12604114.560000008</v>
      </c>
      <c r="I428" s="733"/>
      <c r="J428" s="734">
        <v>1979738.26</v>
      </c>
      <c r="K428" s="277"/>
      <c r="L428" s="734">
        <v>-534789.24</v>
      </c>
      <c r="M428" s="277"/>
      <c r="N428" s="734">
        <v>0</v>
      </c>
      <c r="O428" s="277"/>
      <c r="P428" s="734">
        <v>14049063.580000008</v>
      </c>
      <c r="Q428" s="277"/>
      <c r="R428" s="734">
        <v>13053434.319230776</v>
      </c>
      <c r="S428" s="262"/>
      <c r="U428" s="283"/>
    </row>
    <row r="429" spans="1:22" ht="14.1" customHeight="1" x14ac:dyDescent="0.2">
      <c r="A429" s="252">
        <v>26</v>
      </c>
      <c r="B429" s="269"/>
      <c r="C429" s="269">
        <v>39203</v>
      </c>
      <c r="D429" s="683" t="s">
        <v>263</v>
      </c>
      <c r="F429" s="313">
        <v>5.0999999999999996</v>
      </c>
      <c r="G429" s="260"/>
      <c r="H429" s="655">
        <v>53796773.520000018</v>
      </c>
      <c r="I429" s="733"/>
      <c r="J429" s="734">
        <v>810576.92</v>
      </c>
      <c r="K429" s="277"/>
      <c r="L429" s="734">
        <v>-667524.66999999993</v>
      </c>
      <c r="M429" s="277"/>
      <c r="N429" s="734">
        <v>0</v>
      </c>
      <c r="O429" s="277"/>
      <c r="P429" s="734">
        <v>53939825.770000018</v>
      </c>
      <c r="Q429" s="277"/>
      <c r="R429" s="734">
        <v>54196788.226923093</v>
      </c>
      <c r="S429" s="262"/>
      <c r="U429" s="283"/>
    </row>
    <row r="430" spans="1:22" ht="14.1" customHeight="1" x14ac:dyDescent="0.2">
      <c r="A430" s="252">
        <v>27</v>
      </c>
      <c r="B430" s="269"/>
      <c r="C430" s="269">
        <v>39204</v>
      </c>
      <c r="D430" s="684" t="s">
        <v>264</v>
      </c>
      <c r="E430" s="282"/>
      <c r="F430" s="313">
        <v>6.6000000000000005</v>
      </c>
      <c r="G430" s="260"/>
      <c r="H430" s="655">
        <v>0</v>
      </c>
      <c r="I430" s="733"/>
      <c r="J430" s="734">
        <v>0</v>
      </c>
      <c r="K430" s="277"/>
      <c r="L430" s="734">
        <v>0</v>
      </c>
      <c r="M430" s="277"/>
      <c r="N430" s="734">
        <v>0</v>
      </c>
      <c r="O430" s="277"/>
      <c r="P430" s="734">
        <v>0</v>
      </c>
      <c r="Q430" s="277"/>
      <c r="R430" s="734">
        <v>0</v>
      </c>
      <c r="S430" s="262"/>
      <c r="U430" s="283"/>
      <c r="V430" s="283"/>
    </row>
    <row r="431" spans="1:22" ht="14.1" customHeight="1" x14ac:dyDescent="0.2">
      <c r="A431" s="252">
        <v>28</v>
      </c>
      <c r="B431" s="269"/>
      <c r="C431" s="269">
        <v>39212</v>
      </c>
      <c r="D431" s="682" t="s">
        <v>265</v>
      </c>
      <c r="F431" s="313">
        <v>6.6000000000000005</v>
      </c>
      <c r="G431" s="260"/>
      <c r="H431" s="655">
        <v>2886718.0200000019</v>
      </c>
      <c r="I431" s="733"/>
      <c r="J431" s="734">
        <v>33841.769999999997</v>
      </c>
      <c r="K431" s="277"/>
      <c r="L431" s="734">
        <v>-59241.210000000006</v>
      </c>
      <c r="M431" s="277"/>
      <c r="N431" s="734">
        <v>0</v>
      </c>
      <c r="O431" s="277"/>
      <c r="P431" s="734">
        <v>2861318.5800000019</v>
      </c>
      <c r="Q431" s="277"/>
      <c r="R431" s="734">
        <v>2908880.330000001</v>
      </c>
      <c r="S431" s="262"/>
      <c r="U431" s="283"/>
    </row>
    <row r="432" spans="1:22" s="83" customFormat="1" ht="14.1" customHeight="1" x14ac:dyDescent="0.2">
      <c r="A432" s="252">
        <v>29</v>
      </c>
      <c r="B432" s="328"/>
      <c r="C432" s="269">
        <v>39213</v>
      </c>
      <c r="D432" s="682" t="s">
        <v>266</v>
      </c>
      <c r="E432" s="252"/>
      <c r="F432" s="313">
        <v>3.7000000000000006</v>
      </c>
      <c r="G432" s="260"/>
      <c r="H432" s="655">
        <v>770868.77999999991</v>
      </c>
      <c r="I432" s="733"/>
      <c r="J432" s="734">
        <v>0</v>
      </c>
      <c r="K432" s="277"/>
      <c r="L432" s="734">
        <v>-29129.920000000002</v>
      </c>
      <c r="M432" s="277"/>
      <c r="N432" s="734">
        <v>0</v>
      </c>
      <c r="O432" s="277"/>
      <c r="P432" s="734">
        <v>741738.85999999987</v>
      </c>
      <c r="Q432" s="277"/>
      <c r="R432" s="734">
        <v>766387.25384615373</v>
      </c>
      <c r="S432" s="109"/>
      <c r="U432" s="297"/>
    </row>
    <row r="433" spans="1:21" ht="14.1" customHeight="1" x14ac:dyDescent="0.2">
      <c r="A433" s="252">
        <v>30</v>
      </c>
      <c r="B433" s="312"/>
      <c r="C433" s="269">
        <v>39214</v>
      </c>
      <c r="D433" s="685" t="s">
        <v>267</v>
      </c>
      <c r="E433" s="282"/>
      <c r="F433" s="313">
        <v>3.3000000000000003</v>
      </c>
      <c r="G433" s="260"/>
      <c r="H433" s="655">
        <v>0</v>
      </c>
      <c r="I433" s="733"/>
      <c r="J433" s="734">
        <v>0</v>
      </c>
      <c r="K433" s="277"/>
      <c r="L433" s="734">
        <v>0</v>
      </c>
      <c r="M433" s="277"/>
      <c r="N433" s="734">
        <v>0</v>
      </c>
      <c r="O433" s="277"/>
      <c r="P433" s="734">
        <v>0</v>
      </c>
      <c r="Q433" s="277"/>
      <c r="R433" s="734">
        <v>0</v>
      </c>
      <c r="S433" s="262"/>
      <c r="U433" s="283"/>
    </row>
    <row r="434" spans="1:21" s="83" customFormat="1" ht="14.1" customHeight="1" x14ac:dyDescent="0.2">
      <c r="A434" s="252">
        <v>31</v>
      </c>
      <c r="B434" s="328"/>
      <c r="C434" s="269">
        <v>39300</v>
      </c>
      <c r="D434" s="685" t="s">
        <v>268</v>
      </c>
      <c r="E434" s="282"/>
      <c r="F434" s="313">
        <v>14.299999999999999</v>
      </c>
      <c r="G434" s="260"/>
      <c r="H434" s="655">
        <v>0</v>
      </c>
      <c r="I434" s="733"/>
      <c r="J434" s="734">
        <v>0</v>
      </c>
      <c r="K434" s="277"/>
      <c r="L434" s="734">
        <v>0</v>
      </c>
      <c r="M434" s="277"/>
      <c r="N434" s="734">
        <v>0</v>
      </c>
      <c r="O434" s="277"/>
      <c r="P434" s="734">
        <v>0</v>
      </c>
      <c r="Q434" s="277"/>
      <c r="R434" s="734">
        <v>0</v>
      </c>
      <c r="S434" s="109"/>
      <c r="U434" s="297"/>
    </row>
    <row r="435" spans="1:21" ht="14.1" customHeight="1" x14ac:dyDescent="0.2">
      <c r="A435" s="252">
        <v>32</v>
      </c>
      <c r="B435" s="312"/>
      <c r="C435" s="269">
        <v>39400</v>
      </c>
      <c r="D435" s="282" t="s">
        <v>269</v>
      </c>
      <c r="E435" s="282"/>
      <c r="F435" s="313">
        <v>14.299999999999999</v>
      </c>
      <c r="G435" s="260"/>
      <c r="H435" s="655">
        <v>11916700.329999996</v>
      </c>
      <c r="I435" s="733"/>
      <c r="J435" s="734">
        <v>1784955.02</v>
      </c>
      <c r="K435" s="277"/>
      <c r="L435" s="734">
        <v>-252555.85</v>
      </c>
      <c r="M435" s="277"/>
      <c r="N435" s="734">
        <v>0</v>
      </c>
      <c r="O435" s="277"/>
      <c r="P435" s="734">
        <v>13449099.499999996</v>
      </c>
      <c r="Q435" s="277"/>
      <c r="R435" s="734">
        <v>12550908.704615382</v>
      </c>
      <c r="S435" s="262"/>
      <c r="U435" s="283"/>
    </row>
    <row r="436" spans="1:21" ht="14.1" customHeight="1" x14ac:dyDescent="0.2">
      <c r="A436" s="252">
        <v>33</v>
      </c>
      <c r="B436" s="312"/>
      <c r="C436" s="269">
        <v>39401</v>
      </c>
      <c r="D436" s="685" t="s">
        <v>1384</v>
      </c>
      <c r="F436" s="313">
        <v>20</v>
      </c>
      <c r="H436" s="655">
        <v>0</v>
      </c>
      <c r="I436" s="733"/>
      <c r="J436" s="734">
        <v>0</v>
      </c>
      <c r="K436" s="277"/>
      <c r="L436" s="734">
        <v>0</v>
      </c>
      <c r="M436" s="277"/>
      <c r="N436" s="734">
        <v>0</v>
      </c>
      <c r="O436" s="277"/>
      <c r="P436" s="734">
        <v>0</v>
      </c>
      <c r="Q436" s="277"/>
      <c r="R436" s="734">
        <v>0</v>
      </c>
      <c r="S436" s="262"/>
      <c r="U436" s="283"/>
    </row>
    <row r="437" spans="1:21" ht="14.1" customHeight="1" x14ac:dyDescent="0.2">
      <c r="A437" s="252">
        <v>34</v>
      </c>
      <c r="B437" s="312"/>
      <c r="C437" s="269">
        <v>39500</v>
      </c>
      <c r="D437" s="252" t="s">
        <v>270</v>
      </c>
      <c r="F437" s="313">
        <v>14.299999999999999</v>
      </c>
      <c r="G437" s="260"/>
      <c r="H437" s="655">
        <v>2138217.21</v>
      </c>
      <c r="I437" s="733"/>
      <c r="J437" s="734">
        <v>74968.89</v>
      </c>
      <c r="K437" s="277"/>
      <c r="L437" s="734">
        <v>-112212.76999999999</v>
      </c>
      <c r="M437" s="277"/>
      <c r="N437" s="734">
        <v>0</v>
      </c>
      <c r="O437" s="277"/>
      <c r="P437" s="734">
        <v>2100973.33</v>
      </c>
      <c r="Q437" s="277"/>
      <c r="R437" s="734">
        <v>2093202.3399999996</v>
      </c>
      <c r="S437" s="262"/>
      <c r="U437" s="283"/>
    </row>
    <row r="438" spans="1:21" ht="14.1" customHeight="1" x14ac:dyDescent="0.2">
      <c r="A438" s="252">
        <v>35</v>
      </c>
      <c r="B438" s="312"/>
      <c r="C438" s="269">
        <v>39600</v>
      </c>
      <c r="D438" s="252" t="s">
        <v>271</v>
      </c>
      <c r="F438" s="313">
        <v>14.299999999999999</v>
      </c>
      <c r="G438" s="260"/>
      <c r="H438" s="655">
        <v>0</v>
      </c>
      <c r="I438" s="733"/>
      <c r="J438" s="734">
        <v>0</v>
      </c>
      <c r="K438" s="277"/>
      <c r="L438" s="734">
        <v>0</v>
      </c>
      <c r="M438" s="277"/>
      <c r="N438" s="734">
        <v>0</v>
      </c>
      <c r="O438" s="277"/>
      <c r="P438" s="734">
        <v>0</v>
      </c>
      <c r="Q438" s="277"/>
      <c r="R438" s="734">
        <v>0</v>
      </c>
      <c r="S438" s="262"/>
      <c r="U438" s="283"/>
    </row>
    <row r="439" spans="1:21" ht="14.1" customHeight="1" x14ac:dyDescent="0.2">
      <c r="A439" s="252">
        <v>36</v>
      </c>
      <c r="B439" s="312"/>
      <c r="C439" s="269">
        <v>39700</v>
      </c>
      <c r="D439" s="282" t="s">
        <v>272</v>
      </c>
      <c r="E439" s="282"/>
      <c r="F439" s="313">
        <v>14.299999999999999</v>
      </c>
      <c r="G439" s="260"/>
      <c r="H439" s="655">
        <v>41775857.309999995</v>
      </c>
      <c r="I439" s="733"/>
      <c r="J439" s="734">
        <v>-901401.07000000123</v>
      </c>
      <c r="K439" s="277"/>
      <c r="L439" s="734">
        <v>-2707711.1599999992</v>
      </c>
      <c r="M439" s="277"/>
      <c r="N439" s="734">
        <v>0</v>
      </c>
      <c r="O439" s="277"/>
      <c r="P439" s="734">
        <v>38166745.079999998</v>
      </c>
      <c r="Q439" s="277"/>
      <c r="R439" s="734">
        <v>37628732.655384615</v>
      </c>
      <c r="S439" s="262"/>
      <c r="U439" s="283"/>
    </row>
    <row r="440" spans="1:21" ht="14.1" customHeight="1" x14ac:dyDescent="0.2">
      <c r="A440" s="252">
        <v>37</v>
      </c>
      <c r="B440" s="312"/>
      <c r="C440" s="267">
        <v>39725</v>
      </c>
      <c r="D440" s="282" t="s">
        <v>273</v>
      </c>
      <c r="E440" s="282"/>
      <c r="F440" s="313">
        <v>5.3</v>
      </c>
      <c r="G440" s="260"/>
      <c r="H440" s="655">
        <v>30339340.43999999</v>
      </c>
      <c r="I440" s="733"/>
      <c r="J440" s="734">
        <v>4015460.8500000006</v>
      </c>
      <c r="K440" s="277"/>
      <c r="L440" s="734">
        <v>-645404.74</v>
      </c>
      <c r="M440" s="277"/>
      <c r="N440" s="734">
        <v>176798.13</v>
      </c>
      <c r="O440" s="277"/>
      <c r="P440" s="734">
        <v>33886194.679999992</v>
      </c>
      <c r="Q440" s="277"/>
      <c r="R440" s="734">
        <v>31770259.108461536</v>
      </c>
      <c r="S440" s="262"/>
      <c r="U440" s="283"/>
    </row>
    <row r="441" spans="1:21" ht="14.1" customHeight="1" x14ac:dyDescent="0.2">
      <c r="A441" s="252">
        <v>38</v>
      </c>
      <c r="B441" s="312"/>
      <c r="C441" s="267">
        <v>39800</v>
      </c>
      <c r="D441" s="282" t="s">
        <v>274</v>
      </c>
      <c r="E441" s="282"/>
      <c r="F441" s="313">
        <v>14.299999999999999</v>
      </c>
      <c r="G441" s="260"/>
      <c r="H441" s="655">
        <v>1759370.43</v>
      </c>
      <c r="I441" s="733"/>
      <c r="J441" s="734">
        <v>1046685.4400000001</v>
      </c>
      <c r="K441" s="277"/>
      <c r="L441" s="734">
        <v>0</v>
      </c>
      <c r="M441" s="277"/>
      <c r="N441" s="734">
        <v>0</v>
      </c>
      <c r="O441" s="277"/>
      <c r="P441" s="734">
        <v>2806055.87</v>
      </c>
      <c r="Q441" s="277"/>
      <c r="R441" s="734">
        <v>2300436.8192307693</v>
      </c>
      <c r="S441" s="262"/>
      <c r="U441" s="283"/>
    </row>
    <row r="442" spans="1:21" ht="14.1" customHeight="1" x14ac:dyDescent="0.2">
      <c r="A442" s="252">
        <v>39</v>
      </c>
      <c r="B442" s="312"/>
      <c r="C442" s="267"/>
      <c r="F442" s="313"/>
      <c r="H442" s="655"/>
      <c r="I442" s="277"/>
      <c r="J442" s="734"/>
      <c r="K442" s="277"/>
      <c r="L442" s="734"/>
      <c r="M442" s="277"/>
      <c r="N442" s="734"/>
      <c r="O442" s="277"/>
      <c r="P442" s="734"/>
      <c r="Q442" s="277"/>
      <c r="R442" s="734"/>
      <c r="S442" s="262"/>
      <c r="U442" s="283"/>
    </row>
    <row r="443" spans="1:21" ht="14.1" customHeight="1" thickBot="1" x14ac:dyDescent="0.25">
      <c r="A443" s="252">
        <v>40</v>
      </c>
      <c r="B443" s="312"/>
      <c r="C443" s="284"/>
      <c r="D443" s="300" t="s">
        <v>171</v>
      </c>
      <c r="E443" s="300"/>
      <c r="F443" s="83"/>
      <c r="G443" s="83"/>
      <c r="H443" s="665">
        <v>325108453.30000001</v>
      </c>
      <c r="I443" s="754"/>
      <c r="J443" s="665">
        <v>21299760.160000004</v>
      </c>
      <c r="K443" s="754"/>
      <c r="L443" s="665">
        <v>-13136852.42</v>
      </c>
      <c r="M443" s="754"/>
      <c r="N443" s="665">
        <v>1138984.53</v>
      </c>
      <c r="O443" s="754"/>
      <c r="P443" s="665">
        <v>334410345.57000011</v>
      </c>
      <c r="Q443" s="754"/>
      <c r="R443" s="665">
        <v>323423183.63307703</v>
      </c>
      <c r="S443" s="262"/>
      <c r="U443" s="283"/>
    </row>
    <row r="444" spans="1:21" ht="14.1" customHeight="1" thickTop="1" x14ac:dyDescent="0.2">
      <c r="A444" s="252">
        <v>41</v>
      </c>
      <c r="B444" s="312"/>
      <c r="C444" s="322"/>
      <c r="H444" s="659"/>
      <c r="I444" s="733"/>
      <c r="J444" s="733"/>
      <c r="K444" s="733"/>
      <c r="L444" s="733"/>
      <c r="M444" s="733"/>
      <c r="N444" s="733"/>
      <c r="O444" s="733"/>
      <c r="P444" s="733"/>
      <c r="Q444" s="733"/>
      <c r="R444" s="733"/>
      <c r="S444" s="262"/>
      <c r="U444" s="283"/>
    </row>
    <row r="445" spans="1:21" ht="14.1" customHeight="1" thickBot="1" x14ac:dyDescent="0.25">
      <c r="A445" s="252">
        <v>42</v>
      </c>
      <c r="B445" s="312"/>
      <c r="D445" s="302" t="s">
        <v>172</v>
      </c>
      <c r="E445" s="300"/>
      <c r="F445" s="325"/>
      <c r="G445" s="325"/>
      <c r="H445" s="326">
        <v>9206468549.5400009</v>
      </c>
      <c r="I445" s="255"/>
      <c r="J445" s="254">
        <v>595501134.74999988</v>
      </c>
      <c r="K445" s="255"/>
      <c r="L445" s="254">
        <v>-91077487.420000002</v>
      </c>
      <c r="M445" s="255"/>
      <c r="N445" s="254">
        <v>929614.97</v>
      </c>
      <c r="O445" s="255"/>
      <c r="P445" s="254">
        <v>9711821811.8400002</v>
      </c>
      <c r="Q445" s="255"/>
      <c r="R445" s="254">
        <v>9527366879.2269249</v>
      </c>
      <c r="S445" s="262"/>
      <c r="U445" s="283"/>
    </row>
    <row r="446" spans="1:21" s="83" customFormat="1" ht="14.1" customHeight="1" thickTop="1" x14ac:dyDescent="0.2">
      <c r="A446" s="252">
        <v>43</v>
      </c>
      <c r="B446" s="328"/>
      <c r="S446" s="109"/>
      <c r="U446" s="297"/>
    </row>
    <row r="447" spans="1:21" ht="14.1" customHeight="1" thickBot="1" x14ac:dyDescent="0.25">
      <c r="A447" s="252">
        <v>44</v>
      </c>
      <c r="B447" s="742" t="s">
        <v>186</v>
      </c>
      <c r="C447" s="264"/>
      <c r="D447" s="264"/>
      <c r="E447" s="264"/>
      <c r="F447" s="264"/>
      <c r="G447" s="264"/>
      <c r="H447" s="264"/>
      <c r="I447" s="264"/>
      <c r="J447" s="264"/>
      <c r="K447" s="264"/>
      <c r="L447" s="264"/>
      <c r="M447" s="264"/>
      <c r="N447" s="264"/>
      <c r="O447" s="264"/>
      <c r="P447" s="264"/>
      <c r="Q447" s="264"/>
      <c r="R447" s="264"/>
      <c r="S447" s="262"/>
      <c r="U447" s="283"/>
    </row>
    <row r="448" spans="1:21" ht="14.1" customHeight="1" x14ac:dyDescent="0.2">
      <c r="A448" s="252" t="s">
        <v>60</v>
      </c>
      <c r="P448" s="252" t="s">
        <v>60</v>
      </c>
      <c r="S448" s="262"/>
      <c r="U448" s="283"/>
    </row>
    <row r="449" spans="1:21" ht="14.1" customHeight="1" thickBot="1" x14ac:dyDescent="0.25">
      <c r="A449" s="264" t="s">
        <v>127</v>
      </c>
      <c r="B449" s="264"/>
      <c r="C449" s="264"/>
      <c r="D449" s="264"/>
      <c r="E449" s="264"/>
      <c r="F449" s="264"/>
      <c r="G449" s="264" t="s">
        <v>128</v>
      </c>
      <c r="H449" s="264"/>
      <c r="I449" s="264"/>
      <c r="J449" s="264"/>
      <c r="K449" s="264"/>
      <c r="L449" s="264"/>
      <c r="M449" s="264"/>
      <c r="N449" s="264"/>
      <c r="O449" s="264"/>
      <c r="P449" s="264"/>
      <c r="Q449" s="264"/>
      <c r="R449" s="264" t="s">
        <v>331</v>
      </c>
      <c r="S449" s="262"/>
      <c r="U449" s="283"/>
    </row>
    <row r="450" spans="1:21" ht="14.1" customHeight="1" x14ac:dyDescent="0.2">
      <c r="A450" s="252" t="s">
        <v>129</v>
      </c>
      <c r="B450" s="285"/>
      <c r="E450" s="260" t="s">
        <v>130</v>
      </c>
      <c r="F450" s="252" t="s">
        <v>1405</v>
      </c>
      <c r="J450" s="286"/>
      <c r="K450" s="286"/>
      <c r="M450" s="286"/>
      <c r="N450" s="286"/>
      <c r="O450" s="286" t="s">
        <v>187</v>
      </c>
      <c r="R450" s="261"/>
      <c r="S450" s="262"/>
      <c r="U450" s="283"/>
    </row>
    <row r="451" spans="1:21" ht="14.1" customHeight="1" x14ac:dyDescent="0.2">
      <c r="B451" s="285"/>
      <c r="F451" s="252" t="s">
        <v>1406</v>
      </c>
      <c r="J451" s="260"/>
      <c r="K451" s="261"/>
      <c r="N451" s="260"/>
      <c r="O451" s="260" t="s">
        <v>123</v>
      </c>
      <c r="P451" s="261" t="s">
        <v>1407</v>
      </c>
      <c r="R451" s="260"/>
      <c r="S451" s="262"/>
      <c r="U451" s="283"/>
    </row>
    <row r="452" spans="1:21" ht="14.1" customHeight="1" x14ac:dyDescent="0.2">
      <c r="A452" s="252" t="s">
        <v>134</v>
      </c>
      <c r="B452" s="285"/>
      <c r="F452" s="252" t="s">
        <v>123</v>
      </c>
      <c r="J452" s="260"/>
      <c r="K452" s="261"/>
      <c r="L452" s="260"/>
      <c r="O452" s="260" t="s">
        <v>123</v>
      </c>
      <c r="P452" s="261"/>
      <c r="R452" s="260"/>
      <c r="S452" s="262"/>
      <c r="U452" s="283"/>
    </row>
    <row r="453" spans="1:21" ht="14.1" customHeight="1" x14ac:dyDescent="0.2">
      <c r="B453" s="285"/>
      <c r="F453" s="252" t="s">
        <v>123</v>
      </c>
      <c r="J453" s="260"/>
      <c r="K453" s="261"/>
      <c r="L453" s="260"/>
      <c r="O453" s="260" t="s">
        <v>123</v>
      </c>
      <c r="P453" s="261"/>
      <c r="R453" s="260"/>
      <c r="S453" s="262"/>
      <c r="U453" s="283"/>
    </row>
    <row r="454" spans="1:21" ht="14.1" customHeight="1" thickBot="1" x14ac:dyDescent="0.25">
      <c r="A454" s="264" t="s">
        <v>135</v>
      </c>
      <c r="B454" s="287"/>
      <c r="C454" s="264"/>
      <c r="D454" s="264"/>
      <c r="E454" s="264"/>
      <c r="F454" s="264" t="s">
        <v>123</v>
      </c>
      <c r="G454" s="264"/>
      <c r="H454" s="266"/>
      <c r="I454" s="264"/>
      <c r="J454" s="264"/>
      <c r="K454" s="264"/>
      <c r="L454" s="264"/>
      <c r="M454" s="264"/>
      <c r="N454" s="264"/>
      <c r="O454" s="264"/>
      <c r="P454" s="288"/>
      <c r="Q454" s="264"/>
      <c r="R454" s="264"/>
      <c r="S454" s="262"/>
      <c r="U454" s="283"/>
    </row>
    <row r="455" spans="1:21" ht="14.1" customHeight="1" x14ac:dyDescent="0.2"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2"/>
      <c r="U455" s="283"/>
    </row>
    <row r="456" spans="1:21" ht="14.1" customHeight="1" x14ac:dyDescent="0.2">
      <c r="C456" s="267" t="s">
        <v>136</v>
      </c>
      <c r="D456" s="267" t="s">
        <v>137</v>
      </c>
      <c r="E456" s="267"/>
      <c r="F456" s="267" t="s">
        <v>138</v>
      </c>
      <c r="G456" s="267"/>
      <c r="H456" s="267" t="s">
        <v>139</v>
      </c>
      <c r="I456" s="267"/>
      <c r="J456" s="269" t="s">
        <v>140</v>
      </c>
      <c r="K456" s="269"/>
      <c r="L456" s="267" t="s">
        <v>141</v>
      </c>
      <c r="M456" s="267"/>
      <c r="N456" s="267" t="s">
        <v>142</v>
      </c>
      <c r="O456" s="267"/>
      <c r="P456" s="267" t="s">
        <v>143</v>
      </c>
      <c r="Q456" s="267"/>
      <c r="R456" s="267" t="s">
        <v>144</v>
      </c>
      <c r="S456" s="262"/>
      <c r="U456" s="283"/>
    </row>
    <row r="457" spans="1:21" ht="14.1" customHeight="1" x14ac:dyDescent="0.2">
      <c r="C457" s="269" t="s">
        <v>145</v>
      </c>
      <c r="D457" s="269" t="s">
        <v>145</v>
      </c>
      <c r="F457" s="269" t="s">
        <v>6</v>
      </c>
      <c r="G457" s="269"/>
      <c r="H457" s="267" t="s">
        <v>48</v>
      </c>
      <c r="I457" s="269"/>
      <c r="J457" s="267" t="s">
        <v>40</v>
      </c>
      <c r="K457" s="269"/>
      <c r="L457" s="269" t="s">
        <v>40</v>
      </c>
      <c r="M457" s="269"/>
      <c r="P457" s="269" t="s">
        <v>48</v>
      </c>
      <c r="R457" s="269"/>
      <c r="S457" s="262"/>
      <c r="U457" s="283"/>
    </row>
    <row r="458" spans="1:21" ht="14.1" customHeight="1" x14ac:dyDescent="0.2">
      <c r="A458" s="252" t="s">
        <v>146</v>
      </c>
      <c r="B458" s="269"/>
      <c r="C458" s="269" t="s">
        <v>147</v>
      </c>
      <c r="D458" s="269" t="s">
        <v>147</v>
      </c>
      <c r="E458" s="267"/>
      <c r="F458" s="269" t="s">
        <v>148</v>
      </c>
      <c r="G458" s="269"/>
      <c r="H458" s="269" t="s">
        <v>149</v>
      </c>
      <c r="I458" s="269"/>
      <c r="J458" s="269" t="s">
        <v>48</v>
      </c>
      <c r="K458" s="267"/>
      <c r="L458" s="269" t="s">
        <v>48</v>
      </c>
      <c r="M458" s="261"/>
      <c r="N458" s="269" t="s">
        <v>150</v>
      </c>
      <c r="O458" s="267"/>
      <c r="P458" s="267" t="s">
        <v>149</v>
      </c>
      <c r="Q458" s="267"/>
      <c r="R458" s="269" t="s">
        <v>151</v>
      </c>
      <c r="S458" s="262"/>
      <c r="U458" s="283"/>
    </row>
    <row r="459" spans="1:21" ht="14.1" customHeight="1" thickBot="1" x14ac:dyDescent="0.25">
      <c r="A459" s="264" t="s">
        <v>152</v>
      </c>
      <c r="B459" s="266"/>
      <c r="C459" s="266" t="s">
        <v>52</v>
      </c>
      <c r="D459" s="266" t="s">
        <v>153</v>
      </c>
      <c r="E459" s="266"/>
      <c r="F459" s="270" t="s">
        <v>57</v>
      </c>
      <c r="G459" s="270"/>
      <c r="H459" s="270" t="s">
        <v>154</v>
      </c>
      <c r="I459" s="271"/>
      <c r="J459" s="270" t="s">
        <v>155</v>
      </c>
      <c r="K459" s="271"/>
      <c r="L459" s="271" t="s">
        <v>156</v>
      </c>
      <c r="M459" s="272"/>
      <c r="N459" s="272" t="s">
        <v>157</v>
      </c>
      <c r="O459" s="272"/>
      <c r="P459" s="272" t="s">
        <v>158</v>
      </c>
      <c r="Q459" s="272"/>
      <c r="R459" s="272" t="s">
        <v>3</v>
      </c>
      <c r="S459" s="262"/>
      <c r="U459" s="283"/>
    </row>
    <row r="460" spans="1:21" ht="14.1" customHeight="1" x14ac:dyDescent="0.2">
      <c r="A460" s="252">
        <v>1</v>
      </c>
      <c r="B460" s="312"/>
      <c r="S460" s="262"/>
      <c r="U460" s="283"/>
    </row>
    <row r="461" spans="1:21" s="83" customFormat="1" ht="14.1" customHeight="1" x14ac:dyDescent="0.2">
      <c r="A461" s="83">
        <v>2</v>
      </c>
      <c r="B461" s="328"/>
      <c r="C461" s="284"/>
      <c r="D461" s="83" t="s">
        <v>275</v>
      </c>
      <c r="E461" s="252"/>
      <c r="F461" s="252"/>
      <c r="G461" s="252"/>
      <c r="H461" s="327"/>
      <c r="I461" s="327"/>
      <c r="J461" s="327"/>
      <c r="K461" s="327"/>
      <c r="L461" s="327"/>
      <c r="M461" s="327"/>
      <c r="N461" s="327"/>
      <c r="O461" s="327"/>
      <c r="P461" s="327"/>
      <c r="Q461" s="327"/>
      <c r="R461" s="327"/>
      <c r="S461" s="109"/>
      <c r="U461" s="297"/>
    </row>
    <row r="462" spans="1:21" ht="14.1" customHeight="1" x14ac:dyDescent="0.2">
      <c r="A462" s="252">
        <v>3</v>
      </c>
      <c r="B462" s="312"/>
      <c r="C462" s="269" t="s">
        <v>276</v>
      </c>
      <c r="D462" s="762" t="s">
        <v>277</v>
      </c>
      <c r="E462" s="731"/>
      <c r="F462" s="313">
        <v>0</v>
      </c>
      <c r="G462" s="260"/>
      <c r="H462" s="655">
        <v>6923628.5099999998</v>
      </c>
      <c r="I462" s="733"/>
      <c r="J462" s="734">
        <v>0</v>
      </c>
      <c r="K462" s="733"/>
      <c r="L462" s="734">
        <v>0</v>
      </c>
      <c r="M462" s="733"/>
      <c r="N462" s="734">
        <v>0</v>
      </c>
      <c r="O462" s="733"/>
      <c r="P462" s="734">
        <v>6923628.5099999998</v>
      </c>
      <c r="Q462" s="733"/>
      <c r="R462" s="734">
        <v>6923628.5100000007</v>
      </c>
      <c r="S462" s="262"/>
      <c r="U462" s="283"/>
    </row>
    <row r="463" spans="1:21" ht="14.1" customHeight="1" x14ac:dyDescent="0.2">
      <c r="A463" s="252">
        <v>4</v>
      </c>
      <c r="B463" s="312"/>
      <c r="C463" s="269" t="s">
        <v>278</v>
      </c>
      <c r="D463" s="763" t="s">
        <v>279</v>
      </c>
      <c r="E463" s="764"/>
      <c r="F463" s="313">
        <v>0</v>
      </c>
      <c r="G463" s="260"/>
      <c r="H463" s="655">
        <v>85980108.870000005</v>
      </c>
      <c r="I463" s="733"/>
      <c r="J463" s="734">
        <v>-103.20999999999913</v>
      </c>
      <c r="K463" s="733"/>
      <c r="L463" s="734">
        <v>0</v>
      </c>
      <c r="M463" s="733"/>
      <c r="N463" s="734">
        <v>15238518.380000001</v>
      </c>
      <c r="O463" s="733"/>
      <c r="P463" s="734">
        <v>101218524.03999999</v>
      </c>
      <c r="Q463" s="733"/>
      <c r="R463" s="734">
        <v>95352985.514615372</v>
      </c>
      <c r="S463" s="262"/>
      <c r="U463" s="283"/>
    </row>
    <row r="464" spans="1:21" ht="14.1" customHeight="1" x14ac:dyDescent="0.2">
      <c r="A464" s="252">
        <v>5</v>
      </c>
      <c r="B464" s="312"/>
      <c r="C464" s="269">
        <v>35000</v>
      </c>
      <c r="D464" s="488" t="s">
        <v>280</v>
      </c>
      <c r="E464" s="765"/>
      <c r="F464" s="313">
        <v>0</v>
      </c>
      <c r="G464" s="260"/>
      <c r="H464" s="655">
        <v>17410474.370000001</v>
      </c>
      <c r="I464" s="733"/>
      <c r="J464" s="734">
        <v>15238518.380000001</v>
      </c>
      <c r="K464" s="277"/>
      <c r="L464" s="734">
        <v>0</v>
      </c>
      <c r="M464" s="277"/>
      <c r="N464" s="734">
        <v>-15170475.450000001</v>
      </c>
      <c r="O464" s="277"/>
      <c r="P464" s="734">
        <v>17478517.299999997</v>
      </c>
      <c r="Q464" s="277"/>
      <c r="R464" s="734">
        <v>18619306.592307694</v>
      </c>
      <c r="S464" s="262"/>
      <c r="U464" s="283"/>
    </row>
    <row r="465" spans="1:21" ht="14.1" customHeight="1" x14ac:dyDescent="0.2">
      <c r="A465" s="252">
        <v>6</v>
      </c>
      <c r="B465" s="312"/>
      <c r="C465" s="269">
        <v>36000</v>
      </c>
      <c r="D465" s="488" t="s">
        <v>281</v>
      </c>
      <c r="E465" s="765"/>
      <c r="F465" s="313">
        <v>0</v>
      </c>
      <c r="G465" s="260"/>
      <c r="H465" s="655">
        <v>10119782.539999999</v>
      </c>
      <c r="I465" s="733"/>
      <c r="J465" s="734">
        <v>0</v>
      </c>
      <c r="K465" s="277"/>
      <c r="L465" s="734">
        <v>0</v>
      </c>
      <c r="M465" s="277"/>
      <c r="N465" s="734">
        <v>0</v>
      </c>
      <c r="O465" s="277"/>
      <c r="P465" s="734">
        <v>10119782.539999999</v>
      </c>
      <c r="Q465" s="277"/>
      <c r="R465" s="734">
        <v>10119782.539999995</v>
      </c>
      <c r="S465" s="262"/>
      <c r="U465" s="283"/>
    </row>
    <row r="466" spans="1:21" ht="14.1" customHeight="1" x14ac:dyDescent="0.2">
      <c r="A466" s="252">
        <v>7</v>
      </c>
      <c r="B466" s="312"/>
      <c r="C466" s="269">
        <v>38900</v>
      </c>
      <c r="D466" s="488" t="s">
        <v>282</v>
      </c>
      <c r="E466" s="765"/>
      <c r="F466" s="313">
        <v>0</v>
      </c>
      <c r="G466" s="260"/>
      <c r="H466" s="655">
        <v>3286630.42</v>
      </c>
      <c r="I466" s="733"/>
      <c r="J466" s="734">
        <v>0</v>
      </c>
      <c r="K466" s="277"/>
      <c r="L466" s="734">
        <v>0</v>
      </c>
      <c r="M466" s="277"/>
      <c r="N466" s="734">
        <v>0</v>
      </c>
      <c r="O466" s="277"/>
      <c r="P466" s="734">
        <v>3286630.42</v>
      </c>
      <c r="Q466" s="277"/>
      <c r="R466" s="734">
        <v>3286630.4200000009</v>
      </c>
      <c r="S466" s="262"/>
      <c r="U466" s="283"/>
    </row>
    <row r="467" spans="1:21" ht="14.1" customHeight="1" x14ac:dyDescent="0.2">
      <c r="A467" s="252">
        <v>8</v>
      </c>
      <c r="B467" s="312"/>
      <c r="C467" s="269"/>
      <c r="D467" s="763" t="s">
        <v>173</v>
      </c>
      <c r="E467" s="764"/>
      <c r="F467" s="764"/>
      <c r="G467" s="764"/>
      <c r="H467" s="658">
        <v>123720624.71000002</v>
      </c>
      <c r="I467" s="733"/>
      <c r="J467" s="736">
        <v>15238415.17</v>
      </c>
      <c r="K467" s="733"/>
      <c r="L467" s="736">
        <v>0</v>
      </c>
      <c r="M467" s="733"/>
      <c r="N467" s="736">
        <v>68042.929999999702</v>
      </c>
      <c r="O467" s="733"/>
      <c r="P467" s="736">
        <v>139027082.80999997</v>
      </c>
      <c r="Q467" s="733"/>
      <c r="R467" s="736">
        <v>134302333.57692304</v>
      </c>
      <c r="S467" s="262"/>
      <c r="U467" s="283"/>
    </row>
    <row r="468" spans="1:21" ht="14.1" customHeight="1" x14ac:dyDescent="0.2">
      <c r="A468" s="252">
        <v>9</v>
      </c>
      <c r="B468" s="312"/>
      <c r="H468" s="602"/>
      <c r="I468" s="277"/>
      <c r="J468" s="277"/>
      <c r="K468" s="277"/>
      <c r="L468" s="277"/>
      <c r="M468" s="277"/>
      <c r="N468" s="277"/>
      <c r="O468" s="277"/>
      <c r="P468" s="277"/>
      <c r="Q468" s="277"/>
      <c r="R468" s="277"/>
      <c r="S468" s="262"/>
      <c r="U468" s="283"/>
    </row>
    <row r="469" spans="1:21" ht="14.1" customHeight="1" x14ac:dyDescent="0.2">
      <c r="A469" s="252">
        <v>10</v>
      </c>
      <c r="B469" s="312"/>
      <c r="C469" s="269"/>
      <c r="D469" s="766" t="s">
        <v>283</v>
      </c>
      <c r="E469" s="731"/>
      <c r="F469" s="731"/>
      <c r="G469" s="731"/>
      <c r="H469" s="659"/>
      <c r="I469" s="733"/>
      <c r="J469" s="733"/>
      <c r="K469" s="733"/>
      <c r="L469" s="733"/>
      <c r="M469" s="733"/>
      <c r="N469" s="733"/>
      <c r="O469" s="733"/>
      <c r="P469" s="733"/>
      <c r="Q469" s="733"/>
      <c r="R469" s="733"/>
      <c r="S469" s="262"/>
      <c r="U469" s="283"/>
    </row>
    <row r="470" spans="1:21" ht="14.1" customHeight="1" x14ac:dyDescent="0.2">
      <c r="A470" s="252">
        <v>11</v>
      </c>
      <c r="B470" s="312"/>
      <c r="C470" s="269">
        <v>30300</v>
      </c>
      <c r="D470" s="739" t="s">
        <v>1385</v>
      </c>
      <c r="E470" s="764"/>
      <c r="F470" s="313">
        <v>10</v>
      </c>
      <c r="G470" s="260"/>
      <c r="H470" s="655">
        <v>0</v>
      </c>
      <c r="I470" s="733"/>
      <c r="J470" s="734">
        <v>0</v>
      </c>
      <c r="K470" s="277"/>
      <c r="L470" s="734">
        <v>0</v>
      </c>
      <c r="M470" s="277"/>
      <c r="N470" s="734">
        <v>0</v>
      </c>
      <c r="O470" s="277"/>
      <c r="P470" s="734">
        <v>0</v>
      </c>
      <c r="Q470" s="277"/>
      <c r="R470" s="734">
        <v>0</v>
      </c>
      <c r="S470" s="262"/>
      <c r="U470" s="283"/>
    </row>
    <row r="471" spans="1:21" ht="14.1" customHeight="1" x14ac:dyDescent="0.2">
      <c r="A471" s="252">
        <v>12</v>
      </c>
      <c r="B471" s="312"/>
      <c r="C471" s="269">
        <v>30301</v>
      </c>
      <c r="D471" s="739" t="s">
        <v>1386</v>
      </c>
      <c r="E471" s="764"/>
      <c r="F471" s="313">
        <v>20</v>
      </c>
      <c r="G471" s="260"/>
      <c r="H471" s="655">
        <v>0</v>
      </c>
      <c r="I471" s="733"/>
      <c r="J471" s="734">
        <v>0</v>
      </c>
      <c r="K471" s="277"/>
      <c r="L471" s="734">
        <v>0</v>
      </c>
      <c r="M471" s="277"/>
      <c r="N471" s="734">
        <v>0</v>
      </c>
      <c r="O471" s="277"/>
      <c r="P471" s="734">
        <v>0</v>
      </c>
      <c r="Q471" s="277"/>
      <c r="R471" s="734">
        <v>0</v>
      </c>
      <c r="S471" s="262"/>
      <c r="U471" s="283"/>
    </row>
    <row r="472" spans="1:21" ht="14.1" customHeight="1" x14ac:dyDescent="0.2">
      <c r="A472" s="252">
        <v>13</v>
      </c>
      <c r="B472" s="312"/>
      <c r="C472" s="269">
        <v>30315</v>
      </c>
      <c r="D472" s="739" t="s">
        <v>284</v>
      </c>
      <c r="F472" s="313">
        <v>6.67</v>
      </c>
      <c r="H472" s="655">
        <v>234398796.92999995</v>
      </c>
      <c r="I472" s="277"/>
      <c r="J472" s="734">
        <v>18023534.739999998</v>
      </c>
      <c r="K472" s="277"/>
      <c r="L472" s="734">
        <v>0</v>
      </c>
      <c r="M472" s="277"/>
      <c r="N472" s="734">
        <v>-962186.4</v>
      </c>
      <c r="O472" s="277"/>
      <c r="P472" s="734">
        <v>251460145.26999995</v>
      </c>
      <c r="Q472" s="277"/>
      <c r="R472" s="734">
        <v>243187689.09384611</v>
      </c>
      <c r="S472" s="262"/>
      <c r="U472" s="283"/>
    </row>
    <row r="473" spans="1:21" ht="14.1" customHeight="1" x14ac:dyDescent="0.2">
      <c r="A473" s="252">
        <v>14</v>
      </c>
      <c r="C473" s="269">
        <v>30302</v>
      </c>
      <c r="D473" s="252" t="s">
        <v>1387</v>
      </c>
      <c r="F473" s="313">
        <v>0</v>
      </c>
      <c r="G473" s="260"/>
      <c r="H473" s="655">
        <v>0</v>
      </c>
      <c r="I473" s="733"/>
      <c r="J473" s="734">
        <v>0</v>
      </c>
      <c r="K473" s="277"/>
      <c r="L473" s="734">
        <v>0</v>
      </c>
      <c r="M473" s="277"/>
      <c r="N473" s="734">
        <v>0</v>
      </c>
      <c r="O473" s="277"/>
      <c r="P473" s="734">
        <v>0</v>
      </c>
      <c r="Q473" s="277"/>
      <c r="R473" s="734">
        <v>0</v>
      </c>
      <c r="S473" s="262"/>
      <c r="U473" s="283"/>
    </row>
    <row r="474" spans="1:21" ht="14.1" customHeight="1" x14ac:dyDescent="0.2">
      <c r="A474" s="252">
        <v>15</v>
      </c>
      <c r="C474" s="269">
        <v>30399</v>
      </c>
      <c r="D474" s="252" t="s">
        <v>1388</v>
      </c>
      <c r="F474" s="313">
        <v>3.3300000000000005</v>
      </c>
      <c r="H474" s="655">
        <v>415159.12</v>
      </c>
      <c r="I474" s="277"/>
      <c r="J474" s="734">
        <v>0</v>
      </c>
      <c r="K474" s="277"/>
      <c r="L474" s="734">
        <v>0</v>
      </c>
      <c r="M474" s="277"/>
      <c r="N474" s="734">
        <v>0</v>
      </c>
      <c r="O474" s="277"/>
      <c r="P474" s="734">
        <v>415159.12</v>
      </c>
      <c r="Q474" s="277"/>
      <c r="R474" s="734">
        <v>415159.12000000005</v>
      </c>
      <c r="S474" s="262"/>
      <c r="U474" s="283"/>
    </row>
    <row r="475" spans="1:21" s="83" customFormat="1" ht="14.1" customHeight="1" x14ac:dyDescent="0.2">
      <c r="A475" s="83">
        <v>16</v>
      </c>
      <c r="C475" s="252"/>
      <c r="D475" s="763" t="s">
        <v>175</v>
      </c>
      <c r="E475" s="756"/>
      <c r="F475" s="756"/>
      <c r="G475" s="756"/>
      <c r="H475" s="658">
        <v>234813956.04999995</v>
      </c>
      <c r="I475" s="733"/>
      <c r="J475" s="736">
        <v>18023534.739999998</v>
      </c>
      <c r="K475" s="733"/>
      <c r="L475" s="736">
        <v>0</v>
      </c>
      <c r="M475" s="733"/>
      <c r="N475" s="736">
        <v>-962186.4</v>
      </c>
      <c r="O475" s="733"/>
      <c r="P475" s="736">
        <v>251875304.38999996</v>
      </c>
      <c r="Q475" s="733"/>
      <c r="R475" s="736">
        <v>243602848.21384612</v>
      </c>
      <c r="S475" s="109"/>
      <c r="U475" s="297"/>
    </row>
    <row r="476" spans="1:21" ht="14.1" customHeight="1" x14ac:dyDescent="0.2">
      <c r="A476" s="252">
        <v>17</v>
      </c>
      <c r="C476" s="269"/>
      <c r="H476" s="602"/>
      <c r="I476" s="277"/>
      <c r="J476" s="277"/>
      <c r="K476" s="277"/>
      <c r="L476" s="277"/>
      <c r="M476" s="277"/>
      <c r="N476" s="277"/>
      <c r="O476" s="277"/>
      <c r="P476" s="277"/>
      <c r="Q476" s="277"/>
      <c r="R476" s="277"/>
      <c r="S476" s="262"/>
      <c r="U476" s="283"/>
    </row>
    <row r="477" spans="1:21" s="83" customFormat="1" ht="14.1" customHeight="1" x14ac:dyDescent="0.2">
      <c r="A477" s="83">
        <v>18</v>
      </c>
      <c r="C477" s="299"/>
      <c r="D477" s="693" t="s">
        <v>286</v>
      </c>
      <c r="H477" s="666"/>
      <c r="I477" s="393"/>
      <c r="J477" s="393"/>
      <c r="K477" s="393"/>
      <c r="L477" s="393"/>
      <c r="M477" s="393"/>
      <c r="N477" s="393"/>
      <c r="O477" s="393"/>
      <c r="P477" s="393"/>
      <c r="Q477" s="393"/>
      <c r="R477" s="393"/>
      <c r="S477" s="109"/>
      <c r="U477" s="297"/>
    </row>
    <row r="478" spans="1:21" ht="14.1" customHeight="1" x14ac:dyDescent="0.2">
      <c r="A478" s="252">
        <v>19</v>
      </c>
      <c r="B478" s="312"/>
      <c r="C478" s="269">
        <v>31700</v>
      </c>
      <c r="D478" s="252" t="s">
        <v>1389</v>
      </c>
      <c r="F478" s="313">
        <v>16.693363524966266</v>
      </c>
      <c r="H478" s="655">
        <v>30036948.829999991</v>
      </c>
      <c r="I478" s="733"/>
      <c r="J478" s="734">
        <v>0</v>
      </c>
      <c r="K478" s="277"/>
      <c r="L478" s="734">
        <v>0</v>
      </c>
      <c r="M478" s="277"/>
      <c r="N478" s="734">
        <v>0</v>
      </c>
      <c r="O478" s="277"/>
      <c r="P478" s="734">
        <v>30036948.829999991</v>
      </c>
      <c r="Q478" s="277"/>
      <c r="R478" s="734">
        <v>30036948.829999987</v>
      </c>
      <c r="S478" s="262"/>
      <c r="U478" s="283"/>
    </row>
    <row r="479" spans="1:21" ht="14.1" customHeight="1" x14ac:dyDescent="0.2">
      <c r="A479" s="252">
        <v>20</v>
      </c>
      <c r="B479" s="312"/>
      <c r="C479" s="269">
        <v>34700</v>
      </c>
      <c r="D479" s="252" t="s">
        <v>1390</v>
      </c>
      <c r="F479" s="313">
        <v>1.3817550795057445</v>
      </c>
      <c r="H479" s="655">
        <v>1885797.7400000002</v>
      </c>
      <c r="I479" s="733"/>
      <c r="J479" s="734">
        <v>7590333.8799999999</v>
      </c>
      <c r="K479" s="277"/>
      <c r="L479" s="734">
        <v>0</v>
      </c>
      <c r="M479" s="277"/>
      <c r="N479" s="734">
        <v>0</v>
      </c>
      <c r="O479" s="277"/>
      <c r="P479" s="734">
        <v>9476131.620000001</v>
      </c>
      <c r="Q479" s="277"/>
      <c r="R479" s="734">
        <v>4282238.4692307692</v>
      </c>
      <c r="S479" s="262"/>
      <c r="U479" s="283"/>
    </row>
    <row r="480" spans="1:21" ht="14.1" customHeight="1" x14ac:dyDescent="0.2">
      <c r="A480" s="252">
        <v>21</v>
      </c>
      <c r="B480" s="312"/>
      <c r="C480" s="269">
        <v>37400</v>
      </c>
      <c r="D480" s="252" t="s">
        <v>1391</v>
      </c>
      <c r="F480" s="313">
        <v>1.8444378322151198</v>
      </c>
      <c r="H480" s="655">
        <v>8504736.8200000003</v>
      </c>
      <c r="I480" s="733"/>
      <c r="J480" s="734">
        <v>-534656.32000000007</v>
      </c>
      <c r="K480" s="277"/>
      <c r="L480" s="734">
        <v>0</v>
      </c>
      <c r="M480" s="277"/>
      <c r="N480" s="734">
        <v>0</v>
      </c>
      <c r="O480" s="277"/>
      <c r="P480" s="734">
        <v>7970080.5</v>
      </c>
      <c r="Q480" s="277"/>
      <c r="R480" s="734">
        <v>8463609.4107692279</v>
      </c>
      <c r="S480" s="262"/>
      <c r="U480" s="283"/>
    </row>
    <row r="481" spans="1:21" ht="14.1" customHeight="1" x14ac:dyDescent="0.2">
      <c r="A481" s="252">
        <v>22</v>
      </c>
      <c r="B481" s="312"/>
      <c r="C481" s="269">
        <v>39910</v>
      </c>
      <c r="D481" s="252" t="s">
        <v>1392</v>
      </c>
      <c r="F481" s="313">
        <v>5.3641117150124016</v>
      </c>
      <c r="H481" s="99">
        <v>197239.74</v>
      </c>
      <c r="I481" s="696"/>
      <c r="J481" s="99">
        <v>0</v>
      </c>
      <c r="K481" s="238"/>
      <c r="L481" s="99">
        <v>0</v>
      </c>
      <c r="M481" s="238"/>
      <c r="N481" s="99">
        <v>0</v>
      </c>
      <c r="O481" s="238"/>
      <c r="P481" s="99">
        <v>197239.74</v>
      </c>
      <c r="Q481" s="238"/>
      <c r="R481" s="99">
        <v>197239.74000000002</v>
      </c>
      <c r="S481" s="262"/>
      <c r="U481" s="283"/>
    </row>
    <row r="482" spans="1:21" ht="14.1" customHeight="1" x14ac:dyDescent="0.2">
      <c r="A482" s="252">
        <v>23</v>
      </c>
      <c r="B482" s="312"/>
      <c r="C482" s="269"/>
      <c r="D482" s="695" t="s">
        <v>177</v>
      </c>
      <c r="H482" s="238">
        <v>40624723.129999995</v>
      </c>
      <c r="I482" s="238"/>
      <c r="J482" s="238">
        <v>7055677.5599999996</v>
      </c>
      <c r="K482" s="238"/>
      <c r="L482" s="238">
        <v>0</v>
      </c>
      <c r="M482" s="238"/>
      <c r="N482" s="238">
        <v>0</v>
      </c>
      <c r="O482" s="238"/>
      <c r="P482" s="238">
        <v>47680400.68999999</v>
      </c>
      <c r="Q482" s="238"/>
      <c r="R482" s="238">
        <v>42980036.449999981</v>
      </c>
      <c r="S482" s="262"/>
      <c r="U482" s="283"/>
    </row>
    <row r="483" spans="1:21" ht="14.1" customHeight="1" x14ac:dyDescent="0.2">
      <c r="A483" s="252">
        <v>24</v>
      </c>
      <c r="B483" s="312"/>
      <c r="C483" s="269"/>
      <c r="H483" s="238"/>
      <c r="I483" s="238"/>
      <c r="J483" s="238"/>
      <c r="K483" s="238"/>
      <c r="L483" s="238"/>
      <c r="M483" s="238"/>
      <c r="N483" s="238"/>
      <c r="O483" s="238"/>
      <c r="P483" s="238"/>
      <c r="Q483" s="238"/>
      <c r="R483" s="238"/>
      <c r="S483" s="262"/>
      <c r="U483" s="283"/>
    </row>
    <row r="484" spans="1:21" ht="14.1" customHeight="1" x14ac:dyDescent="0.2">
      <c r="A484" s="252">
        <v>25</v>
      </c>
      <c r="B484" s="312"/>
      <c r="C484" s="269">
        <v>10112</v>
      </c>
      <c r="D484" s="252" t="s">
        <v>1393</v>
      </c>
      <c r="F484" s="313">
        <v>0</v>
      </c>
      <c r="H484" s="99">
        <v>27806701.32</v>
      </c>
      <c r="I484" s="696"/>
      <c r="J484" s="99">
        <v>-1809759.0899999999</v>
      </c>
      <c r="K484" s="238"/>
      <c r="L484" s="99">
        <v>0</v>
      </c>
      <c r="M484" s="238"/>
      <c r="N484" s="99">
        <v>0</v>
      </c>
      <c r="O484" s="238"/>
      <c r="P484" s="99">
        <v>25996942.23</v>
      </c>
      <c r="Q484" s="238"/>
      <c r="R484" s="99">
        <v>27036609.073846158</v>
      </c>
      <c r="S484" s="262"/>
      <c r="U484" s="283"/>
    </row>
    <row r="485" spans="1:21" ht="14.1" customHeight="1" x14ac:dyDescent="0.2">
      <c r="A485" s="252">
        <v>26</v>
      </c>
      <c r="B485" s="312"/>
      <c r="D485" s="252" t="s">
        <v>1363</v>
      </c>
      <c r="H485" s="238">
        <v>27806701.32</v>
      </c>
      <c r="J485" s="238">
        <v>-1809759.0899999999</v>
      </c>
      <c r="L485" s="238">
        <v>0</v>
      </c>
      <c r="N485" s="238">
        <v>0</v>
      </c>
      <c r="P485" s="238">
        <v>25996942.23</v>
      </c>
      <c r="R485" s="238">
        <v>27036609.073846158</v>
      </c>
      <c r="S485" s="262"/>
      <c r="U485" s="283"/>
    </row>
    <row r="486" spans="1:21" ht="14.1" customHeight="1" x14ac:dyDescent="0.2">
      <c r="A486" s="252">
        <v>27</v>
      </c>
      <c r="B486" s="312"/>
      <c r="S486" s="262"/>
      <c r="U486" s="283"/>
    </row>
    <row r="487" spans="1:21" ht="14.1" customHeight="1" x14ac:dyDescent="0.2">
      <c r="A487" s="252">
        <v>28</v>
      </c>
      <c r="B487" s="312"/>
      <c r="D487" s="83" t="s">
        <v>1364</v>
      </c>
      <c r="E487" s="83"/>
      <c r="F487" s="83"/>
      <c r="G487" s="83"/>
      <c r="H487" s="672">
        <v>9633434554.75</v>
      </c>
      <c r="I487" s="666"/>
      <c r="J487" s="672">
        <v>634009003.12999976</v>
      </c>
      <c r="K487" s="666"/>
      <c r="L487" s="672">
        <v>-91077487.420000002</v>
      </c>
      <c r="M487" s="666"/>
      <c r="N487" s="672">
        <v>35471.499999999651</v>
      </c>
      <c r="O487" s="666"/>
      <c r="P487" s="672">
        <v>10176401541.960001</v>
      </c>
      <c r="Q487" s="666"/>
      <c r="R487" s="672">
        <v>9975288706.5415421</v>
      </c>
      <c r="S487" s="262"/>
      <c r="U487" s="283"/>
    </row>
    <row r="488" spans="1:21" ht="14.1" customHeight="1" x14ac:dyDescent="0.2">
      <c r="A488" s="252">
        <v>29</v>
      </c>
      <c r="B488" s="312"/>
      <c r="H488" s="238"/>
      <c r="I488" s="238"/>
      <c r="J488" s="238"/>
      <c r="K488" s="238"/>
      <c r="L488" s="238"/>
      <c r="M488" s="238"/>
      <c r="N488" s="238"/>
      <c r="O488" s="238"/>
      <c r="P488" s="238"/>
      <c r="Q488" s="238"/>
      <c r="R488" s="238"/>
      <c r="S488" s="262"/>
      <c r="U488" s="283"/>
    </row>
    <row r="489" spans="1:21" ht="14.1" customHeight="1" x14ac:dyDescent="0.2">
      <c r="A489" s="252">
        <v>30</v>
      </c>
      <c r="B489" s="312"/>
      <c r="D489" s="258" t="s">
        <v>291</v>
      </c>
      <c r="H489" s="238"/>
      <c r="I489" s="238"/>
      <c r="J489" s="238"/>
      <c r="K489" s="238"/>
      <c r="L489" s="238"/>
      <c r="M489" s="238"/>
      <c r="N489" s="238"/>
      <c r="O489" s="238"/>
      <c r="P489" s="238"/>
      <c r="Q489" s="238"/>
      <c r="R489" s="238"/>
      <c r="S489" s="262"/>
      <c r="U489" s="283"/>
    </row>
    <row r="490" spans="1:21" ht="14.1" customHeight="1" x14ac:dyDescent="0.2">
      <c r="A490" s="252">
        <v>31</v>
      </c>
      <c r="B490" s="312"/>
      <c r="C490" s="269">
        <v>11401</v>
      </c>
      <c r="D490" s="279" t="s">
        <v>292</v>
      </c>
      <c r="F490" s="313">
        <v>3.0042854300876143</v>
      </c>
      <c r="G490" s="260"/>
      <c r="H490" s="68">
        <v>6182810</v>
      </c>
      <c r="I490" s="696"/>
      <c r="J490" s="68">
        <v>0</v>
      </c>
      <c r="K490" s="238"/>
      <c r="L490" s="68">
        <v>0</v>
      </c>
      <c r="M490" s="238"/>
      <c r="N490" s="68">
        <v>0</v>
      </c>
      <c r="O490" s="238"/>
      <c r="P490" s="68">
        <v>6182810</v>
      </c>
      <c r="Q490" s="238"/>
      <c r="R490" s="68">
        <v>6182810</v>
      </c>
      <c r="S490" s="262"/>
      <c r="U490" s="283"/>
    </row>
    <row r="491" spans="1:21" ht="14.1" customHeight="1" x14ac:dyDescent="0.2">
      <c r="A491" s="252">
        <v>32</v>
      </c>
      <c r="B491" s="312"/>
      <c r="C491" s="269">
        <v>11402</v>
      </c>
      <c r="D491" s="279" t="s">
        <v>293</v>
      </c>
      <c r="F491" s="313">
        <v>4.3644578968345602</v>
      </c>
      <c r="G491" s="260"/>
      <c r="H491" s="68">
        <v>960040.88</v>
      </c>
      <c r="I491" s="696"/>
      <c r="J491" s="68">
        <v>0</v>
      </c>
      <c r="K491" s="238"/>
      <c r="L491" s="68">
        <v>0</v>
      </c>
      <c r="M491" s="238"/>
      <c r="N491" s="68">
        <v>0</v>
      </c>
      <c r="O491" s="238"/>
      <c r="P491" s="68">
        <v>960040.88</v>
      </c>
      <c r="Q491" s="238"/>
      <c r="R491" s="68">
        <v>960040.88000000024</v>
      </c>
      <c r="S491" s="262"/>
      <c r="U491" s="283"/>
    </row>
    <row r="492" spans="1:21" ht="14.1" customHeight="1" x14ac:dyDescent="0.2">
      <c r="A492" s="252">
        <v>33</v>
      </c>
      <c r="B492" s="312"/>
      <c r="C492" s="269">
        <v>11403</v>
      </c>
      <c r="D492" s="252" t="s">
        <v>294</v>
      </c>
      <c r="F492" s="313">
        <v>2.6490043567324886</v>
      </c>
      <c r="G492" s="260"/>
      <c r="H492" s="68">
        <v>341971.88</v>
      </c>
      <c r="I492" s="696"/>
      <c r="J492" s="68">
        <v>0</v>
      </c>
      <c r="K492" s="238"/>
      <c r="L492" s="68">
        <v>0</v>
      </c>
      <c r="M492" s="238"/>
      <c r="N492" s="68">
        <v>0</v>
      </c>
      <c r="O492" s="238"/>
      <c r="P492" s="68">
        <v>341971.88</v>
      </c>
      <c r="Q492" s="238"/>
      <c r="R492" s="68">
        <v>341971.87999999995</v>
      </c>
      <c r="S492" s="262"/>
      <c r="U492" s="283"/>
    </row>
    <row r="493" spans="1:21" ht="14.1" customHeight="1" x14ac:dyDescent="0.2">
      <c r="A493" s="252">
        <v>34</v>
      </c>
      <c r="B493" s="312"/>
      <c r="D493" s="279" t="s">
        <v>179</v>
      </c>
      <c r="H493" s="90">
        <v>7484822.7599999998</v>
      </c>
      <c r="I493" s="696"/>
      <c r="J493" s="90">
        <v>0</v>
      </c>
      <c r="K493" s="696"/>
      <c r="L493" s="90">
        <v>0</v>
      </c>
      <c r="M493" s="696"/>
      <c r="N493" s="90">
        <v>0</v>
      </c>
      <c r="O493" s="696"/>
      <c r="P493" s="90">
        <v>7484822.7599999998</v>
      </c>
      <c r="Q493" s="696"/>
      <c r="R493" s="90">
        <v>7484822.7599999998</v>
      </c>
      <c r="S493" s="262"/>
      <c r="U493" s="283"/>
    </row>
    <row r="494" spans="1:21" ht="14.1" customHeight="1" x14ac:dyDescent="0.2">
      <c r="A494" s="252">
        <v>35</v>
      </c>
      <c r="B494" s="312"/>
      <c r="S494" s="262"/>
      <c r="U494" s="283"/>
    </row>
    <row r="495" spans="1:21" ht="14.1" customHeight="1" x14ac:dyDescent="0.2">
      <c r="A495" s="252">
        <v>36</v>
      </c>
      <c r="B495" s="312"/>
      <c r="H495" s="238"/>
      <c r="I495" s="238"/>
      <c r="J495" s="238"/>
      <c r="K495" s="238"/>
      <c r="L495" s="238"/>
      <c r="M495" s="238"/>
      <c r="N495" s="238"/>
      <c r="O495" s="238"/>
      <c r="P495" s="238"/>
      <c r="Q495" s="238"/>
      <c r="R495" s="238"/>
      <c r="S495" s="262"/>
      <c r="U495" s="283"/>
    </row>
    <row r="496" spans="1:21" ht="14.1" customHeight="1" x14ac:dyDescent="0.2">
      <c r="A496" s="83">
        <v>37</v>
      </c>
      <c r="B496" s="312"/>
      <c r="H496" s="238"/>
      <c r="I496" s="238"/>
      <c r="J496" s="238"/>
      <c r="K496" s="238"/>
      <c r="L496" s="238"/>
      <c r="M496" s="238"/>
      <c r="N496" s="238"/>
      <c r="O496" s="238"/>
      <c r="P496" s="238"/>
      <c r="Q496" s="238"/>
      <c r="R496" s="238"/>
      <c r="S496" s="262"/>
      <c r="U496" s="283"/>
    </row>
    <row r="497" spans="1:23" s="83" customFormat="1" ht="14.1" customHeight="1" x14ac:dyDescent="0.2">
      <c r="A497" s="83">
        <v>38</v>
      </c>
      <c r="B497" s="328"/>
      <c r="C497" s="269">
        <v>10200</v>
      </c>
      <c r="D497" s="739" t="s">
        <v>181</v>
      </c>
      <c r="E497" s="252"/>
      <c r="F497" s="313">
        <v>0</v>
      </c>
      <c r="G497" s="260"/>
      <c r="H497" s="68">
        <v>0</v>
      </c>
      <c r="I497" s="696"/>
      <c r="J497" s="68">
        <v>0</v>
      </c>
      <c r="K497" s="238"/>
      <c r="L497" s="68">
        <v>0</v>
      </c>
      <c r="M497" s="238"/>
      <c r="N497" s="68">
        <v>0</v>
      </c>
      <c r="O497" s="238"/>
      <c r="P497" s="68">
        <v>0</v>
      </c>
      <c r="Q497" s="238"/>
      <c r="R497" s="68">
        <v>0</v>
      </c>
      <c r="S497" s="109"/>
      <c r="U497" s="297"/>
    </row>
    <row r="498" spans="1:23" ht="14.1" customHeight="1" x14ac:dyDescent="0.2">
      <c r="A498" s="83">
        <v>39</v>
      </c>
      <c r="B498" s="312"/>
      <c r="H498" s="238"/>
      <c r="I498" s="238"/>
      <c r="J498" s="238"/>
      <c r="K498" s="238"/>
      <c r="L498" s="238"/>
      <c r="M498" s="238"/>
      <c r="N498" s="238"/>
      <c r="O498" s="238"/>
      <c r="P498" s="238"/>
      <c r="Q498" s="238"/>
      <c r="R498" s="238"/>
      <c r="S498" s="262"/>
      <c r="U498" s="283"/>
    </row>
    <row r="499" spans="1:23" s="83" customFormat="1" ht="14.1" customHeight="1" x14ac:dyDescent="0.2">
      <c r="A499" s="83">
        <v>40</v>
      </c>
      <c r="B499" s="698"/>
      <c r="S499" s="109"/>
      <c r="U499" s="297"/>
    </row>
    <row r="500" spans="1:23" s="83" customFormat="1" ht="14.1" customHeight="1" x14ac:dyDescent="0.2">
      <c r="A500" s="83">
        <v>41</v>
      </c>
      <c r="B500" s="698"/>
      <c r="C500" s="269">
        <v>10501</v>
      </c>
      <c r="D500" s="767" t="s">
        <v>183</v>
      </c>
      <c r="E500" s="252"/>
      <c r="F500" s="313">
        <v>0</v>
      </c>
      <c r="G500" s="260"/>
      <c r="H500" s="68">
        <v>44312361.210000016</v>
      </c>
      <c r="I500" s="696"/>
      <c r="J500" s="68">
        <v>10293123.84</v>
      </c>
      <c r="K500" s="238"/>
      <c r="L500" s="68">
        <v>0</v>
      </c>
      <c r="M500" s="238"/>
      <c r="N500" s="68">
        <v>-68042.930000000008</v>
      </c>
      <c r="O500" s="238"/>
      <c r="P500" s="68">
        <v>54537442.120000012</v>
      </c>
      <c r="Q500" s="238"/>
      <c r="R500" s="68">
        <v>48993576.794615395</v>
      </c>
      <c r="S500" s="109"/>
      <c r="U500" s="297"/>
    </row>
    <row r="501" spans="1:23" s="83" customFormat="1" ht="14.1" customHeight="1" x14ac:dyDescent="0.2">
      <c r="A501" s="83">
        <v>42</v>
      </c>
      <c r="B501" s="698"/>
      <c r="C501" s="252"/>
      <c r="S501" s="109"/>
      <c r="U501" s="297"/>
    </row>
    <row r="502" spans="1:23" s="83" customFormat="1" ht="14.1" customHeight="1" thickBot="1" x14ac:dyDescent="0.25">
      <c r="A502" s="83">
        <v>43</v>
      </c>
      <c r="B502" s="698"/>
      <c r="D502" s="298" t="s">
        <v>184</v>
      </c>
      <c r="E502" s="298"/>
      <c r="H502" s="326">
        <v>9685231738.7199993</v>
      </c>
      <c r="I502" s="326"/>
      <c r="J502" s="326">
        <v>644302126.96999979</v>
      </c>
      <c r="K502" s="672"/>
      <c r="L502" s="326">
        <v>-91077487.420000002</v>
      </c>
      <c r="M502" s="672"/>
      <c r="N502" s="326">
        <v>-32571.430000000357</v>
      </c>
      <c r="O502" s="672"/>
      <c r="P502" s="326">
        <v>10238423806.84</v>
      </c>
      <c r="Q502" s="672"/>
      <c r="R502" s="326">
        <v>10031767106.096157</v>
      </c>
      <c r="S502" s="109"/>
      <c r="U502" s="297"/>
    </row>
    <row r="503" spans="1:23" ht="14.1" customHeight="1" thickTop="1" thickBot="1" x14ac:dyDescent="0.25">
      <c r="A503" s="83">
        <v>44</v>
      </c>
      <c r="B503" s="742" t="s">
        <v>186</v>
      </c>
      <c r="C503" s="264"/>
      <c r="D503" s="264"/>
      <c r="E503" s="264"/>
      <c r="F503" s="264"/>
      <c r="G503" s="264"/>
      <c r="H503" s="264"/>
      <c r="I503" s="264"/>
      <c r="J503" s="264"/>
      <c r="K503" s="264"/>
      <c r="L503" s="264"/>
      <c r="M503" s="264"/>
      <c r="N503" s="264"/>
      <c r="O503" s="264"/>
      <c r="P503" s="264"/>
      <c r="Q503" s="264"/>
      <c r="R503" s="264"/>
      <c r="S503" s="262"/>
      <c r="U503" s="283"/>
    </row>
    <row r="504" spans="1:23" ht="14.1" customHeight="1" x14ac:dyDescent="0.2">
      <c r="A504" s="252" t="s">
        <v>60</v>
      </c>
      <c r="P504" s="252" t="s">
        <v>60</v>
      </c>
      <c r="S504" s="262"/>
      <c r="U504" s="283"/>
    </row>
    <row r="505" spans="1:23" ht="14.1" customHeight="1" x14ac:dyDescent="0.2">
      <c r="A505" s="262"/>
      <c r="B505" s="262"/>
      <c r="C505" s="262"/>
      <c r="D505" s="262"/>
      <c r="E505" s="262"/>
      <c r="F505" s="262"/>
      <c r="G505" s="262"/>
      <c r="H505" s="262"/>
      <c r="I505" s="262"/>
      <c r="J505" s="262"/>
      <c r="K505" s="262"/>
      <c r="L505" s="262"/>
      <c r="M505" s="262"/>
      <c r="N505" s="262"/>
      <c r="O505" s="262"/>
      <c r="P505" s="262"/>
      <c r="Q505" s="262"/>
      <c r="R505" s="262"/>
      <c r="S505" s="262"/>
      <c r="V505" s="283"/>
      <c r="W505" s="277"/>
    </row>
    <row r="506" spans="1:23" ht="14.1" customHeight="1" x14ac:dyDescent="0.2">
      <c r="D506" s="305" t="s">
        <v>296</v>
      </c>
      <c r="H506" s="329">
        <v>9565003130.2999992</v>
      </c>
      <c r="I506" s="758"/>
      <c r="J506" s="758">
        <v>628763084.66000021</v>
      </c>
      <c r="K506" s="758"/>
      <c r="L506" s="758">
        <v>-91077487.420000002</v>
      </c>
      <c r="M506" s="758"/>
      <c r="N506" s="768">
        <v>35471.499999999651</v>
      </c>
      <c r="O506" s="758"/>
      <c r="P506" s="758">
        <v>10102724199.039999</v>
      </c>
      <c r="Q506" s="758"/>
      <c r="R506" s="758">
        <v>9905272061.0176926</v>
      </c>
      <c r="S506" s="262"/>
      <c r="U506" s="283">
        <v>0</v>
      </c>
      <c r="V506" s="283"/>
      <c r="W506" s="277"/>
    </row>
    <row r="507" spans="1:23" ht="14.1" customHeight="1" x14ac:dyDescent="0.2">
      <c r="D507" s="305" t="s">
        <v>1394</v>
      </c>
      <c r="H507" s="329">
        <v>27806701.32</v>
      </c>
      <c r="I507" s="758"/>
      <c r="J507" s="329">
        <v>-1809759.0899999999</v>
      </c>
      <c r="K507" s="758"/>
      <c r="L507" s="329">
        <v>0</v>
      </c>
      <c r="M507" s="758"/>
      <c r="N507" s="329">
        <v>0</v>
      </c>
      <c r="O507" s="758"/>
      <c r="P507" s="329">
        <v>25996942.23</v>
      </c>
      <c r="Q507" s="758"/>
      <c r="R507" s="329">
        <v>27036609.073846158</v>
      </c>
      <c r="S507" s="262"/>
      <c r="U507" s="283"/>
      <c r="V507" s="283"/>
      <c r="W507" s="277"/>
    </row>
    <row r="508" spans="1:23" ht="14.1" customHeight="1" x14ac:dyDescent="0.2">
      <c r="D508" s="305" t="s">
        <v>1153</v>
      </c>
      <c r="H508" s="329">
        <v>40624723.130000301</v>
      </c>
      <c r="I508" s="758"/>
      <c r="J508" s="758">
        <v>7055677.5599999996</v>
      </c>
      <c r="K508" s="758"/>
      <c r="L508" s="758">
        <v>0</v>
      </c>
      <c r="M508" s="758"/>
      <c r="N508" s="758">
        <v>0</v>
      </c>
      <c r="O508" s="758"/>
      <c r="P508" s="758">
        <v>47680400.690000296</v>
      </c>
      <c r="Q508" s="758"/>
      <c r="R508" s="758">
        <v>42980036.450000301</v>
      </c>
      <c r="S508" s="262"/>
      <c r="U508" s="283">
        <v>0</v>
      </c>
      <c r="V508" s="277"/>
    </row>
    <row r="509" spans="1:23" ht="14.1" customHeight="1" x14ac:dyDescent="0.2">
      <c r="D509" s="257" t="s">
        <v>298</v>
      </c>
      <c r="H509" s="329">
        <v>44312361.210000001</v>
      </c>
      <c r="I509" s="758"/>
      <c r="J509" s="758">
        <v>10293123.84</v>
      </c>
      <c r="K509" s="758"/>
      <c r="L509" s="758">
        <v>0</v>
      </c>
      <c r="M509" s="758"/>
      <c r="N509" s="768">
        <v>-68042.930000000008</v>
      </c>
      <c r="O509" s="758"/>
      <c r="P509" s="758">
        <v>54537442.120000005</v>
      </c>
      <c r="Q509" s="758"/>
      <c r="R509" s="758">
        <v>48993576.794615388</v>
      </c>
      <c r="S509" s="262"/>
      <c r="U509" s="283">
        <v>0</v>
      </c>
    </row>
    <row r="510" spans="1:23" ht="14.1" customHeight="1" x14ac:dyDescent="0.2">
      <c r="D510" s="257" t="s">
        <v>299</v>
      </c>
      <c r="H510" s="330">
        <v>7484822.759999997</v>
      </c>
      <c r="I510" s="769"/>
      <c r="J510" s="769">
        <v>0</v>
      </c>
      <c r="K510" s="769"/>
      <c r="L510" s="769">
        <v>0</v>
      </c>
      <c r="M510" s="769"/>
      <c r="N510" s="769">
        <v>0</v>
      </c>
      <c r="O510" s="769"/>
      <c r="P510" s="769">
        <v>7484822.759999997</v>
      </c>
      <c r="Q510" s="758"/>
      <c r="R510" s="769">
        <v>7484822.7599999905</v>
      </c>
      <c r="S510" s="262"/>
      <c r="U510" s="283">
        <v>0</v>
      </c>
    </row>
    <row r="511" spans="1:23" ht="14.1" customHeight="1" thickBot="1" x14ac:dyDescent="0.25">
      <c r="H511" s="770">
        <v>9685231738.7199993</v>
      </c>
      <c r="I511" s="331"/>
      <c r="J511" s="771">
        <v>644302126.97000015</v>
      </c>
      <c r="K511" s="771"/>
      <c r="L511" s="771">
        <v>-91077487.420000002</v>
      </c>
      <c r="M511" s="771"/>
      <c r="N511" s="771">
        <v>-32571.430000000357</v>
      </c>
      <c r="O511" s="771"/>
      <c r="P511" s="771">
        <v>10238423806.84</v>
      </c>
      <c r="Q511" s="771"/>
      <c r="R511" s="771">
        <v>10031767106.096155</v>
      </c>
      <c r="S511" s="262"/>
      <c r="V511" s="277"/>
    </row>
    <row r="512" spans="1:23" ht="14.1" customHeight="1" thickTop="1" x14ac:dyDescent="0.2">
      <c r="H512" s="283">
        <v>0</v>
      </c>
      <c r="J512" s="283">
        <v>0</v>
      </c>
      <c r="K512" s="283"/>
      <c r="L512" s="283">
        <v>0</v>
      </c>
      <c r="M512" s="283"/>
      <c r="N512" s="283">
        <v>0</v>
      </c>
      <c r="O512" s="283"/>
      <c r="P512" s="283">
        <v>0</v>
      </c>
      <c r="Q512" s="283"/>
      <c r="R512" s="283">
        <v>0</v>
      </c>
      <c r="S512" s="262"/>
    </row>
    <row r="513" spans="1:19" ht="14.1" customHeight="1" x14ac:dyDescent="0.2">
      <c r="A513" s="262"/>
      <c r="B513" s="262"/>
      <c r="C513" s="262"/>
      <c r="D513" s="262" t="s">
        <v>1395</v>
      </c>
      <c r="E513" s="262"/>
      <c r="F513" s="262"/>
      <c r="G513" s="262"/>
      <c r="H513" s="262"/>
      <c r="I513" s="262"/>
      <c r="J513" s="262"/>
      <c r="K513" s="262"/>
      <c r="L513" s="262"/>
      <c r="M513" s="262"/>
      <c r="N513" s="262"/>
      <c r="O513" s="262"/>
      <c r="P513" s="262"/>
      <c r="Q513" s="262"/>
      <c r="R513" s="262"/>
      <c r="S513" s="262"/>
    </row>
    <row r="514" spans="1:19" ht="14.1" customHeight="1" x14ac:dyDescent="0.2">
      <c r="D514" s="260" t="s">
        <v>1396</v>
      </c>
      <c r="F514" s="277"/>
      <c r="H514" s="283">
        <v>-3.0547380447387695E-7</v>
      </c>
      <c r="J514" s="283"/>
      <c r="L514" s="283"/>
      <c r="N514" s="283"/>
      <c r="P514" s="283">
        <v>-4.5821070671081543E-7</v>
      </c>
      <c r="R514" s="283">
        <v>2.5667250156402588E-6</v>
      </c>
      <c r="S514" s="262"/>
    </row>
    <row r="515" spans="1:19" ht="14.1" customHeight="1" x14ac:dyDescent="0.2">
      <c r="A515" s="262"/>
      <c r="B515" s="262"/>
      <c r="C515" s="262"/>
      <c r="D515" s="262"/>
      <c r="E515" s="262"/>
      <c r="F515" s="262"/>
      <c r="G515" s="262"/>
      <c r="H515" s="262"/>
      <c r="I515" s="262"/>
      <c r="J515" s="262"/>
      <c r="K515" s="262"/>
      <c r="L515" s="262"/>
      <c r="M515" s="262"/>
      <c r="N515" s="262"/>
      <c r="O515" s="262"/>
      <c r="P515" s="772"/>
      <c r="Q515" s="262"/>
      <c r="R515" s="772"/>
      <c r="S515" s="262"/>
    </row>
    <row r="516" spans="1:19" ht="14.1" customHeight="1" x14ac:dyDescent="0.2">
      <c r="H516" s="283"/>
      <c r="J516" s="283"/>
      <c r="R516" s="251"/>
    </row>
    <row r="517" spans="1:19" ht="14.1" customHeight="1" x14ac:dyDescent="0.2">
      <c r="D517" s="252" t="s">
        <v>1397</v>
      </c>
      <c r="H517" s="283">
        <v>-27806701.32</v>
      </c>
      <c r="J517" s="283">
        <v>1809759.0899999999</v>
      </c>
      <c r="L517" s="283">
        <v>0</v>
      </c>
      <c r="N517" s="283">
        <v>0</v>
      </c>
      <c r="P517" s="283">
        <v>-25996942.23</v>
      </c>
      <c r="R517" s="283">
        <v>-27036609.073846158</v>
      </c>
    </row>
    <row r="518" spans="1:19" ht="14.1" customHeight="1" x14ac:dyDescent="0.2">
      <c r="C518" s="677" t="s">
        <v>399</v>
      </c>
      <c r="D518" s="677" t="s">
        <v>400</v>
      </c>
      <c r="H518" s="239">
        <v>13395562.560000002</v>
      </c>
      <c r="J518" s="239">
        <v>815893.06</v>
      </c>
      <c r="L518" s="239">
        <v>-546548.47</v>
      </c>
      <c r="N518" s="239">
        <v>0</v>
      </c>
      <c r="P518" s="239">
        <v>13664907.150000002</v>
      </c>
      <c r="R518" s="239">
        <v>13520806.815384615</v>
      </c>
    </row>
    <row r="519" spans="1:19" ht="14.1" customHeight="1" x14ac:dyDescent="0.2">
      <c r="H519" s="283">
        <v>9670820599.9599991</v>
      </c>
      <c r="J519" s="283">
        <v>646927779.12000012</v>
      </c>
      <c r="L519" s="283">
        <v>-91624035.890000001</v>
      </c>
      <c r="N519" s="283">
        <v>-32571.430000000357</v>
      </c>
      <c r="P519" s="283">
        <v>10226091771.76</v>
      </c>
      <c r="R519" s="283">
        <v>10018251303.837692</v>
      </c>
    </row>
    <row r="520" spans="1:19" ht="14.1" customHeight="1" x14ac:dyDescent="0.2">
      <c r="J520" s="283"/>
      <c r="L520" s="283"/>
      <c r="N520" s="251"/>
      <c r="P520" s="283"/>
    </row>
    <row r="521" spans="1:19" ht="14.1" customHeight="1" x14ac:dyDescent="0.2">
      <c r="D521" s="260" t="s">
        <v>1398</v>
      </c>
      <c r="H521" s="283">
        <v>0</v>
      </c>
      <c r="J521" s="283">
        <v>0</v>
      </c>
      <c r="L521" s="283">
        <v>0</v>
      </c>
      <c r="N521" s="283">
        <v>-6.5483618527650833E-10</v>
      </c>
      <c r="P521" s="283">
        <v>0</v>
      </c>
      <c r="R521" s="283">
        <v>0</v>
      </c>
    </row>
  </sheetData>
  <printOptions horizontalCentered="1"/>
  <pageMargins left="0.5" right="0.5" top="1" bottom="0.5" header="0.5" footer="0.25"/>
  <pageSetup scale="67" fitToHeight="11" orientation="landscape" blackAndWhite="1" r:id="rId1"/>
  <headerFooter alignWithMargins="0"/>
  <rowBreaks count="9" manualBreakCount="9">
    <brk id="52" max="17" man="1"/>
    <brk id="105" max="17" man="1"/>
    <brk id="158" max="17" man="1"/>
    <brk id="209" max="17" man="1"/>
    <brk id="260" max="17" man="1"/>
    <brk id="311" max="17" man="1"/>
    <brk id="362" max="17" man="1"/>
    <brk id="417" max="17" man="1"/>
    <brk id="470" max="17" man="1"/>
  </rowBreaks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FFE52-024F-47DB-891D-E832EC3E866E}">
  <sheetPr>
    <tabColor theme="9" tint="0.39997558519241921"/>
  </sheetPr>
  <dimension ref="A1:AR752"/>
  <sheetViews>
    <sheetView topLeftCell="A470" zoomScaleNormal="100" zoomScaleSheetLayoutView="100" workbookViewId="0">
      <selection activeCell="D422" sqref="D422"/>
    </sheetView>
  </sheetViews>
  <sheetFormatPr defaultRowHeight="14.1" customHeight="1" x14ac:dyDescent="0.2"/>
  <cols>
    <col min="1" max="1" width="4.42578125" style="252" customWidth="1"/>
    <col min="2" max="2" width="6.7109375" style="252" bestFit="1" customWidth="1"/>
    <col min="3" max="3" width="12" style="252" bestFit="1" customWidth="1"/>
    <col min="4" max="4" width="40.28515625" style="252" bestFit="1" customWidth="1"/>
    <col min="5" max="5" width="2.28515625" style="252" customWidth="1"/>
    <col min="6" max="6" width="17.140625" style="252" customWidth="1"/>
    <col min="7" max="7" width="2.28515625" style="252" customWidth="1"/>
    <col min="8" max="8" width="17.140625" style="252" customWidth="1"/>
    <col min="9" max="9" width="2.28515625" style="252" customWidth="1"/>
    <col min="10" max="10" width="17.140625" style="252" customWidth="1"/>
    <col min="11" max="11" width="2.28515625" style="252" customWidth="1"/>
    <col min="12" max="12" width="17.140625" style="252" customWidth="1"/>
    <col min="13" max="13" width="2.28515625" style="252" customWidth="1"/>
    <col min="14" max="14" width="17.140625" style="252" customWidth="1"/>
    <col min="15" max="15" width="2.28515625" style="252" customWidth="1"/>
    <col min="16" max="16" width="17.140625" style="252" customWidth="1"/>
    <col min="17" max="17" width="2.28515625" style="252" customWidth="1"/>
    <col min="18" max="18" width="17.140625" style="252" customWidth="1"/>
    <col min="19" max="19" width="2.28515625" style="252" customWidth="1"/>
    <col min="20" max="20" width="17.140625" style="252" customWidth="1"/>
    <col min="21" max="21" width="4" style="252" customWidth="1"/>
    <col min="22" max="22" width="5" style="252" customWidth="1"/>
    <col min="23" max="23" width="8.5703125" style="252" customWidth="1"/>
    <col min="24" max="24" width="13.85546875" style="603" customWidth="1"/>
    <col min="25" max="25" width="44" style="252" customWidth="1"/>
    <col min="26" max="26" width="2.28515625" style="252" customWidth="1"/>
    <col min="27" max="27" width="17.140625" style="252" customWidth="1"/>
    <col min="28" max="28" width="2.28515625" style="252" customWidth="1"/>
    <col min="29" max="29" width="17.140625" style="252" customWidth="1"/>
    <col min="30" max="30" width="2.28515625" style="252" customWidth="1"/>
    <col min="31" max="31" width="17.140625" style="252" customWidth="1"/>
    <col min="32" max="32" width="2.28515625" style="252" customWidth="1"/>
    <col min="33" max="33" width="17.140625" style="252" customWidth="1"/>
    <col min="34" max="34" width="2.28515625" style="252" customWidth="1"/>
    <col min="35" max="35" width="17.140625" style="252" customWidth="1"/>
    <col min="36" max="36" width="2.28515625" style="252" customWidth="1"/>
    <col min="37" max="37" width="17.140625" style="252" customWidth="1"/>
    <col min="38" max="38" width="2.28515625" style="252" customWidth="1"/>
    <col min="39" max="39" width="17.140625" style="252" customWidth="1"/>
    <col min="40" max="40" width="2.28515625" style="252" customWidth="1"/>
    <col min="41" max="41" width="17.140625" style="252" customWidth="1"/>
    <col min="42" max="42" width="3.42578125" style="252" customWidth="1"/>
    <col min="43" max="256" width="9.140625" style="252"/>
    <col min="257" max="257" width="3.5703125" style="252" customWidth="1"/>
    <col min="258" max="258" width="6.7109375" style="252" bestFit="1" customWidth="1"/>
    <col min="259" max="259" width="12" style="252" bestFit="1" customWidth="1"/>
    <col min="260" max="260" width="40.28515625" style="252" bestFit="1" customWidth="1"/>
    <col min="261" max="261" width="2.28515625" style="252" customWidth="1"/>
    <col min="262" max="262" width="13.5703125" style="252" customWidth="1"/>
    <col min="263" max="263" width="2.28515625" style="252" customWidth="1"/>
    <col min="264" max="264" width="13.5703125" style="252" customWidth="1"/>
    <col min="265" max="265" width="2.28515625" style="252" customWidth="1"/>
    <col min="266" max="266" width="13.5703125" style="252" customWidth="1"/>
    <col min="267" max="267" width="2.28515625" style="252" customWidth="1"/>
    <col min="268" max="268" width="13.5703125" style="252" customWidth="1"/>
    <col min="269" max="269" width="2.28515625" style="252" customWidth="1"/>
    <col min="270" max="270" width="13.5703125" style="252" customWidth="1"/>
    <col min="271" max="271" width="2.28515625" style="252" customWidth="1"/>
    <col min="272" max="272" width="13.5703125" style="252" customWidth="1"/>
    <col min="273" max="273" width="2.28515625" style="252" customWidth="1"/>
    <col min="274" max="274" width="13.5703125" style="252" customWidth="1"/>
    <col min="275" max="275" width="2.28515625" style="252" customWidth="1"/>
    <col min="276" max="276" width="13.5703125" style="252" customWidth="1"/>
    <col min="277" max="277" width="4" style="252" customWidth="1"/>
    <col min="278" max="278" width="3.5703125" style="252" customWidth="1"/>
    <col min="279" max="279" width="6.7109375" style="252" bestFit="1" customWidth="1"/>
    <col min="280" max="280" width="12.7109375" style="252" bestFit="1" customWidth="1"/>
    <col min="281" max="281" width="40.28515625" style="252" bestFit="1" customWidth="1"/>
    <col min="282" max="282" width="2.28515625" style="252" customWidth="1"/>
    <col min="283" max="283" width="13.5703125" style="252" customWidth="1"/>
    <col min="284" max="284" width="2.28515625" style="252" customWidth="1"/>
    <col min="285" max="285" width="13.5703125" style="252" customWidth="1"/>
    <col min="286" max="286" width="2.28515625" style="252" customWidth="1"/>
    <col min="287" max="287" width="13.5703125" style="252" customWidth="1"/>
    <col min="288" max="288" width="2.28515625" style="252" customWidth="1"/>
    <col min="289" max="289" width="13.5703125" style="252" customWidth="1"/>
    <col min="290" max="290" width="2.28515625" style="252" customWidth="1"/>
    <col min="291" max="291" width="13.5703125" style="252" customWidth="1"/>
    <col min="292" max="292" width="2.28515625" style="252" customWidth="1"/>
    <col min="293" max="293" width="13.5703125" style="252" customWidth="1"/>
    <col min="294" max="294" width="2.28515625" style="252" customWidth="1"/>
    <col min="295" max="295" width="13.5703125" style="252" customWidth="1"/>
    <col min="296" max="296" width="2.28515625" style="252" customWidth="1"/>
    <col min="297" max="297" width="13.5703125" style="252" customWidth="1"/>
    <col min="298" max="298" width="3.42578125" style="252" customWidth="1"/>
    <col min="299" max="512" width="9.140625" style="252"/>
    <col min="513" max="513" width="3.5703125" style="252" customWidth="1"/>
    <col min="514" max="514" width="6.7109375" style="252" bestFit="1" customWidth="1"/>
    <col min="515" max="515" width="12" style="252" bestFit="1" customWidth="1"/>
    <col min="516" max="516" width="40.28515625" style="252" bestFit="1" customWidth="1"/>
    <col min="517" max="517" width="2.28515625" style="252" customWidth="1"/>
    <col min="518" max="518" width="13.5703125" style="252" customWidth="1"/>
    <col min="519" max="519" width="2.28515625" style="252" customWidth="1"/>
    <col min="520" max="520" width="13.5703125" style="252" customWidth="1"/>
    <col min="521" max="521" width="2.28515625" style="252" customWidth="1"/>
    <col min="522" max="522" width="13.5703125" style="252" customWidth="1"/>
    <col min="523" max="523" width="2.28515625" style="252" customWidth="1"/>
    <col min="524" max="524" width="13.5703125" style="252" customWidth="1"/>
    <col min="525" max="525" width="2.28515625" style="252" customWidth="1"/>
    <col min="526" max="526" width="13.5703125" style="252" customWidth="1"/>
    <col min="527" max="527" width="2.28515625" style="252" customWidth="1"/>
    <col min="528" max="528" width="13.5703125" style="252" customWidth="1"/>
    <col min="529" max="529" width="2.28515625" style="252" customWidth="1"/>
    <col min="530" max="530" width="13.5703125" style="252" customWidth="1"/>
    <col min="531" max="531" width="2.28515625" style="252" customWidth="1"/>
    <col min="532" max="532" width="13.5703125" style="252" customWidth="1"/>
    <col min="533" max="533" width="4" style="252" customWidth="1"/>
    <col min="534" max="534" width="3.5703125" style="252" customWidth="1"/>
    <col min="535" max="535" width="6.7109375" style="252" bestFit="1" customWidth="1"/>
    <col min="536" max="536" width="12.7109375" style="252" bestFit="1" customWidth="1"/>
    <col min="537" max="537" width="40.28515625" style="252" bestFit="1" customWidth="1"/>
    <col min="538" max="538" width="2.28515625" style="252" customWidth="1"/>
    <col min="539" max="539" width="13.5703125" style="252" customWidth="1"/>
    <col min="540" max="540" width="2.28515625" style="252" customWidth="1"/>
    <col min="541" max="541" width="13.5703125" style="252" customWidth="1"/>
    <col min="542" max="542" width="2.28515625" style="252" customWidth="1"/>
    <col min="543" max="543" width="13.5703125" style="252" customWidth="1"/>
    <col min="544" max="544" width="2.28515625" style="252" customWidth="1"/>
    <col min="545" max="545" width="13.5703125" style="252" customWidth="1"/>
    <col min="546" max="546" width="2.28515625" style="252" customWidth="1"/>
    <col min="547" max="547" width="13.5703125" style="252" customWidth="1"/>
    <col min="548" max="548" width="2.28515625" style="252" customWidth="1"/>
    <col min="549" max="549" width="13.5703125" style="252" customWidth="1"/>
    <col min="550" max="550" width="2.28515625" style="252" customWidth="1"/>
    <col min="551" max="551" width="13.5703125" style="252" customWidth="1"/>
    <col min="552" max="552" width="2.28515625" style="252" customWidth="1"/>
    <col min="553" max="553" width="13.5703125" style="252" customWidth="1"/>
    <col min="554" max="554" width="3.42578125" style="252" customWidth="1"/>
    <col min="555" max="768" width="9.140625" style="252"/>
    <col min="769" max="769" width="3.5703125" style="252" customWidth="1"/>
    <col min="770" max="770" width="6.7109375" style="252" bestFit="1" customWidth="1"/>
    <col min="771" max="771" width="12" style="252" bestFit="1" customWidth="1"/>
    <col min="772" max="772" width="40.28515625" style="252" bestFit="1" customWidth="1"/>
    <col min="773" max="773" width="2.28515625" style="252" customWidth="1"/>
    <col min="774" max="774" width="13.5703125" style="252" customWidth="1"/>
    <col min="775" max="775" width="2.28515625" style="252" customWidth="1"/>
    <col min="776" max="776" width="13.5703125" style="252" customWidth="1"/>
    <col min="777" max="777" width="2.28515625" style="252" customWidth="1"/>
    <col min="778" max="778" width="13.5703125" style="252" customWidth="1"/>
    <col min="779" max="779" width="2.28515625" style="252" customWidth="1"/>
    <col min="780" max="780" width="13.5703125" style="252" customWidth="1"/>
    <col min="781" max="781" width="2.28515625" style="252" customWidth="1"/>
    <col min="782" max="782" width="13.5703125" style="252" customWidth="1"/>
    <col min="783" max="783" width="2.28515625" style="252" customWidth="1"/>
    <col min="784" max="784" width="13.5703125" style="252" customWidth="1"/>
    <col min="785" max="785" width="2.28515625" style="252" customWidth="1"/>
    <col min="786" max="786" width="13.5703125" style="252" customWidth="1"/>
    <col min="787" max="787" width="2.28515625" style="252" customWidth="1"/>
    <col min="788" max="788" width="13.5703125" style="252" customWidth="1"/>
    <col min="789" max="789" width="4" style="252" customWidth="1"/>
    <col min="790" max="790" width="3.5703125" style="252" customWidth="1"/>
    <col min="791" max="791" width="6.7109375" style="252" bestFit="1" customWidth="1"/>
    <col min="792" max="792" width="12.7109375" style="252" bestFit="1" customWidth="1"/>
    <col min="793" max="793" width="40.28515625" style="252" bestFit="1" customWidth="1"/>
    <col min="794" max="794" width="2.28515625" style="252" customWidth="1"/>
    <col min="795" max="795" width="13.5703125" style="252" customWidth="1"/>
    <col min="796" max="796" width="2.28515625" style="252" customWidth="1"/>
    <col min="797" max="797" width="13.5703125" style="252" customWidth="1"/>
    <col min="798" max="798" width="2.28515625" style="252" customWidth="1"/>
    <col min="799" max="799" width="13.5703125" style="252" customWidth="1"/>
    <col min="800" max="800" width="2.28515625" style="252" customWidth="1"/>
    <col min="801" max="801" width="13.5703125" style="252" customWidth="1"/>
    <col min="802" max="802" width="2.28515625" style="252" customWidth="1"/>
    <col min="803" max="803" width="13.5703125" style="252" customWidth="1"/>
    <col min="804" max="804" width="2.28515625" style="252" customWidth="1"/>
    <col min="805" max="805" width="13.5703125" style="252" customWidth="1"/>
    <col min="806" max="806" width="2.28515625" style="252" customWidth="1"/>
    <col min="807" max="807" width="13.5703125" style="252" customWidth="1"/>
    <col min="808" max="808" width="2.28515625" style="252" customWidth="1"/>
    <col min="809" max="809" width="13.5703125" style="252" customWidth="1"/>
    <col min="810" max="810" width="3.42578125" style="252" customWidth="1"/>
    <col min="811" max="1024" width="9.140625" style="252"/>
    <col min="1025" max="1025" width="3.5703125" style="252" customWidth="1"/>
    <col min="1026" max="1026" width="6.7109375" style="252" bestFit="1" customWidth="1"/>
    <col min="1027" max="1027" width="12" style="252" bestFit="1" customWidth="1"/>
    <col min="1028" max="1028" width="40.28515625" style="252" bestFit="1" customWidth="1"/>
    <col min="1029" max="1029" width="2.28515625" style="252" customWidth="1"/>
    <col min="1030" max="1030" width="13.5703125" style="252" customWidth="1"/>
    <col min="1031" max="1031" width="2.28515625" style="252" customWidth="1"/>
    <col min="1032" max="1032" width="13.5703125" style="252" customWidth="1"/>
    <col min="1033" max="1033" width="2.28515625" style="252" customWidth="1"/>
    <col min="1034" max="1034" width="13.5703125" style="252" customWidth="1"/>
    <col min="1035" max="1035" width="2.28515625" style="252" customWidth="1"/>
    <col min="1036" max="1036" width="13.5703125" style="252" customWidth="1"/>
    <col min="1037" max="1037" width="2.28515625" style="252" customWidth="1"/>
    <col min="1038" max="1038" width="13.5703125" style="252" customWidth="1"/>
    <col min="1039" max="1039" width="2.28515625" style="252" customWidth="1"/>
    <col min="1040" max="1040" width="13.5703125" style="252" customWidth="1"/>
    <col min="1041" max="1041" width="2.28515625" style="252" customWidth="1"/>
    <col min="1042" max="1042" width="13.5703125" style="252" customWidth="1"/>
    <col min="1043" max="1043" width="2.28515625" style="252" customWidth="1"/>
    <col min="1044" max="1044" width="13.5703125" style="252" customWidth="1"/>
    <col min="1045" max="1045" width="4" style="252" customWidth="1"/>
    <col min="1046" max="1046" width="3.5703125" style="252" customWidth="1"/>
    <col min="1047" max="1047" width="6.7109375" style="252" bestFit="1" customWidth="1"/>
    <col min="1048" max="1048" width="12.7109375" style="252" bestFit="1" customWidth="1"/>
    <col min="1049" max="1049" width="40.28515625" style="252" bestFit="1" customWidth="1"/>
    <col min="1050" max="1050" width="2.28515625" style="252" customWidth="1"/>
    <col min="1051" max="1051" width="13.5703125" style="252" customWidth="1"/>
    <col min="1052" max="1052" width="2.28515625" style="252" customWidth="1"/>
    <col min="1053" max="1053" width="13.5703125" style="252" customWidth="1"/>
    <col min="1054" max="1054" width="2.28515625" style="252" customWidth="1"/>
    <col min="1055" max="1055" width="13.5703125" style="252" customWidth="1"/>
    <col min="1056" max="1056" width="2.28515625" style="252" customWidth="1"/>
    <col min="1057" max="1057" width="13.5703125" style="252" customWidth="1"/>
    <col min="1058" max="1058" width="2.28515625" style="252" customWidth="1"/>
    <col min="1059" max="1059" width="13.5703125" style="252" customWidth="1"/>
    <col min="1060" max="1060" width="2.28515625" style="252" customWidth="1"/>
    <col min="1061" max="1061" width="13.5703125" style="252" customWidth="1"/>
    <col min="1062" max="1062" width="2.28515625" style="252" customWidth="1"/>
    <col min="1063" max="1063" width="13.5703125" style="252" customWidth="1"/>
    <col min="1064" max="1064" width="2.28515625" style="252" customWidth="1"/>
    <col min="1065" max="1065" width="13.5703125" style="252" customWidth="1"/>
    <col min="1066" max="1066" width="3.42578125" style="252" customWidth="1"/>
    <col min="1067" max="1280" width="9.140625" style="252"/>
    <col min="1281" max="1281" width="3.5703125" style="252" customWidth="1"/>
    <col min="1282" max="1282" width="6.7109375" style="252" bestFit="1" customWidth="1"/>
    <col min="1283" max="1283" width="12" style="252" bestFit="1" customWidth="1"/>
    <col min="1284" max="1284" width="40.28515625" style="252" bestFit="1" customWidth="1"/>
    <col min="1285" max="1285" width="2.28515625" style="252" customWidth="1"/>
    <col min="1286" max="1286" width="13.5703125" style="252" customWidth="1"/>
    <col min="1287" max="1287" width="2.28515625" style="252" customWidth="1"/>
    <col min="1288" max="1288" width="13.5703125" style="252" customWidth="1"/>
    <col min="1289" max="1289" width="2.28515625" style="252" customWidth="1"/>
    <col min="1290" max="1290" width="13.5703125" style="252" customWidth="1"/>
    <col min="1291" max="1291" width="2.28515625" style="252" customWidth="1"/>
    <col min="1292" max="1292" width="13.5703125" style="252" customWidth="1"/>
    <col min="1293" max="1293" width="2.28515625" style="252" customWidth="1"/>
    <col min="1294" max="1294" width="13.5703125" style="252" customWidth="1"/>
    <col min="1295" max="1295" width="2.28515625" style="252" customWidth="1"/>
    <col min="1296" max="1296" width="13.5703125" style="252" customWidth="1"/>
    <col min="1297" max="1297" width="2.28515625" style="252" customWidth="1"/>
    <col min="1298" max="1298" width="13.5703125" style="252" customWidth="1"/>
    <col min="1299" max="1299" width="2.28515625" style="252" customWidth="1"/>
    <col min="1300" max="1300" width="13.5703125" style="252" customWidth="1"/>
    <col min="1301" max="1301" width="4" style="252" customWidth="1"/>
    <col min="1302" max="1302" width="3.5703125" style="252" customWidth="1"/>
    <col min="1303" max="1303" width="6.7109375" style="252" bestFit="1" customWidth="1"/>
    <col min="1304" max="1304" width="12.7109375" style="252" bestFit="1" customWidth="1"/>
    <col min="1305" max="1305" width="40.28515625" style="252" bestFit="1" customWidth="1"/>
    <col min="1306" max="1306" width="2.28515625" style="252" customWidth="1"/>
    <col min="1307" max="1307" width="13.5703125" style="252" customWidth="1"/>
    <col min="1308" max="1308" width="2.28515625" style="252" customWidth="1"/>
    <col min="1309" max="1309" width="13.5703125" style="252" customWidth="1"/>
    <col min="1310" max="1310" width="2.28515625" style="252" customWidth="1"/>
    <col min="1311" max="1311" width="13.5703125" style="252" customWidth="1"/>
    <col min="1312" max="1312" width="2.28515625" style="252" customWidth="1"/>
    <col min="1313" max="1313" width="13.5703125" style="252" customWidth="1"/>
    <col min="1314" max="1314" width="2.28515625" style="252" customWidth="1"/>
    <col min="1315" max="1315" width="13.5703125" style="252" customWidth="1"/>
    <col min="1316" max="1316" width="2.28515625" style="252" customWidth="1"/>
    <col min="1317" max="1317" width="13.5703125" style="252" customWidth="1"/>
    <col min="1318" max="1318" width="2.28515625" style="252" customWidth="1"/>
    <col min="1319" max="1319" width="13.5703125" style="252" customWidth="1"/>
    <col min="1320" max="1320" width="2.28515625" style="252" customWidth="1"/>
    <col min="1321" max="1321" width="13.5703125" style="252" customWidth="1"/>
    <col min="1322" max="1322" width="3.42578125" style="252" customWidth="1"/>
    <col min="1323" max="1536" width="9.140625" style="252"/>
    <col min="1537" max="1537" width="3.5703125" style="252" customWidth="1"/>
    <col min="1538" max="1538" width="6.7109375" style="252" bestFit="1" customWidth="1"/>
    <col min="1539" max="1539" width="12" style="252" bestFit="1" customWidth="1"/>
    <col min="1540" max="1540" width="40.28515625" style="252" bestFit="1" customWidth="1"/>
    <col min="1541" max="1541" width="2.28515625" style="252" customWidth="1"/>
    <col min="1542" max="1542" width="13.5703125" style="252" customWidth="1"/>
    <col min="1543" max="1543" width="2.28515625" style="252" customWidth="1"/>
    <col min="1544" max="1544" width="13.5703125" style="252" customWidth="1"/>
    <col min="1545" max="1545" width="2.28515625" style="252" customWidth="1"/>
    <col min="1546" max="1546" width="13.5703125" style="252" customWidth="1"/>
    <col min="1547" max="1547" width="2.28515625" style="252" customWidth="1"/>
    <col min="1548" max="1548" width="13.5703125" style="252" customWidth="1"/>
    <col min="1549" max="1549" width="2.28515625" style="252" customWidth="1"/>
    <col min="1550" max="1550" width="13.5703125" style="252" customWidth="1"/>
    <col min="1551" max="1551" width="2.28515625" style="252" customWidth="1"/>
    <col min="1552" max="1552" width="13.5703125" style="252" customWidth="1"/>
    <col min="1553" max="1553" width="2.28515625" style="252" customWidth="1"/>
    <col min="1554" max="1554" width="13.5703125" style="252" customWidth="1"/>
    <col min="1555" max="1555" width="2.28515625" style="252" customWidth="1"/>
    <col min="1556" max="1556" width="13.5703125" style="252" customWidth="1"/>
    <col min="1557" max="1557" width="4" style="252" customWidth="1"/>
    <col min="1558" max="1558" width="3.5703125" style="252" customWidth="1"/>
    <col min="1559" max="1559" width="6.7109375" style="252" bestFit="1" customWidth="1"/>
    <col min="1560" max="1560" width="12.7109375" style="252" bestFit="1" customWidth="1"/>
    <col min="1561" max="1561" width="40.28515625" style="252" bestFit="1" customWidth="1"/>
    <col min="1562" max="1562" width="2.28515625" style="252" customWidth="1"/>
    <col min="1563" max="1563" width="13.5703125" style="252" customWidth="1"/>
    <col min="1564" max="1564" width="2.28515625" style="252" customWidth="1"/>
    <col min="1565" max="1565" width="13.5703125" style="252" customWidth="1"/>
    <col min="1566" max="1566" width="2.28515625" style="252" customWidth="1"/>
    <col min="1567" max="1567" width="13.5703125" style="252" customWidth="1"/>
    <col min="1568" max="1568" width="2.28515625" style="252" customWidth="1"/>
    <col min="1569" max="1569" width="13.5703125" style="252" customWidth="1"/>
    <col min="1570" max="1570" width="2.28515625" style="252" customWidth="1"/>
    <col min="1571" max="1571" width="13.5703125" style="252" customWidth="1"/>
    <col min="1572" max="1572" width="2.28515625" style="252" customWidth="1"/>
    <col min="1573" max="1573" width="13.5703125" style="252" customWidth="1"/>
    <col min="1574" max="1574" width="2.28515625" style="252" customWidth="1"/>
    <col min="1575" max="1575" width="13.5703125" style="252" customWidth="1"/>
    <col min="1576" max="1576" width="2.28515625" style="252" customWidth="1"/>
    <col min="1577" max="1577" width="13.5703125" style="252" customWidth="1"/>
    <col min="1578" max="1578" width="3.42578125" style="252" customWidth="1"/>
    <col min="1579" max="1792" width="9.140625" style="252"/>
    <col min="1793" max="1793" width="3.5703125" style="252" customWidth="1"/>
    <col min="1794" max="1794" width="6.7109375" style="252" bestFit="1" customWidth="1"/>
    <col min="1795" max="1795" width="12" style="252" bestFit="1" customWidth="1"/>
    <col min="1796" max="1796" width="40.28515625" style="252" bestFit="1" customWidth="1"/>
    <col min="1797" max="1797" width="2.28515625" style="252" customWidth="1"/>
    <col min="1798" max="1798" width="13.5703125" style="252" customWidth="1"/>
    <col min="1799" max="1799" width="2.28515625" style="252" customWidth="1"/>
    <col min="1800" max="1800" width="13.5703125" style="252" customWidth="1"/>
    <col min="1801" max="1801" width="2.28515625" style="252" customWidth="1"/>
    <col min="1802" max="1802" width="13.5703125" style="252" customWidth="1"/>
    <col min="1803" max="1803" width="2.28515625" style="252" customWidth="1"/>
    <col min="1804" max="1804" width="13.5703125" style="252" customWidth="1"/>
    <col min="1805" max="1805" width="2.28515625" style="252" customWidth="1"/>
    <col min="1806" max="1806" width="13.5703125" style="252" customWidth="1"/>
    <col min="1807" max="1807" width="2.28515625" style="252" customWidth="1"/>
    <col min="1808" max="1808" width="13.5703125" style="252" customWidth="1"/>
    <col min="1809" max="1809" width="2.28515625" style="252" customWidth="1"/>
    <col min="1810" max="1810" width="13.5703125" style="252" customWidth="1"/>
    <col min="1811" max="1811" width="2.28515625" style="252" customWidth="1"/>
    <col min="1812" max="1812" width="13.5703125" style="252" customWidth="1"/>
    <col min="1813" max="1813" width="4" style="252" customWidth="1"/>
    <col min="1814" max="1814" width="3.5703125" style="252" customWidth="1"/>
    <col min="1815" max="1815" width="6.7109375" style="252" bestFit="1" customWidth="1"/>
    <col min="1816" max="1816" width="12.7109375" style="252" bestFit="1" customWidth="1"/>
    <col min="1817" max="1817" width="40.28515625" style="252" bestFit="1" customWidth="1"/>
    <col min="1818" max="1818" width="2.28515625" style="252" customWidth="1"/>
    <col min="1819" max="1819" width="13.5703125" style="252" customWidth="1"/>
    <col min="1820" max="1820" width="2.28515625" style="252" customWidth="1"/>
    <col min="1821" max="1821" width="13.5703125" style="252" customWidth="1"/>
    <col min="1822" max="1822" width="2.28515625" style="252" customWidth="1"/>
    <col min="1823" max="1823" width="13.5703125" style="252" customWidth="1"/>
    <col min="1824" max="1824" width="2.28515625" style="252" customWidth="1"/>
    <col min="1825" max="1825" width="13.5703125" style="252" customWidth="1"/>
    <col min="1826" max="1826" width="2.28515625" style="252" customWidth="1"/>
    <col min="1827" max="1827" width="13.5703125" style="252" customWidth="1"/>
    <col min="1828" max="1828" width="2.28515625" style="252" customWidth="1"/>
    <col min="1829" max="1829" width="13.5703125" style="252" customWidth="1"/>
    <col min="1830" max="1830" width="2.28515625" style="252" customWidth="1"/>
    <col min="1831" max="1831" width="13.5703125" style="252" customWidth="1"/>
    <col min="1832" max="1832" width="2.28515625" style="252" customWidth="1"/>
    <col min="1833" max="1833" width="13.5703125" style="252" customWidth="1"/>
    <col min="1834" max="1834" width="3.42578125" style="252" customWidth="1"/>
    <col min="1835" max="2048" width="9.140625" style="252"/>
    <col min="2049" max="2049" width="3.5703125" style="252" customWidth="1"/>
    <col min="2050" max="2050" width="6.7109375" style="252" bestFit="1" customWidth="1"/>
    <col min="2051" max="2051" width="12" style="252" bestFit="1" customWidth="1"/>
    <col min="2052" max="2052" width="40.28515625" style="252" bestFit="1" customWidth="1"/>
    <col min="2053" max="2053" width="2.28515625" style="252" customWidth="1"/>
    <col min="2054" max="2054" width="13.5703125" style="252" customWidth="1"/>
    <col min="2055" max="2055" width="2.28515625" style="252" customWidth="1"/>
    <col min="2056" max="2056" width="13.5703125" style="252" customWidth="1"/>
    <col min="2057" max="2057" width="2.28515625" style="252" customWidth="1"/>
    <col min="2058" max="2058" width="13.5703125" style="252" customWidth="1"/>
    <col min="2059" max="2059" width="2.28515625" style="252" customWidth="1"/>
    <col min="2060" max="2060" width="13.5703125" style="252" customWidth="1"/>
    <col min="2061" max="2061" width="2.28515625" style="252" customWidth="1"/>
    <col min="2062" max="2062" width="13.5703125" style="252" customWidth="1"/>
    <col min="2063" max="2063" width="2.28515625" style="252" customWidth="1"/>
    <col min="2064" max="2064" width="13.5703125" style="252" customWidth="1"/>
    <col min="2065" max="2065" width="2.28515625" style="252" customWidth="1"/>
    <col min="2066" max="2066" width="13.5703125" style="252" customWidth="1"/>
    <col min="2067" max="2067" width="2.28515625" style="252" customWidth="1"/>
    <col min="2068" max="2068" width="13.5703125" style="252" customWidth="1"/>
    <col min="2069" max="2069" width="4" style="252" customWidth="1"/>
    <col min="2070" max="2070" width="3.5703125" style="252" customWidth="1"/>
    <col min="2071" max="2071" width="6.7109375" style="252" bestFit="1" customWidth="1"/>
    <col min="2072" max="2072" width="12.7109375" style="252" bestFit="1" customWidth="1"/>
    <col min="2073" max="2073" width="40.28515625" style="252" bestFit="1" customWidth="1"/>
    <col min="2074" max="2074" width="2.28515625" style="252" customWidth="1"/>
    <col min="2075" max="2075" width="13.5703125" style="252" customWidth="1"/>
    <col min="2076" max="2076" width="2.28515625" style="252" customWidth="1"/>
    <col min="2077" max="2077" width="13.5703125" style="252" customWidth="1"/>
    <col min="2078" max="2078" width="2.28515625" style="252" customWidth="1"/>
    <col min="2079" max="2079" width="13.5703125" style="252" customWidth="1"/>
    <col min="2080" max="2080" width="2.28515625" style="252" customWidth="1"/>
    <col min="2081" max="2081" width="13.5703125" style="252" customWidth="1"/>
    <col min="2082" max="2082" width="2.28515625" style="252" customWidth="1"/>
    <col min="2083" max="2083" width="13.5703125" style="252" customWidth="1"/>
    <col min="2084" max="2084" width="2.28515625" style="252" customWidth="1"/>
    <col min="2085" max="2085" width="13.5703125" style="252" customWidth="1"/>
    <col min="2086" max="2086" width="2.28515625" style="252" customWidth="1"/>
    <col min="2087" max="2087" width="13.5703125" style="252" customWidth="1"/>
    <col min="2088" max="2088" width="2.28515625" style="252" customWidth="1"/>
    <col min="2089" max="2089" width="13.5703125" style="252" customWidth="1"/>
    <col min="2090" max="2090" width="3.42578125" style="252" customWidth="1"/>
    <col min="2091" max="2304" width="9.140625" style="252"/>
    <col min="2305" max="2305" width="3.5703125" style="252" customWidth="1"/>
    <col min="2306" max="2306" width="6.7109375" style="252" bestFit="1" customWidth="1"/>
    <col min="2307" max="2307" width="12" style="252" bestFit="1" customWidth="1"/>
    <col min="2308" max="2308" width="40.28515625" style="252" bestFit="1" customWidth="1"/>
    <col min="2309" max="2309" width="2.28515625" style="252" customWidth="1"/>
    <col min="2310" max="2310" width="13.5703125" style="252" customWidth="1"/>
    <col min="2311" max="2311" width="2.28515625" style="252" customWidth="1"/>
    <col min="2312" max="2312" width="13.5703125" style="252" customWidth="1"/>
    <col min="2313" max="2313" width="2.28515625" style="252" customWidth="1"/>
    <col min="2314" max="2314" width="13.5703125" style="252" customWidth="1"/>
    <col min="2315" max="2315" width="2.28515625" style="252" customWidth="1"/>
    <col min="2316" max="2316" width="13.5703125" style="252" customWidth="1"/>
    <col min="2317" max="2317" width="2.28515625" style="252" customWidth="1"/>
    <col min="2318" max="2318" width="13.5703125" style="252" customWidth="1"/>
    <col min="2319" max="2319" width="2.28515625" style="252" customWidth="1"/>
    <col min="2320" max="2320" width="13.5703125" style="252" customWidth="1"/>
    <col min="2321" max="2321" width="2.28515625" style="252" customWidth="1"/>
    <col min="2322" max="2322" width="13.5703125" style="252" customWidth="1"/>
    <col min="2323" max="2323" width="2.28515625" style="252" customWidth="1"/>
    <col min="2324" max="2324" width="13.5703125" style="252" customWidth="1"/>
    <col min="2325" max="2325" width="4" style="252" customWidth="1"/>
    <col min="2326" max="2326" width="3.5703125" style="252" customWidth="1"/>
    <col min="2327" max="2327" width="6.7109375" style="252" bestFit="1" customWidth="1"/>
    <col min="2328" max="2328" width="12.7109375" style="252" bestFit="1" customWidth="1"/>
    <col min="2329" max="2329" width="40.28515625" style="252" bestFit="1" customWidth="1"/>
    <col min="2330" max="2330" width="2.28515625" style="252" customWidth="1"/>
    <col min="2331" max="2331" width="13.5703125" style="252" customWidth="1"/>
    <col min="2332" max="2332" width="2.28515625" style="252" customWidth="1"/>
    <col min="2333" max="2333" width="13.5703125" style="252" customWidth="1"/>
    <col min="2334" max="2334" width="2.28515625" style="252" customWidth="1"/>
    <col min="2335" max="2335" width="13.5703125" style="252" customWidth="1"/>
    <col min="2336" max="2336" width="2.28515625" style="252" customWidth="1"/>
    <col min="2337" max="2337" width="13.5703125" style="252" customWidth="1"/>
    <col min="2338" max="2338" width="2.28515625" style="252" customWidth="1"/>
    <col min="2339" max="2339" width="13.5703125" style="252" customWidth="1"/>
    <col min="2340" max="2340" width="2.28515625" style="252" customWidth="1"/>
    <col min="2341" max="2341" width="13.5703125" style="252" customWidth="1"/>
    <col min="2342" max="2342" width="2.28515625" style="252" customWidth="1"/>
    <col min="2343" max="2343" width="13.5703125" style="252" customWidth="1"/>
    <col min="2344" max="2344" width="2.28515625" style="252" customWidth="1"/>
    <col min="2345" max="2345" width="13.5703125" style="252" customWidth="1"/>
    <col min="2346" max="2346" width="3.42578125" style="252" customWidth="1"/>
    <col min="2347" max="2560" width="9.140625" style="252"/>
    <col min="2561" max="2561" width="3.5703125" style="252" customWidth="1"/>
    <col min="2562" max="2562" width="6.7109375" style="252" bestFit="1" customWidth="1"/>
    <col min="2563" max="2563" width="12" style="252" bestFit="1" customWidth="1"/>
    <col min="2564" max="2564" width="40.28515625" style="252" bestFit="1" customWidth="1"/>
    <col min="2565" max="2565" width="2.28515625" style="252" customWidth="1"/>
    <col min="2566" max="2566" width="13.5703125" style="252" customWidth="1"/>
    <col min="2567" max="2567" width="2.28515625" style="252" customWidth="1"/>
    <col min="2568" max="2568" width="13.5703125" style="252" customWidth="1"/>
    <col min="2569" max="2569" width="2.28515625" style="252" customWidth="1"/>
    <col min="2570" max="2570" width="13.5703125" style="252" customWidth="1"/>
    <col min="2571" max="2571" width="2.28515625" style="252" customWidth="1"/>
    <col min="2572" max="2572" width="13.5703125" style="252" customWidth="1"/>
    <col min="2573" max="2573" width="2.28515625" style="252" customWidth="1"/>
    <col min="2574" max="2574" width="13.5703125" style="252" customWidth="1"/>
    <col min="2575" max="2575" width="2.28515625" style="252" customWidth="1"/>
    <col min="2576" max="2576" width="13.5703125" style="252" customWidth="1"/>
    <col min="2577" max="2577" width="2.28515625" style="252" customWidth="1"/>
    <col min="2578" max="2578" width="13.5703125" style="252" customWidth="1"/>
    <col min="2579" max="2579" width="2.28515625" style="252" customWidth="1"/>
    <col min="2580" max="2580" width="13.5703125" style="252" customWidth="1"/>
    <col min="2581" max="2581" width="4" style="252" customWidth="1"/>
    <col min="2582" max="2582" width="3.5703125" style="252" customWidth="1"/>
    <col min="2583" max="2583" width="6.7109375" style="252" bestFit="1" customWidth="1"/>
    <col min="2584" max="2584" width="12.7109375" style="252" bestFit="1" customWidth="1"/>
    <col min="2585" max="2585" width="40.28515625" style="252" bestFit="1" customWidth="1"/>
    <col min="2586" max="2586" width="2.28515625" style="252" customWidth="1"/>
    <col min="2587" max="2587" width="13.5703125" style="252" customWidth="1"/>
    <col min="2588" max="2588" width="2.28515625" style="252" customWidth="1"/>
    <col min="2589" max="2589" width="13.5703125" style="252" customWidth="1"/>
    <col min="2590" max="2590" width="2.28515625" style="252" customWidth="1"/>
    <col min="2591" max="2591" width="13.5703125" style="252" customWidth="1"/>
    <col min="2592" max="2592" width="2.28515625" style="252" customWidth="1"/>
    <col min="2593" max="2593" width="13.5703125" style="252" customWidth="1"/>
    <col min="2594" max="2594" width="2.28515625" style="252" customWidth="1"/>
    <col min="2595" max="2595" width="13.5703125" style="252" customWidth="1"/>
    <col min="2596" max="2596" width="2.28515625" style="252" customWidth="1"/>
    <col min="2597" max="2597" width="13.5703125" style="252" customWidth="1"/>
    <col min="2598" max="2598" width="2.28515625" style="252" customWidth="1"/>
    <col min="2599" max="2599" width="13.5703125" style="252" customWidth="1"/>
    <col min="2600" max="2600" width="2.28515625" style="252" customWidth="1"/>
    <col min="2601" max="2601" width="13.5703125" style="252" customWidth="1"/>
    <col min="2602" max="2602" width="3.42578125" style="252" customWidth="1"/>
    <col min="2603" max="2816" width="9.140625" style="252"/>
    <col min="2817" max="2817" width="3.5703125" style="252" customWidth="1"/>
    <col min="2818" max="2818" width="6.7109375" style="252" bestFit="1" customWidth="1"/>
    <col min="2819" max="2819" width="12" style="252" bestFit="1" customWidth="1"/>
    <col min="2820" max="2820" width="40.28515625" style="252" bestFit="1" customWidth="1"/>
    <col min="2821" max="2821" width="2.28515625" style="252" customWidth="1"/>
    <col min="2822" max="2822" width="13.5703125" style="252" customWidth="1"/>
    <col min="2823" max="2823" width="2.28515625" style="252" customWidth="1"/>
    <col min="2824" max="2824" width="13.5703125" style="252" customWidth="1"/>
    <col min="2825" max="2825" width="2.28515625" style="252" customWidth="1"/>
    <col min="2826" max="2826" width="13.5703125" style="252" customWidth="1"/>
    <col min="2827" max="2827" width="2.28515625" style="252" customWidth="1"/>
    <col min="2828" max="2828" width="13.5703125" style="252" customWidth="1"/>
    <col min="2829" max="2829" width="2.28515625" style="252" customWidth="1"/>
    <col min="2830" max="2830" width="13.5703125" style="252" customWidth="1"/>
    <col min="2831" max="2831" width="2.28515625" style="252" customWidth="1"/>
    <col min="2832" max="2832" width="13.5703125" style="252" customWidth="1"/>
    <col min="2833" max="2833" width="2.28515625" style="252" customWidth="1"/>
    <col min="2834" max="2834" width="13.5703125" style="252" customWidth="1"/>
    <col min="2835" max="2835" width="2.28515625" style="252" customWidth="1"/>
    <col min="2836" max="2836" width="13.5703125" style="252" customWidth="1"/>
    <col min="2837" max="2837" width="4" style="252" customWidth="1"/>
    <col min="2838" max="2838" width="3.5703125" style="252" customWidth="1"/>
    <col min="2839" max="2839" width="6.7109375" style="252" bestFit="1" customWidth="1"/>
    <col min="2840" max="2840" width="12.7109375" style="252" bestFit="1" customWidth="1"/>
    <col min="2841" max="2841" width="40.28515625" style="252" bestFit="1" customWidth="1"/>
    <col min="2842" max="2842" width="2.28515625" style="252" customWidth="1"/>
    <col min="2843" max="2843" width="13.5703125" style="252" customWidth="1"/>
    <col min="2844" max="2844" width="2.28515625" style="252" customWidth="1"/>
    <col min="2845" max="2845" width="13.5703125" style="252" customWidth="1"/>
    <col min="2846" max="2846" width="2.28515625" style="252" customWidth="1"/>
    <col min="2847" max="2847" width="13.5703125" style="252" customWidth="1"/>
    <col min="2848" max="2848" width="2.28515625" style="252" customWidth="1"/>
    <col min="2849" max="2849" width="13.5703125" style="252" customWidth="1"/>
    <col min="2850" max="2850" width="2.28515625" style="252" customWidth="1"/>
    <col min="2851" max="2851" width="13.5703125" style="252" customWidth="1"/>
    <col min="2852" max="2852" width="2.28515625" style="252" customWidth="1"/>
    <col min="2853" max="2853" width="13.5703125" style="252" customWidth="1"/>
    <col min="2854" max="2854" width="2.28515625" style="252" customWidth="1"/>
    <col min="2855" max="2855" width="13.5703125" style="252" customWidth="1"/>
    <col min="2856" max="2856" width="2.28515625" style="252" customWidth="1"/>
    <col min="2857" max="2857" width="13.5703125" style="252" customWidth="1"/>
    <col min="2858" max="2858" width="3.42578125" style="252" customWidth="1"/>
    <col min="2859" max="3072" width="9.140625" style="252"/>
    <col min="3073" max="3073" width="3.5703125" style="252" customWidth="1"/>
    <col min="3074" max="3074" width="6.7109375" style="252" bestFit="1" customWidth="1"/>
    <col min="3075" max="3075" width="12" style="252" bestFit="1" customWidth="1"/>
    <col min="3076" max="3076" width="40.28515625" style="252" bestFit="1" customWidth="1"/>
    <col min="3077" max="3077" width="2.28515625" style="252" customWidth="1"/>
    <col min="3078" max="3078" width="13.5703125" style="252" customWidth="1"/>
    <col min="3079" max="3079" width="2.28515625" style="252" customWidth="1"/>
    <col min="3080" max="3080" width="13.5703125" style="252" customWidth="1"/>
    <col min="3081" max="3081" width="2.28515625" style="252" customWidth="1"/>
    <col min="3082" max="3082" width="13.5703125" style="252" customWidth="1"/>
    <col min="3083" max="3083" width="2.28515625" style="252" customWidth="1"/>
    <col min="3084" max="3084" width="13.5703125" style="252" customWidth="1"/>
    <col min="3085" max="3085" width="2.28515625" style="252" customWidth="1"/>
    <col min="3086" max="3086" width="13.5703125" style="252" customWidth="1"/>
    <col min="3087" max="3087" width="2.28515625" style="252" customWidth="1"/>
    <col min="3088" max="3088" width="13.5703125" style="252" customWidth="1"/>
    <col min="3089" max="3089" width="2.28515625" style="252" customWidth="1"/>
    <col min="3090" max="3090" width="13.5703125" style="252" customWidth="1"/>
    <col min="3091" max="3091" width="2.28515625" style="252" customWidth="1"/>
    <col min="3092" max="3092" width="13.5703125" style="252" customWidth="1"/>
    <col min="3093" max="3093" width="4" style="252" customWidth="1"/>
    <col min="3094" max="3094" width="3.5703125" style="252" customWidth="1"/>
    <col min="3095" max="3095" width="6.7109375" style="252" bestFit="1" customWidth="1"/>
    <col min="3096" max="3096" width="12.7109375" style="252" bestFit="1" customWidth="1"/>
    <col min="3097" max="3097" width="40.28515625" style="252" bestFit="1" customWidth="1"/>
    <col min="3098" max="3098" width="2.28515625" style="252" customWidth="1"/>
    <col min="3099" max="3099" width="13.5703125" style="252" customWidth="1"/>
    <col min="3100" max="3100" width="2.28515625" style="252" customWidth="1"/>
    <col min="3101" max="3101" width="13.5703125" style="252" customWidth="1"/>
    <col min="3102" max="3102" width="2.28515625" style="252" customWidth="1"/>
    <col min="3103" max="3103" width="13.5703125" style="252" customWidth="1"/>
    <col min="3104" max="3104" width="2.28515625" style="252" customWidth="1"/>
    <col min="3105" max="3105" width="13.5703125" style="252" customWidth="1"/>
    <col min="3106" max="3106" width="2.28515625" style="252" customWidth="1"/>
    <col min="3107" max="3107" width="13.5703125" style="252" customWidth="1"/>
    <col min="3108" max="3108" width="2.28515625" style="252" customWidth="1"/>
    <col min="3109" max="3109" width="13.5703125" style="252" customWidth="1"/>
    <col min="3110" max="3110" width="2.28515625" style="252" customWidth="1"/>
    <col min="3111" max="3111" width="13.5703125" style="252" customWidth="1"/>
    <col min="3112" max="3112" width="2.28515625" style="252" customWidth="1"/>
    <col min="3113" max="3113" width="13.5703125" style="252" customWidth="1"/>
    <col min="3114" max="3114" width="3.42578125" style="252" customWidth="1"/>
    <col min="3115" max="3328" width="9.140625" style="252"/>
    <col min="3329" max="3329" width="3.5703125" style="252" customWidth="1"/>
    <col min="3330" max="3330" width="6.7109375" style="252" bestFit="1" customWidth="1"/>
    <col min="3331" max="3331" width="12" style="252" bestFit="1" customWidth="1"/>
    <col min="3332" max="3332" width="40.28515625" style="252" bestFit="1" customWidth="1"/>
    <col min="3333" max="3333" width="2.28515625" style="252" customWidth="1"/>
    <col min="3334" max="3334" width="13.5703125" style="252" customWidth="1"/>
    <col min="3335" max="3335" width="2.28515625" style="252" customWidth="1"/>
    <col min="3336" max="3336" width="13.5703125" style="252" customWidth="1"/>
    <col min="3337" max="3337" width="2.28515625" style="252" customWidth="1"/>
    <col min="3338" max="3338" width="13.5703125" style="252" customWidth="1"/>
    <col min="3339" max="3339" width="2.28515625" style="252" customWidth="1"/>
    <col min="3340" max="3340" width="13.5703125" style="252" customWidth="1"/>
    <col min="3341" max="3341" width="2.28515625" style="252" customWidth="1"/>
    <col min="3342" max="3342" width="13.5703125" style="252" customWidth="1"/>
    <col min="3343" max="3343" width="2.28515625" style="252" customWidth="1"/>
    <col min="3344" max="3344" width="13.5703125" style="252" customWidth="1"/>
    <col min="3345" max="3345" width="2.28515625" style="252" customWidth="1"/>
    <col min="3346" max="3346" width="13.5703125" style="252" customWidth="1"/>
    <col min="3347" max="3347" width="2.28515625" style="252" customWidth="1"/>
    <col min="3348" max="3348" width="13.5703125" style="252" customWidth="1"/>
    <col min="3349" max="3349" width="4" style="252" customWidth="1"/>
    <col min="3350" max="3350" width="3.5703125" style="252" customWidth="1"/>
    <col min="3351" max="3351" width="6.7109375" style="252" bestFit="1" customWidth="1"/>
    <col min="3352" max="3352" width="12.7109375" style="252" bestFit="1" customWidth="1"/>
    <col min="3353" max="3353" width="40.28515625" style="252" bestFit="1" customWidth="1"/>
    <col min="3354" max="3354" width="2.28515625" style="252" customWidth="1"/>
    <col min="3355" max="3355" width="13.5703125" style="252" customWidth="1"/>
    <col min="3356" max="3356" width="2.28515625" style="252" customWidth="1"/>
    <col min="3357" max="3357" width="13.5703125" style="252" customWidth="1"/>
    <col min="3358" max="3358" width="2.28515625" style="252" customWidth="1"/>
    <col min="3359" max="3359" width="13.5703125" style="252" customWidth="1"/>
    <col min="3360" max="3360" width="2.28515625" style="252" customWidth="1"/>
    <col min="3361" max="3361" width="13.5703125" style="252" customWidth="1"/>
    <col min="3362" max="3362" width="2.28515625" style="252" customWidth="1"/>
    <col min="3363" max="3363" width="13.5703125" style="252" customWidth="1"/>
    <col min="3364" max="3364" width="2.28515625" style="252" customWidth="1"/>
    <col min="3365" max="3365" width="13.5703125" style="252" customWidth="1"/>
    <col min="3366" max="3366" width="2.28515625" style="252" customWidth="1"/>
    <col min="3367" max="3367" width="13.5703125" style="252" customWidth="1"/>
    <col min="3368" max="3368" width="2.28515625" style="252" customWidth="1"/>
    <col min="3369" max="3369" width="13.5703125" style="252" customWidth="1"/>
    <col min="3370" max="3370" width="3.42578125" style="252" customWidth="1"/>
    <col min="3371" max="3584" width="9.140625" style="252"/>
    <col min="3585" max="3585" width="3.5703125" style="252" customWidth="1"/>
    <col min="3586" max="3586" width="6.7109375" style="252" bestFit="1" customWidth="1"/>
    <col min="3587" max="3587" width="12" style="252" bestFit="1" customWidth="1"/>
    <col min="3588" max="3588" width="40.28515625" style="252" bestFit="1" customWidth="1"/>
    <col min="3589" max="3589" width="2.28515625" style="252" customWidth="1"/>
    <col min="3590" max="3590" width="13.5703125" style="252" customWidth="1"/>
    <col min="3591" max="3591" width="2.28515625" style="252" customWidth="1"/>
    <col min="3592" max="3592" width="13.5703125" style="252" customWidth="1"/>
    <col min="3593" max="3593" width="2.28515625" style="252" customWidth="1"/>
    <col min="3594" max="3594" width="13.5703125" style="252" customWidth="1"/>
    <col min="3595" max="3595" width="2.28515625" style="252" customWidth="1"/>
    <col min="3596" max="3596" width="13.5703125" style="252" customWidth="1"/>
    <col min="3597" max="3597" width="2.28515625" style="252" customWidth="1"/>
    <col min="3598" max="3598" width="13.5703125" style="252" customWidth="1"/>
    <col min="3599" max="3599" width="2.28515625" style="252" customWidth="1"/>
    <col min="3600" max="3600" width="13.5703125" style="252" customWidth="1"/>
    <col min="3601" max="3601" width="2.28515625" style="252" customWidth="1"/>
    <col min="3602" max="3602" width="13.5703125" style="252" customWidth="1"/>
    <col min="3603" max="3603" width="2.28515625" style="252" customWidth="1"/>
    <col min="3604" max="3604" width="13.5703125" style="252" customWidth="1"/>
    <col min="3605" max="3605" width="4" style="252" customWidth="1"/>
    <col min="3606" max="3606" width="3.5703125" style="252" customWidth="1"/>
    <col min="3607" max="3607" width="6.7109375" style="252" bestFit="1" customWidth="1"/>
    <col min="3608" max="3608" width="12.7109375" style="252" bestFit="1" customWidth="1"/>
    <col min="3609" max="3609" width="40.28515625" style="252" bestFit="1" customWidth="1"/>
    <col min="3610" max="3610" width="2.28515625" style="252" customWidth="1"/>
    <col min="3611" max="3611" width="13.5703125" style="252" customWidth="1"/>
    <col min="3612" max="3612" width="2.28515625" style="252" customWidth="1"/>
    <col min="3613" max="3613" width="13.5703125" style="252" customWidth="1"/>
    <col min="3614" max="3614" width="2.28515625" style="252" customWidth="1"/>
    <col min="3615" max="3615" width="13.5703125" style="252" customWidth="1"/>
    <col min="3616" max="3616" width="2.28515625" style="252" customWidth="1"/>
    <col min="3617" max="3617" width="13.5703125" style="252" customWidth="1"/>
    <col min="3618" max="3618" width="2.28515625" style="252" customWidth="1"/>
    <col min="3619" max="3619" width="13.5703125" style="252" customWidth="1"/>
    <col min="3620" max="3620" width="2.28515625" style="252" customWidth="1"/>
    <col min="3621" max="3621" width="13.5703125" style="252" customWidth="1"/>
    <col min="3622" max="3622" width="2.28515625" style="252" customWidth="1"/>
    <col min="3623" max="3623" width="13.5703125" style="252" customWidth="1"/>
    <col min="3624" max="3624" width="2.28515625" style="252" customWidth="1"/>
    <col min="3625" max="3625" width="13.5703125" style="252" customWidth="1"/>
    <col min="3626" max="3626" width="3.42578125" style="252" customWidth="1"/>
    <col min="3627" max="3840" width="9.140625" style="252"/>
    <col min="3841" max="3841" width="3.5703125" style="252" customWidth="1"/>
    <col min="3842" max="3842" width="6.7109375" style="252" bestFit="1" customWidth="1"/>
    <col min="3843" max="3843" width="12" style="252" bestFit="1" customWidth="1"/>
    <col min="3844" max="3844" width="40.28515625" style="252" bestFit="1" customWidth="1"/>
    <col min="3845" max="3845" width="2.28515625" style="252" customWidth="1"/>
    <col min="3846" max="3846" width="13.5703125" style="252" customWidth="1"/>
    <col min="3847" max="3847" width="2.28515625" style="252" customWidth="1"/>
    <col min="3848" max="3848" width="13.5703125" style="252" customWidth="1"/>
    <col min="3849" max="3849" width="2.28515625" style="252" customWidth="1"/>
    <col min="3850" max="3850" width="13.5703125" style="252" customWidth="1"/>
    <col min="3851" max="3851" width="2.28515625" style="252" customWidth="1"/>
    <col min="3852" max="3852" width="13.5703125" style="252" customWidth="1"/>
    <col min="3853" max="3853" width="2.28515625" style="252" customWidth="1"/>
    <col min="3854" max="3854" width="13.5703125" style="252" customWidth="1"/>
    <col min="3855" max="3855" width="2.28515625" style="252" customWidth="1"/>
    <col min="3856" max="3856" width="13.5703125" style="252" customWidth="1"/>
    <col min="3857" max="3857" width="2.28515625" style="252" customWidth="1"/>
    <col min="3858" max="3858" width="13.5703125" style="252" customWidth="1"/>
    <col min="3859" max="3859" width="2.28515625" style="252" customWidth="1"/>
    <col min="3860" max="3860" width="13.5703125" style="252" customWidth="1"/>
    <col min="3861" max="3861" width="4" style="252" customWidth="1"/>
    <col min="3862" max="3862" width="3.5703125" style="252" customWidth="1"/>
    <col min="3863" max="3863" width="6.7109375" style="252" bestFit="1" customWidth="1"/>
    <col min="3864" max="3864" width="12.7109375" style="252" bestFit="1" customWidth="1"/>
    <col min="3865" max="3865" width="40.28515625" style="252" bestFit="1" customWidth="1"/>
    <col min="3866" max="3866" width="2.28515625" style="252" customWidth="1"/>
    <col min="3867" max="3867" width="13.5703125" style="252" customWidth="1"/>
    <col min="3868" max="3868" width="2.28515625" style="252" customWidth="1"/>
    <col min="3869" max="3869" width="13.5703125" style="252" customWidth="1"/>
    <col min="3870" max="3870" width="2.28515625" style="252" customWidth="1"/>
    <col min="3871" max="3871" width="13.5703125" style="252" customWidth="1"/>
    <col min="3872" max="3872" width="2.28515625" style="252" customWidth="1"/>
    <col min="3873" max="3873" width="13.5703125" style="252" customWidth="1"/>
    <col min="3874" max="3874" width="2.28515625" style="252" customWidth="1"/>
    <col min="3875" max="3875" width="13.5703125" style="252" customWidth="1"/>
    <col min="3876" max="3876" width="2.28515625" style="252" customWidth="1"/>
    <col min="3877" max="3877" width="13.5703125" style="252" customWidth="1"/>
    <col min="3878" max="3878" width="2.28515625" style="252" customWidth="1"/>
    <col min="3879" max="3879" width="13.5703125" style="252" customWidth="1"/>
    <col min="3880" max="3880" width="2.28515625" style="252" customWidth="1"/>
    <col min="3881" max="3881" width="13.5703125" style="252" customWidth="1"/>
    <col min="3882" max="3882" width="3.42578125" style="252" customWidth="1"/>
    <col min="3883" max="4096" width="9.140625" style="252"/>
    <col min="4097" max="4097" width="3.5703125" style="252" customWidth="1"/>
    <col min="4098" max="4098" width="6.7109375" style="252" bestFit="1" customWidth="1"/>
    <col min="4099" max="4099" width="12" style="252" bestFit="1" customWidth="1"/>
    <col min="4100" max="4100" width="40.28515625" style="252" bestFit="1" customWidth="1"/>
    <col min="4101" max="4101" width="2.28515625" style="252" customWidth="1"/>
    <col min="4102" max="4102" width="13.5703125" style="252" customWidth="1"/>
    <col min="4103" max="4103" width="2.28515625" style="252" customWidth="1"/>
    <col min="4104" max="4104" width="13.5703125" style="252" customWidth="1"/>
    <col min="4105" max="4105" width="2.28515625" style="252" customWidth="1"/>
    <col min="4106" max="4106" width="13.5703125" style="252" customWidth="1"/>
    <col min="4107" max="4107" width="2.28515625" style="252" customWidth="1"/>
    <col min="4108" max="4108" width="13.5703125" style="252" customWidth="1"/>
    <col min="4109" max="4109" width="2.28515625" style="252" customWidth="1"/>
    <col min="4110" max="4110" width="13.5703125" style="252" customWidth="1"/>
    <col min="4111" max="4111" width="2.28515625" style="252" customWidth="1"/>
    <col min="4112" max="4112" width="13.5703125" style="252" customWidth="1"/>
    <col min="4113" max="4113" width="2.28515625" style="252" customWidth="1"/>
    <col min="4114" max="4114" width="13.5703125" style="252" customWidth="1"/>
    <col min="4115" max="4115" width="2.28515625" style="252" customWidth="1"/>
    <col min="4116" max="4116" width="13.5703125" style="252" customWidth="1"/>
    <col min="4117" max="4117" width="4" style="252" customWidth="1"/>
    <col min="4118" max="4118" width="3.5703125" style="252" customWidth="1"/>
    <col min="4119" max="4119" width="6.7109375" style="252" bestFit="1" customWidth="1"/>
    <col min="4120" max="4120" width="12.7109375" style="252" bestFit="1" customWidth="1"/>
    <col min="4121" max="4121" width="40.28515625" style="252" bestFit="1" customWidth="1"/>
    <col min="4122" max="4122" width="2.28515625" style="252" customWidth="1"/>
    <col min="4123" max="4123" width="13.5703125" style="252" customWidth="1"/>
    <col min="4124" max="4124" width="2.28515625" style="252" customWidth="1"/>
    <col min="4125" max="4125" width="13.5703125" style="252" customWidth="1"/>
    <col min="4126" max="4126" width="2.28515625" style="252" customWidth="1"/>
    <col min="4127" max="4127" width="13.5703125" style="252" customWidth="1"/>
    <col min="4128" max="4128" width="2.28515625" style="252" customWidth="1"/>
    <col min="4129" max="4129" width="13.5703125" style="252" customWidth="1"/>
    <col min="4130" max="4130" width="2.28515625" style="252" customWidth="1"/>
    <col min="4131" max="4131" width="13.5703125" style="252" customWidth="1"/>
    <col min="4132" max="4132" width="2.28515625" style="252" customWidth="1"/>
    <col min="4133" max="4133" width="13.5703125" style="252" customWidth="1"/>
    <col min="4134" max="4134" width="2.28515625" style="252" customWidth="1"/>
    <col min="4135" max="4135" width="13.5703125" style="252" customWidth="1"/>
    <col min="4136" max="4136" width="2.28515625" style="252" customWidth="1"/>
    <col min="4137" max="4137" width="13.5703125" style="252" customWidth="1"/>
    <col min="4138" max="4138" width="3.42578125" style="252" customWidth="1"/>
    <col min="4139" max="4352" width="9.140625" style="252"/>
    <col min="4353" max="4353" width="3.5703125" style="252" customWidth="1"/>
    <col min="4354" max="4354" width="6.7109375" style="252" bestFit="1" customWidth="1"/>
    <col min="4355" max="4355" width="12" style="252" bestFit="1" customWidth="1"/>
    <col min="4356" max="4356" width="40.28515625" style="252" bestFit="1" customWidth="1"/>
    <col min="4357" max="4357" width="2.28515625" style="252" customWidth="1"/>
    <col min="4358" max="4358" width="13.5703125" style="252" customWidth="1"/>
    <col min="4359" max="4359" width="2.28515625" style="252" customWidth="1"/>
    <col min="4360" max="4360" width="13.5703125" style="252" customWidth="1"/>
    <col min="4361" max="4361" width="2.28515625" style="252" customWidth="1"/>
    <col min="4362" max="4362" width="13.5703125" style="252" customWidth="1"/>
    <col min="4363" max="4363" width="2.28515625" style="252" customWidth="1"/>
    <col min="4364" max="4364" width="13.5703125" style="252" customWidth="1"/>
    <col min="4365" max="4365" width="2.28515625" style="252" customWidth="1"/>
    <col min="4366" max="4366" width="13.5703125" style="252" customWidth="1"/>
    <col min="4367" max="4367" width="2.28515625" style="252" customWidth="1"/>
    <col min="4368" max="4368" width="13.5703125" style="252" customWidth="1"/>
    <col min="4369" max="4369" width="2.28515625" style="252" customWidth="1"/>
    <col min="4370" max="4370" width="13.5703125" style="252" customWidth="1"/>
    <col min="4371" max="4371" width="2.28515625" style="252" customWidth="1"/>
    <col min="4372" max="4372" width="13.5703125" style="252" customWidth="1"/>
    <col min="4373" max="4373" width="4" style="252" customWidth="1"/>
    <col min="4374" max="4374" width="3.5703125" style="252" customWidth="1"/>
    <col min="4375" max="4375" width="6.7109375" style="252" bestFit="1" customWidth="1"/>
    <col min="4376" max="4376" width="12.7109375" style="252" bestFit="1" customWidth="1"/>
    <col min="4377" max="4377" width="40.28515625" style="252" bestFit="1" customWidth="1"/>
    <col min="4378" max="4378" width="2.28515625" style="252" customWidth="1"/>
    <col min="4379" max="4379" width="13.5703125" style="252" customWidth="1"/>
    <col min="4380" max="4380" width="2.28515625" style="252" customWidth="1"/>
    <col min="4381" max="4381" width="13.5703125" style="252" customWidth="1"/>
    <col min="4382" max="4382" width="2.28515625" style="252" customWidth="1"/>
    <col min="4383" max="4383" width="13.5703125" style="252" customWidth="1"/>
    <col min="4384" max="4384" width="2.28515625" style="252" customWidth="1"/>
    <col min="4385" max="4385" width="13.5703125" style="252" customWidth="1"/>
    <col min="4386" max="4386" width="2.28515625" style="252" customWidth="1"/>
    <col min="4387" max="4387" width="13.5703125" style="252" customWidth="1"/>
    <col min="4388" max="4388" width="2.28515625" style="252" customWidth="1"/>
    <col min="4389" max="4389" width="13.5703125" style="252" customWidth="1"/>
    <col min="4390" max="4390" width="2.28515625" style="252" customWidth="1"/>
    <col min="4391" max="4391" width="13.5703125" style="252" customWidth="1"/>
    <col min="4392" max="4392" width="2.28515625" style="252" customWidth="1"/>
    <col min="4393" max="4393" width="13.5703125" style="252" customWidth="1"/>
    <col min="4394" max="4394" width="3.42578125" style="252" customWidth="1"/>
    <col min="4395" max="4608" width="9.140625" style="252"/>
    <col min="4609" max="4609" width="3.5703125" style="252" customWidth="1"/>
    <col min="4610" max="4610" width="6.7109375" style="252" bestFit="1" customWidth="1"/>
    <col min="4611" max="4611" width="12" style="252" bestFit="1" customWidth="1"/>
    <col min="4612" max="4612" width="40.28515625" style="252" bestFit="1" customWidth="1"/>
    <col min="4613" max="4613" width="2.28515625" style="252" customWidth="1"/>
    <col min="4614" max="4614" width="13.5703125" style="252" customWidth="1"/>
    <col min="4615" max="4615" width="2.28515625" style="252" customWidth="1"/>
    <col min="4616" max="4616" width="13.5703125" style="252" customWidth="1"/>
    <col min="4617" max="4617" width="2.28515625" style="252" customWidth="1"/>
    <col min="4618" max="4618" width="13.5703125" style="252" customWidth="1"/>
    <col min="4619" max="4619" width="2.28515625" style="252" customWidth="1"/>
    <col min="4620" max="4620" width="13.5703125" style="252" customWidth="1"/>
    <col min="4621" max="4621" width="2.28515625" style="252" customWidth="1"/>
    <col min="4622" max="4622" width="13.5703125" style="252" customWidth="1"/>
    <col min="4623" max="4623" width="2.28515625" style="252" customWidth="1"/>
    <col min="4624" max="4624" width="13.5703125" style="252" customWidth="1"/>
    <col min="4625" max="4625" width="2.28515625" style="252" customWidth="1"/>
    <col min="4626" max="4626" width="13.5703125" style="252" customWidth="1"/>
    <col min="4627" max="4627" width="2.28515625" style="252" customWidth="1"/>
    <col min="4628" max="4628" width="13.5703125" style="252" customWidth="1"/>
    <col min="4629" max="4629" width="4" style="252" customWidth="1"/>
    <col min="4630" max="4630" width="3.5703125" style="252" customWidth="1"/>
    <col min="4631" max="4631" width="6.7109375" style="252" bestFit="1" customWidth="1"/>
    <col min="4632" max="4632" width="12.7109375" style="252" bestFit="1" customWidth="1"/>
    <col min="4633" max="4633" width="40.28515625" style="252" bestFit="1" customWidth="1"/>
    <col min="4634" max="4634" width="2.28515625" style="252" customWidth="1"/>
    <col min="4635" max="4635" width="13.5703125" style="252" customWidth="1"/>
    <col min="4636" max="4636" width="2.28515625" style="252" customWidth="1"/>
    <col min="4637" max="4637" width="13.5703125" style="252" customWidth="1"/>
    <col min="4638" max="4638" width="2.28515625" style="252" customWidth="1"/>
    <col min="4639" max="4639" width="13.5703125" style="252" customWidth="1"/>
    <col min="4640" max="4640" width="2.28515625" style="252" customWidth="1"/>
    <col min="4641" max="4641" width="13.5703125" style="252" customWidth="1"/>
    <col min="4642" max="4642" width="2.28515625" style="252" customWidth="1"/>
    <col min="4643" max="4643" width="13.5703125" style="252" customWidth="1"/>
    <col min="4644" max="4644" width="2.28515625" style="252" customWidth="1"/>
    <col min="4645" max="4645" width="13.5703125" style="252" customWidth="1"/>
    <col min="4646" max="4646" width="2.28515625" style="252" customWidth="1"/>
    <col min="4647" max="4647" width="13.5703125" style="252" customWidth="1"/>
    <col min="4648" max="4648" width="2.28515625" style="252" customWidth="1"/>
    <col min="4649" max="4649" width="13.5703125" style="252" customWidth="1"/>
    <col min="4650" max="4650" width="3.42578125" style="252" customWidth="1"/>
    <col min="4651" max="4864" width="9.140625" style="252"/>
    <col min="4865" max="4865" width="3.5703125" style="252" customWidth="1"/>
    <col min="4866" max="4866" width="6.7109375" style="252" bestFit="1" customWidth="1"/>
    <col min="4867" max="4867" width="12" style="252" bestFit="1" customWidth="1"/>
    <col min="4868" max="4868" width="40.28515625" style="252" bestFit="1" customWidth="1"/>
    <col min="4869" max="4869" width="2.28515625" style="252" customWidth="1"/>
    <col min="4870" max="4870" width="13.5703125" style="252" customWidth="1"/>
    <col min="4871" max="4871" width="2.28515625" style="252" customWidth="1"/>
    <col min="4872" max="4872" width="13.5703125" style="252" customWidth="1"/>
    <col min="4873" max="4873" width="2.28515625" style="252" customWidth="1"/>
    <col min="4874" max="4874" width="13.5703125" style="252" customWidth="1"/>
    <col min="4875" max="4875" width="2.28515625" style="252" customWidth="1"/>
    <col min="4876" max="4876" width="13.5703125" style="252" customWidth="1"/>
    <col min="4877" max="4877" width="2.28515625" style="252" customWidth="1"/>
    <col min="4878" max="4878" width="13.5703125" style="252" customWidth="1"/>
    <col min="4879" max="4879" width="2.28515625" style="252" customWidth="1"/>
    <col min="4880" max="4880" width="13.5703125" style="252" customWidth="1"/>
    <col min="4881" max="4881" width="2.28515625" style="252" customWidth="1"/>
    <col min="4882" max="4882" width="13.5703125" style="252" customWidth="1"/>
    <col min="4883" max="4883" width="2.28515625" style="252" customWidth="1"/>
    <col min="4884" max="4884" width="13.5703125" style="252" customWidth="1"/>
    <col min="4885" max="4885" width="4" style="252" customWidth="1"/>
    <col min="4886" max="4886" width="3.5703125" style="252" customWidth="1"/>
    <col min="4887" max="4887" width="6.7109375" style="252" bestFit="1" customWidth="1"/>
    <col min="4888" max="4888" width="12.7109375" style="252" bestFit="1" customWidth="1"/>
    <col min="4889" max="4889" width="40.28515625" style="252" bestFit="1" customWidth="1"/>
    <col min="4890" max="4890" width="2.28515625" style="252" customWidth="1"/>
    <col min="4891" max="4891" width="13.5703125" style="252" customWidth="1"/>
    <col min="4892" max="4892" width="2.28515625" style="252" customWidth="1"/>
    <col min="4893" max="4893" width="13.5703125" style="252" customWidth="1"/>
    <col min="4894" max="4894" width="2.28515625" style="252" customWidth="1"/>
    <col min="4895" max="4895" width="13.5703125" style="252" customWidth="1"/>
    <col min="4896" max="4896" width="2.28515625" style="252" customWidth="1"/>
    <col min="4897" max="4897" width="13.5703125" style="252" customWidth="1"/>
    <col min="4898" max="4898" width="2.28515625" style="252" customWidth="1"/>
    <col min="4899" max="4899" width="13.5703125" style="252" customWidth="1"/>
    <col min="4900" max="4900" width="2.28515625" style="252" customWidth="1"/>
    <col min="4901" max="4901" width="13.5703125" style="252" customWidth="1"/>
    <col min="4902" max="4902" width="2.28515625" style="252" customWidth="1"/>
    <col min="4903" max="4903" width="13.5703125" style="252" customWidth="1"/>
    <col min="4904" max="4904" width="2.28515625" style="252" customWidth="1"/>
    <col min="4905" max="4905" width="13.5703125" style="252" customWidth="1"/>
    <col min="4906" max="4906" width="3.42578125" style="252" customWidth="1"/>
    <col min="4907" max="5120" width="9.140625" style="252"/>
    <col min="5121" max="5121" width="3.5703125" style="252" customWidth="1"/>
    <col min="5122" max="5122" width="6.7109375" style="252" bestFit="1" customWidth="1"/>
    <col min="5123" max="5123" width="12" style="252" bestFit="1" customWidth="1"/>
    <col min="5124" max="5124" width="40.28515625" style="252" bestFit="1" customWidth="1"/>
    <col min="5125" max="5125" width="2.28515625" style="252" customWidth="1"/>
    <col min="5126" max="5126" width="13.5703125" style="252" customWidth="1"/>
    <col min="5127" max="5127" width="2.28515625" style="252" customWidth="1"/>
    <col min="5128" max="5128" width="13.5703125" style="252" customWidth="1"/>
    <col min="5129" max="5129" width="2.28515625" style="252" customWidth="1"/>
    <col min="5130" max="5130" width="13.5703125" style="252" customWidth="1"/>
    <col min="5131" max="5131" width="2.28515625" style="252" customWidth="1"/>
    <col min="5132" max="5132" width="13.5703125" style="252" customWidth="1"/>
    <col min="5133" max="5133" width="2.28515625" style="252" customWidth="1"/>
    <col min="5134" max="5134" width="13.5703125" style="252" customWidth="1"/>
    <col min="5135" max="5135" width="2.28515625" style="252" customWidth="1"/>
    <col min="5136" max="5136" width="13.5703125" style="252" customWidth="1"/>
    <col min="5137" max="5137" width="2.28515625" style="252" customWidth="1"/>
    <col min="5138" max="5138" width="13.5703125" style="252" customWidth="1"/>
    <col min="5139" max="5139" width="2.28515625" style="252" customWidth="1"/>
    <col min="5140" max="5140" width="13.5703125" style="252" customWidth="1"/>
    <col min="5141" max="5141" width="4" style="252" customWidth="1"/>
    <col min="5142" max="5142" width="3.5703125" style="252" customWidth="1"/>
    <col min="5143" max="5143" width="6.7109375" style="252" bestFit="1" customWidth="1"/>
    <col min="5144" max="5144" width="12.7109375" style="252" bestFit="1" customWidth="1"/>
    <col min="5145" max="5145" width="40.28515625" style="252" bestFit="1" customWidth="1"/>
    <col min="5146" max="5146" width="2.28515625" style="252" customWidth="1"/>
    <col min="5147" max="5147" width="13.5703125" style="252" customWidth="1"/>
    <col min="5148" max="5148" width="2.28515625" style="252" customWidth="1"/>
    <col min="5149" max="5149" width="13.5703125" style="252" customWidth="1"/>
    <col min="5150" max="5150" width="2.28515625" style="252" customWidth="1"/>
    <col min="5151" max="5151" width="13.5703125" style="252" customWidth="1"/>
    <col min="5152" max="5152" width="2.28515625" style="252" customWidth="1"/>
    <col min="5153" max="5153" width="13.5703125" style="252" customWidth="1"/>
    <col min="5154" max="5154" width="2.28515625" style="252" customWidth="1"/>
    <col min="5155" max="5155" width="13.5703125" style="252" customWidth="1"/>
    <col min="5156" max="5156" width="2.28515625" style="252" customWidth="1"/>
    <col min="5157" max="5157" width="13.5703125" style="252" customWidth="1"/>
    <col min="5158" max="5158" width="2.28515625" style="252" customWidth="1"/>
    <col min="5159" max="5159" width="13.5703125" style="252" customWidth="1"/>
    <col min="5160" max="5160" width="2.28515625" style="252" customWidth="1"/>
    <col min="5161" max="5161" width="13.5703125" style="252" customWidth="1"/>
    <col min="5162" max="5162" width="3.42578125" style="252" customWidth="1"/>
    <col min="5163" max="5376" width="9.140625" style="252"/>
    <col min="5377" max="5377" width="3.5703125" style="252" customWidth="1"/>
    <col min="5378" max="5378" width="6.7109375" style="252" bestFit="1" customWidth="1"/>
    <col min="5379" max="5379" width="12" style="252" bestFit="1" customWidth="1"/>
    <col min="5380" max="5380" width="40.28515625" style="252" bestFit="1" customWidth="1"/>
    <col min="5381" max="5381" width="2.28515625" style="252" customWidth="1"/>
    <col min="5382" max="5382" width="13.5703125" style="252" customWidth="1"/>
    <col min="5383" max="5383" width="2.28515625" style="252" customWidth="1"/>
    <col min="5384" max="5384" width="13.5703125" style="252" customWidth="1"/>
    <col min="5385" max="5385" width="2.28515625" style="252" customWidth="1"/>
    <col min="5386" max="5386" width="13.5703125" style="252" customWidth="1"/>
    <col min="5387" max="5387" width="2.28515625" style="252" customWidth="1"/>
    <col min="5388" max="5388" width="13.5703125" style="252" customWidth="1"/>
    <col min="5389" max="5389" width="2.28515625" style="252" customWidth="1"/>
    <col min="5390" max="5390" width="13.5703125" style="252" customWidth="1"/>
    <col min="5391" max="5391" width="2.28515625" style="252" customWidth="1"/>
    <col min="5392" max="5392" width="13.5703125" style="252" customWidth="1"/>
    <col min="5393" max="5393" width="2.28515625" style="252" customWidth="1"/>
    <col min="5394" max="5394" width="13.5703125" style="252" customWidth="1"/>
    <col min="5395" max="5395" width="2.28515625" style="252" customWidth="1"/>
    <col min="5396" max="5396" width="13.5703125" style="252" customWidth="1"/>
    <col min="5397" max="5397" width="4" style="252" customWidth="1"/>
    <col min="5398" max="5398" width="3.5703125" style="252" customWidth="1"/>
    <col min="5399" max="5399" width="6.7109375" style="252" bestFit="1" customWidth="1"/>
    <col min="5400" max="5400" width="12.7109375" style="252" bestFit="1" customWidth="1"/>
    <col min="5401" max="5401" width="40.28515625" style="252" bestFit="1" customWidth="1"/>
    <col min="5402" max="5402" width="2.28515625" style="252" customWidth="1"/>
    <col min="5403" max="5403" width="13.5703125" style="252" customWidth="1"/>
    <col min="5404" max="5404" width="2.28515625" style="252" customWidth="1"/>
    <col min="5405" max="5405" width="13.5703125" style="252" customWidth="1"/>
    <col min="5406" max="5406" width="2.28515625" style="252" customWidth="1"/>
    <col min="5407" max="5407" width="13.5703125" style="252" customWidth="1"/>
    <col min="5408" max="5408" width="2.28515625" style="252" customWidth="1"/>
    <col min="5409" max="5409" width="13.5703125" style="252" customWidth="1"/>
    <col min="5410" max="5410" width="2.28515625" style="252" customWidth="1"/>
    <col min="5411" max="5411" width="13.5703125" style="252" customWidth="1"/>
    <col min="5412" max="5412" width="2.28515625" style="252" customWidth="1"/>
    <col min="5413" max="5413" width="13.5703125" style="252" customWidth="1"/>
    <col min="5414" max="5414" width="2.28515625" style="252" customWidth="1"/>
    <col min="5415" max="5415" width="13.5703125" style="252" customWidth="1"/>
    <col min="5416" max="5416" width="2.28515625" style="252" customWidth="1"/>
    <col min="5417" max="5417" width="13.5703125" style="252" customWidth="1"/>
    <col min="5418" max="5418" width="3.42578125" style="252" customWidth="1"/>
    <col min="5419" max="5632" width="9.140625" style="252"/>
    <col min="5633" max="5633" width="3.5703125" style="252" customWidth="1"/>
    <col min="5634" max="5634" width="6.7109375" style="252" bestFit="1" customWidth="1"/>
    <col min="5635" max="5635" width="12" style="252" bestFit="1" customWidth="1"/>
    <col min="5636" max="5636" width="40.28515625" style="252" bestFit="1" customWidth="1"/>
    <col min="5637" max="5637" width="2.28515625" style="252" customWidth="1"/>
    <col min="5638" max="5638" width="13.5703125" style="252" customWidth="1"/>
    <col min="5639" max="5639" width="2.28515625" style="252" customWidth="1"/>
    <col min="5640" max="5640" width="13.5703125" style="252" customWidth="1"/>
    <col min="5641" max="5641" width="2.28515625" style="252" customWidth="1"/>
    <col min="5642" max="5642" width="13.5703125" style="252" customWidth="1"/>
    <col min="5643" max="5643" width="2.28515625" style="252" customWidth="1"/>
    <col min="5644" max="5644" width="13.5703125" style="252" customWidth="1"/>
    <col min="5645" max="5645" width="2.28515625" style="252" customWidth="1"/>
    <col min="5646" max="5646" width="13.5703125" style="252" customWidth="1"/>
    <col min="5647" max="5647" width="2.28515625" style="252" customWidth="1"/>
    <col min="5648" max="5648" width="13.5703125" style="252" customWidth="1"/>
    <col min="5649" max="5649" width="2.28515625" style="252" customWidth="1"/>
    <col min="5650" max="5650" width="13.5703125" style="252" customWidth="1"/>
    <col min="5651" max="5651" width="2.28515625" style="252" customWidth="1"/>
    <col min="5652" max="5652" width="13.5703125" style="252" customWidth="1"/>
    <col min="5653" max="5653" width="4" style="252" customWidth="1"/>
    <col min="5654" max="5654" width="3.5703125" style="252" customWidth="1"/>
    <col min="5655" max="5655" width="6.7109375" style="252" bestFit="1" customWidth="1"/>
    <col min="5656" max="5656" width="12.7109375" style="252" bestFit="1" customWidth="1"/>
    <col min="5657" max="5657" width="40.28515625" style="252" bestFit="1" customWidth="1"/>
    <col min="5658" max="5658" width="2.28515625" style="252" customWidth="1"/>
    <col min="5659" max="5659" width="13.5703125" style="252" customWidth="1"/>
    <col min="5660" max="5660" width="2.28515625" style="252" customWidth="1"/>
    <col min="5661" max="5661" width="13.5703125" style="252" customWidth="1"/>
    <col min="5662" max="5662" width="2.28515625" style="252" customWidth="1"/>
    <col min="5663" max="5663" width="13.5703125" style="252" customWidth="1"/>
    <col min="5664" max="5664" width="2.28515625" style="252" customWidth="1"/>
    <col min="5665" max="5665" width="13.5703125" style="252" customWidth="1"/>
    <col min="5666" max="5666" width="2.28515625" style="252" customWidth="1"/>
    <col min="5667" max="5667" width="13.5703125" style="252" customWidth="1"/>
    <col min="5668" max="5668" width="2.28515625" style="252" customWidth="1"/>
    <col min="5669" max="5669" width="13.5703125" style="252" customWidth="1"/>
    <col min="5670" max="5670" width="2.28515625" style="252" customWidth="1"/>
    <col min="5671" max="5671" width="13.5703125" style="252" customWidth="1"/>
    <col min="5672" max="5672" width="2.28515625" style="252" customWidth="1"/>
    <col min="5673" max="5673" width="13.5703125" style="252" customWidth="1"/>
    <col min="5674" max="5674" width="3.42578125" style="252" customWidth="1"/>
    <col min="5675" max="5888" width="9.140625" style="252"/>
    <col min="5889" max="5889" width="3.5703125" style="252" customWidth="1"/>
    <col min="5890" max="5890" width="6.7109375" style="252" bestFit="1" customWidth="1"/>
    <col min="5891" max="5891" width="12" style="252" bestFit="1" customWidth="1"/>
    <col min="5892" max="5892" width="40.28515625" style="252" bestFit="1" customWidth="1"/>
    <col min="5893" max="5893" width="2.28515625" style="252" customWidth="1"/>
    <col min="5894" max="5894" width="13.5703125" style="252" customWidth="1"/>
    <col min="5895" max="5895" width="2.28515625" style="252" customWidth="1"/>
    <col min="5896" max="5896" width="13.5703125" style="252" customWidth="1"/>
    <col min="5897" max="5897" width="2.28515625" style="252" customWidth="1"/>
    <col min="5898" max="5898" width="13.5703125" style="252" customWidth="1"/>
    <col min="5899" max="5899" width="2.28515625" style="252" customWidth="1"/>
    <col min="5900" max="5900" width="13.5703125" style="252" customWidth="1"/>
    <col min="5901" max="5901" width="2.28515625" style="252" customWidth="1"/>
    <col min="5902" max="5902" width="13.5703125" style="252" customWidth="1"/>
    <col min="5903" max="5903" width="2.28515625" style="252" customWidth="1"/>
    <col min="5904" max="5904" width="13.5703125" style="252" customWidth="1"/>
    <col min="5905" max="5905" width="2.28515625" style="252" customWidth="1"/>
    <col min="5906" max="5906" width="13.5703125" style="252" customWidth="1"/>
    <col min="5907" max="5907" width="2.28515625" style="252" customWidth="1"/>
    <col min="5908" max="5908" width="13.5703125" style="252" customWidth="1"/>
    <col min="5909" max="5909" width="4" style="252" customWidth="1"/>
    <col min="5910" max="5910" width="3.5703125" style="252" customWidth="1"/>
    <col min="5911" max="5911" width="6.7109375" style="252" bestFit="1" customWidth="1"/>
    <col min="5912" max="5912" width="12.7109375" style="252" bestFit="1" customWidth="1"/>
    <col min="5913" max="5913" width="40.28515625" style="252" bestFit="1" customWidth="1"/>
    <col min="5914" max="5914" width="2.28515625" style="252" customWidth="1"/>
    <col min="5915" max="5915" width="13.5703125" style="252" customWidth="1"/>
    <col min="5916" max="5916" width="2.28515625" style="252" customWidth="1"/>
    <col min="5917" max="5917" width="13.5703125" style="252" customWidth="1"/>
    <col min="5918" max="5918" width="2.28515625" style="252" customWidth="1"/>
    <col min="5919" max="5919" width="13.5703125" style="252" customWidth="1"/>
    <col min="5920" max="5920" width="2.28515625" style="252" customWidth="1"/>
    <col min="5921" max="5921" width="13.5703125" style="252" customWidth="1"/>
    <col min="5922" max="5922" width="2.28515625" style="252" customWidth="1"/>
    <col min="5923" max="5923" width="13.5703125" style="252" customWidth="1"/>
    <col min="5924" max="5924" width="2.28515625" style="252" customWidth="1"/>
    <col min="5925" max="5925" width="13.5703125" style="252" customWidth="1"/>
    <col min="5926" max="5926" width="2.28515625" style="252" customWidth="1"/>
    <col min="5927" max="5927" width="13.5703125" style="252" customWidth="1"/>
    <col min="5928" max="5928" width="2.28515625" style="252" customWidth="1"/>
    <col min="5929" max="5929" width="13.5703125" style="252" customWidth="1"/>
    <col min="5930" max="5930" width="3.42578125" style="252" customWidth="1"/>
    <col min="5931" max="6144" width="9.140625" style="252"/>
    <col min="6145" max="6145" width="3.5703125" style="252" customWidth="1"/>
    <col min="6146" max="6146" width="6.7109375" style="252" bestFit="1" customWidth="1"/>
    <col min="6147" max="6147" width="12" style="252" bestFit="1" customWidth="1"/>
    <col min="6148" max="6148" width="40.28515625" style="252" bestFit="1" customWidth="1"/>
    <col min="6149" max="6149" width="2.28515625" style="252" customWidth="1"/>
    <col min="6150" max="6150" width="13.5703125" style="252" customWidth="1"/>
    <col min="6151" max="6151" width="2.28515625" style="252" customWidth="1"/>
    <col min="6152" max="6152" width="13.5703125" style="252" customWidth="1"/>
    <col min="6153" max="6153" width="2.28515625" style="252" customWidth="1"/>
    <col min="6154" max="6154" width="13.5703125" style="252" customWidth="1"/>
    <col min="6155" max="6155" width="2.28515625" style="252" customWidth="1"/>
    <col min="6156" max="6156" width="13.5703125" style="252" customWidth="1"/>
    <col min="6157" max="6157" width="2.28515625" style="252" customWidth="1"/>
    <col min="6158" max="6158" width="13.5703125" style="252" customWidth="1"/>
    <col min="6159" max="6159" width="2.28515625" style="252" customWidth="1"/>
    <col min="6160" max="6160" width="13.5703125" style="252" customWidth="1"/>
    <col min="6161" max="6161" width="2.28515625" style="252" customWidth="1"/>
    <col min="6162" max="6162" width="13.5703125" style="252" customWidth="1"/>
    <col min="6163" max="6163" width="2.28515625" style="252" customWidth="1"/>
    <col min="6164" max="6164" width="13.5703125" style="252" customWidth="1"/>
    <col min="6165" max="6165" width="4" style="252" customWidth="1"/>
    <col min="6166" max="6166" width="3.5703125" style="252" customWidth="1"/>
    <col min="6167" max="6167" width="6.7109375" style="252" bestFit="1" customWidth="1"/>
    <col min="6168" max="6168" width="12.7109375" style="252" bestFit="1" customWidth="1"/>
    <col min="6169" max="6169" width="40.28515625" style="252" bestFit="1" customWidth="1"/>
    <col min="6170" max="6170" width="2.28515625" style="252" customWidth="1"/>
    <col min="6171" max="6171" width="13.5703125" style="252" customWidth="1"/>
    <col min="6172" max="6172" width="2.28515625" style="252" customWidth="1"/>
    <col min="6173" max="6173" width="13.5703125" style="252" customWidth="1"/>
    <col min="6174" max="6174" width="2.28515625" style="252" customWidth="1"/>
    <col min="6175" max="6175" width="13.5703125" style="252" customWidth="1"/>
    <col min="6176" max="6176" width="2.28515625" style="252" customWidth="1"/>
    <col min="6177" max="6177" width="13.5703125" style="252" customWidth="1"/>
    <col min="6178" max="6178" width="2.28515625" style="252" customWidth="1"/>
    <col min="6179" max="6179" width="13.5703125" style="252" customWidth="1"/>
    <col min="6180" max="6180" width="2.28515625" style="252" customWidth="1"/>
    <col min="6181" max="6181" width="13.5703125" style="252" customWidth="1"/>
    <col min="6182" max="6182" width="2.28515625" style="252" customWidth="1"/>
    <col min="6183" max="6183" width="13.5703125" style="252" customWidth="1"/>
    <col min="6184" max="6184" width="2.28515625" style="252" customWidth="1"/>
    <col min="6185" max="6185" width="13.5703125" style="252" customWidth="1"/>
    <col min="6186" max="6186" width="3.42578125" style="252" customWidth="1"/>
    <col min="6187" max="6400" width="9.140625" style="252"/>
    <col min="6401" max="6401" width="3.5703125" style="252" customWidth="1"/>
    <col min="6402" max="6402" width="6.7109375" style="252" bestFit="1" customWidth="1"/>
    <col min="6403" max="6403" width="12" style="252" bestFit="1" customWidth="1"/>
    <col min="6404" max="6404" width="40.28515625" style="252" bestFit="1" customWidth="1"/>
    <col min="6405" max="6405" width="2.28515625" style="252" customWidth="1"/>
    <col min="6406" max="6406" width="13.5703125" style="252" customWidth="1"/>
    <col min="6407" max="6407" width="2.28515625" style="252" customWidth="1"/>
    <col min="6408" max="6408" width="13.5703125" style="252" customWidth="1"/>
    <col min="6409" max="6409" width="2.28515625" style="252" customWidth="1"/>
    <col min="6410" max="6410" width="13.5703125" style="252" customWidth="1"/>
    <col min="6411" max="6411" width="2.28515625" style="252" customWidth="1"/>
    <col min="6412" max="6412" width="13.5703125" style="252" customWidth="1"/>
    <col min="6413" max="6413" width="2.28515625" style="252" customWidth="1"/>
    <col min="6414" max="6414" width="13.5703125" style="252" customWidth="1"/>
    <col min="6415" max="6415" width="2.28515625" style="252" customWidth="1"/>
    <col min="6416" max="6416" width="13.5703125" style="252" customWidth="1"/>
    <col min="6417" max="6417" width="2.28515625" style="252" customWidth="1"/>
    <col min="6418" max="6418" width="13.5703125" style="252" customWidth="1"/>
    <col min="6419" max="6419" width="2.28515625" style="252" customWidth="1"/>
    <col min="6420" max="6420" width="13.5703125" style="252" customWidth="1"/>
    <col min="6421" max="6421" width="4" style="252" customWidth="1"/>
    <col min="6422" max="6422" width="3.5703125" style="252" customWidth="1"/>
    <col min="6423" max="6423" width="6.7109375" style="252" bestFit="1" customWidth="1"/>
    <col min="6424" max="6424" width="12.7109375" style="252" bestFit="1" customWidth="1"/>
    <col min="6425" max="6425" width="40.28515625" style="252" bestFit="1" customWidth="1"/>
    <col min="6426" max="6426" width="2.28515625" style="252" customWidth="1"/>
    <col min="6427" max="6427" width="13.5703125" style="252" customWidth="1"/>
    <col min="6428" max="6428" width="2.28515625" style="252" customWidth="1"/>
    <col min="6429" max="6429" width="13.5703125" style="252" customWidth="1"/>
    <col min="6430" max="6430" width="2.28515625" style="252" customWidth="1"/>
    <col min="6431" max="6431" width="13.5703125" style="252" customWidth="1"/>
    <col min="6432" max="6432" width="2.28515625" style="252" customWidth="1"/>
    <col min="6433" max="6433" width="13.5703125" style="252" customWidth="1"/>
    <col min="6434" max="6434" width="2.28515625" style="252" customWidth="1"/>
    <col min="6435" max="6435" width="13.5703125" style="252" customWidth="1"/>
    <col min="6436" max="6436" width="2.28515625" style="252" customWidth="1"/>
    <col min="6437" max="6437" width="13.5703125" style="252" customWidth="1"/>
    <col min="6438" max="6438" width="2.28515625" style="252" customWidth="1"/>
    <col min="6439" max="6439" width="13.5703125" style="252" customWidth="1"/>
    <col min="6440" max="6440" width="2.28515625" style="252" customWidth="1"/>
    <col min="6441" max="6441" width="13.5703125" style="252" customWidth="1"/>
    <col min="6442" max="6442" width="3.42578125" style="252" customWidth="1"/>
    <col min="6443" max="6656" width="9.140625" style="252"/>
    <col min="6657" max="6657" width="3.5703125" style="252" customWidth="1"/>
    <col min="6658" max="6658" width="6.7109375" style="252" bestFit="1" customWidth="1"/>
    <col min="6659" max="6659" width="12" style="252" bestFit="1" customWidth="1"/>
    <col min="6660" max="6660" width="40.28515625" style="252" bestFit="1" customWidth="1"/>
    <col min="6661" max="6661" width="2.28515625" style="252" customWidth="1"/>
    <col min="6662" max="6662" width="13.5703125" style="252" customWidth="1"/>
    <col min="6663" max="6663" width="2.28515625" style="252" customWidth="1"/>
    <col min="6664" max="6664" width="13.5703125" style="252" customWidth="1"/>
    <col min="6665" max="6665" width="2.28515625" style="252" customWidth="1"/>
    <col min="6666" max="6666" width="13.5703125" style="252" customWidth="1"/>
    <col min="6667" max="6667" width="2.28515625" style="252" customWidth="1"/>
    <col min="6668" max="6668" width="13.5703125" style="252" customWidth="1"/>
    <col min="6669" max="6669" width="2.28515625" style="252" customWidth="1"/>
    <col min="6670" max="6670" width="13.5703125" style="252" customWidth="1"/>
    <col min="6671" max="6671" width="2.28515625" style="252" customWidth="1"/>
    <col min="6672" max="6672" width="13.5703125" style="252" customWidth="1"/>
    <col min="6673" max="6673" width="2.28515625" style="252" customWidth="1"/>
    <col min="6674" max="6674" width="13.5703125" style="252" customWidth="1"/>
    <col min="6675" max="6675" width="2.28515625" style="252" customWidth="1"/>
    <col min="6676" max="6676" width="13.5703125" style="252" customWidth="1"/>
    <col min="6677" max="6677" width="4" style="252" customWidth="1"/>
    <col min="6678" max="6678" width="3.5703125" style="252" customWidth="1"/>
    <col min="6679" max="6679" width="6.7109375" style="252" bestFit="1" customWidth="1"/>
    <col min="6680" max="6680" width="12.7109375" style="252" bestFit="1" customWidth="1"/>
    <col min="6681" max="6681" width="40.28515625" style="252" bestFit="1" customWidth="1"/>
    <col min="6682" max="6682" width="2.28515625" style="252" customWidth="1"/>
    <col min="6683" max="6683" width="13.5703125" style="252" customWidth="1"/>
    <col min="6684" max="6684" width="2.28515625" style="252" customWidth="1"/>
    <col min="6685" max="6685" width="13.5703125" style="252" customWidth="1"/>
    <col min="6686" max="6686" width="2.28515625" style="252" customWidth="1"/>
    <col min="6687" max="6687" width="13.5703125" style="252" customWidth="1"/>
    <col min="6688" max="6688" width="2.28515625" style="252" customWidth="1"/>
    <col min="6689" max="6689" width="13.5703125" style="252" customWidth="1"/>
    <col min="6690" max="6690" width="2.28515625" style="252" customWidth="1"/>
    <col min="6691" max="6691" width="13.5703125" style="252" customWidth="1"/>
    <col min="6692" max="6692" width="2.28515625" style="252" customWidth="1"/>
    <col min="6693" max="6693" width="13.5703125" style="252" customWidth="1"/>
    <col min="6694" max="6694" width="2.28515625" style="252" customWidth="1"/>
    <col min="6695" max="6695" width="13.5703125" style="252" customWidth="1"/>
    <col min="6696" max="6696" width="2.28515625" style="252" customWidth="1"/>
    <col min="6697" max="6697" width="13.5703125" style="252" customWidth="1"/>
    <col min="6698" max="6698" width="3.42578125" style="252" customWidth="1"/>
    <col min="6699" max="6912" width="9.140625" style="252"/>
    <col min="6913" max="6913" width="3.5703125" style="252" customWidth="1"/>
    <col min="6914" max="6914" width="6.7109375" style="252" bestFit="1" customWidth="1"/>
    <col min="6915" max="6915" width="12" style="252" bestFit="1" customWidth="1"/>
    <col min="6916" max="6916" width="40.28515625" style="252" bestFit="1" customWidth="1"/>
    <col min="6917" max="6917" width="2.28515625" style="252" customWidth="1"/>
    <col min="6918" max="6918" width="13.5703125" style="252" customWidth="1"/>
    <col min="6919" max="6919" width="2.28515625" style="252" customWidth="1"/>
    <col min="6920" max="6920" width="13.5703125" style="252" customWidth="1"/>
    <col min="6921" max="6921" width="2.28515625" style="252" customWidth="1"/>
    <col min="6922" max="6922" width="13.5703125" style="252" customWidth="1"/>
    <col min="6923" max="6923" width="2.28515625" style="252" customWidth="1"/>
    <col min="6924" max="6924" width="13.5703125" style="252" customWidth="1"/>
    <col min="6925" max="6925" width="2.28515625" style="252" customWidth="1"/>
    <col min="6926" max="6926" width="13.5703125" style="252" customWidth="1"/>
    <col min="6927" max="6927" width="2.28515625" style="252" customWidth="1"/>
    <col min="6928" max="6928" width="13.5703125" style="252" customWidth="1"/>
    <col min="6929" max="6929" width="2.28515625" style="252" customWidth="1"/>
    <col min="6930" max="6930" width="13.5703125" style="252" customWidth="1"/>
    <col min="6931" max="6931" width="2.28515625" style="252" customWidth="1"/>
    <col min="6932" max="6932" width="13.5703125" style="252" customWidth="1"/>
    <col min="6933" max="6933" width="4" style="252" customWidth="1"/>
    <col min="6934" max="6934" width="3.5703125" style="252" customWidth="1"/>
    <col min="6935" max="6935" width="6.7109375" style="252" bestFit="1" customWidth="1"/>
    <col min="6936" max="6936" width="12.7109375" style="252" bestFit="1" customWidth="1"/>
    <col min="6937" max="6937" width="40.28515625" style="252" bestFit="1" customWidth="1"/>
    <col min="6938" max="6938" width="2.28515625" style="252" customWidth="1"/>
    <col min="6939" max="6939" width="13.5703125" style="252" customWidth="1"/>
    <col min="6940" max="6940" width="2.28515625" style="252" customWidth="1"/>
    <col min="6941" max="6941" width="13.5703125" style="252" customWidth="1"/>
    <col min="6942" max="6942" width="2.28515625" style="252" customWidth="1"/>
    <col min="6943" max="6943" width="13.5703125" style="252" customWidth="1"/>
    <col min="6944" max="6944" width="2.28515625" style="252" customWidth="1"/>
    <col min="6945" max="6945" width="13.5703125" style="252" customWidth="1"/>
    <col min="6946" max="6946" width="2.28515625" style="252" customWidth="1"/>
    <col min="6947" max="6947" width="13.5703125" style="252" customWidth="1"/>
    <col min="6948" max="6948" width="2.28515625" style="252" customWidth="1"/>
    <col min="6949" max="6949" width="13.5703125" style="252" customWidth="1"/>
    <col min="6950" max="6950" width="2.28515625" style="252" customWidth="1"/>
    <col min="6951" max="6951" width="13.5703125" style="252" customWidth="1"/>
    <col min="6952" max="6952" width="2.28515625" style="252" customWidth="1"/>
    <col min="6953" max="6953" width="13.5703125" style="252" customWidth="1"/>
    <col min="6954" max="6954" width="3.42578125" style="252" customWidth="1"/>
    <col min="6955" max="7168" width="9.140625" style="252"/>
    <col min="7169" max="7169" width="3.5703125" style="252" customWidth="1"/>
    <col min="7170" max="7170" width="6.7109375" style="252" bestFit="1" customWidth="1"/>
    <col min="7171" max="7171" width="12" style="252" bestFit="1" customWidth="1"/>
    <col min="7172" max="7172" width="40.28515625" style="252" bestFit="1" customWidth="1"/>
    <col min="7173" max="7173" width="2.28515625" style="252" customWidth="1"/>
    <col min="7174" max="7174" width="13.5703125" style="252" customWidth="1"/>
    <col min="7175" max="7175" width="2.28515625" style="252" customWidth="1"/>
    <col min="7176" max="7176" width="13.5703125" style="252" customWidth="1"/>
    <col min="7177" max="7177" width="2.28515625" style="252" customWidth="1"/>
    <col min="7178" max="7178" width="13.5703125" style="252" customWidth="1"/>
    <col min="7179" max="7179" width="2.28515625" style="252" customWidth="1"/>
    <col min="7180" max="7180" width="13.5703125" style="252" customWidth="1"/>
    <col min="7181" max="7181" width="2.28515625" style="252" customWidth="1"/>
    <col min="7182" max="7182" width="13.5703125" style="252" customWidth="1"/>
    <col min="7183" max="7183" width="2.28515625" style="252" customWidth="1"/>
    <col min="7184" max="7184" width="13.5703125" style="252" customWidth="1"/>
    <col min="7185" max="7185" width="2.28515625" style="252" customWidth="1"/>
    <col min="7186" max="7186" width="13.5703125" style="252" customWidth="1"/>
    <col min="7187" max="7187" width="2.28515625" style="252" customWidth="1"/>
    <col min="7188" max="7188" width="13.5703125" style="252" customWidth="1"/>
    <col min="7189" max="7189" width="4" style="252" customWidth="1"/>
    <col min="7190" max="7190" width="3.5703125" style="252" customWidth="1"/>
    <col min="7191" max="7191" width="6.7109375" style="252" bestFit="1" customWidth="1"/>
    <col min="7192" max="7192" width="12.7109375" style="252" bestFit="1" customWidth="1"/>
    <col min="7193" max="7193" width="40.28515625" style="252" bestFit="1" customWidth="1"/>
    <col min="7194" max="7194" width="2.28515625" style="252" customWidth="1"/>
    <col min="7195" max="7195" width="13.5703125" style="252" customWidth="1"/>
    <col min="7196" max="7196" width="2.28515625" style="252" customWidth="1"/>
    <col min="7197" max="7197" width="13.5703125" style="252" customWidth="1"/>
    <col min="7198" max="7198" width="2.28515625" style="252" customWidth="1"/>
    <col min="7199" max="7199" width="13.5703125" style="252" customWidth="1"/>
    <col min="7200" max="7200" width="2.28515625" style="252" customWidth="1"/>
    <col min="7201" max="7201" width="13.5703125" style="252" customWidth="1"/>
    <col min="7202" max="7202" width="2.28515625" style="252" customWidth="1"/>
    <col min="7203" max="7203" width="13.5703125" style="252" customWidth="1"/>
    <col min="7204" max="7204" width="2.28515625" style="252" customWidth="1"/>
    <col min="7205" max="7205" width="13.5703125" style="252" customWidth="1"/>
    <col min="7206" max="7206" width="2.28515625" style="252" customWidth="1"/>
    <col min="7207" max="7207" width="13.5703125" style="252" customWidth="1"/>
    <col min="7208" max="7208" width="2.28515625" style="252" customWidth="1"/>
    <col min="7209" max="7209" width="13.5703125" style="252" customWidth="1"/>
    <col min="7210" max="7210" width="3.42578125" style="252" customWidth="1"/>
    <col min="7211" max="7424" width="9.140625" style="252"/>
    <col min="7425" max="7425" width="3.5703125" style="252" customWidth="1"/>
    <col min="7426" max="7426" width="6.7109375" style="252" bestFit="1" customWidth="1"/>
    <col min="7427" max="7427" width="12" style="252" bestFit="1" customWidth="1"/>
    <col min="7428" max="7428" width="40.28515625" style="252" bestFit="1" customWidth="1"/>
    <col min="7429" max="7429" width="2.28515625" style="252" customWidth="1"/>
    <col min="7430" max="7430" width="13.5703125" style="252" customWidth="1"/>
    <col min="7431" max="7431" width="2.28515625" style="252" customWidth="1"/>
    <col min="7432" max="7432" width="13.5703125" style="252" customWidth="1"/>
    <col min="7433" max="7433" width="2.28515625" style="252" customWidth="1"/>
    <col min="7434" max="7434" width="13.5703125" style="252" customWidth="1"/>
    <col min="7435" max="7435" width="2.28515625" style="252" customWidth="1"/>
    <col min="7436" max="7436" width="13.5703125" style="252" customWidth="1"/>
    <col min="7437" max="7437" width="2.28515625" style="252" customWidth="1"/>
    <col min="7438" max="7438" width="13.5703125" style="252" customWidth="1"/>
    <col min="7439" max="7439" width="2.28515625" style="252" customWidth="1"/>
    <col min="7440" max="7440" width="13.5703125" style="252" customWidth="1"/>
    <col min="7441" max="7441" width="2.28515625" style="252" customWidth="1"/>
    <col min="7442" max="7442" width="13.5703125" style="252" customWidth="1"/>
    <col min="7443" max="7443" width="2.28515625" style="252" customWidth="1"/>
    <col min="7444" max="7444" width="13.5703125" style="252" customWidth="1"/>
    <col min="7445" max="7445" width="4" style="252" customWidth="1"/>
    <col min="7446" max="7446" width="3.5703125" style="252" customWidth="1"/>
    <col min="7447" max="7447" width="6.7109375" style="252" bestFit="1" customWidth="1"/>
    <col min="7448" max="7448" width="12.7109375" style="252" bestFit="1" customWidth="1"/>
    <col min="7449" max="7449" width="40.28515625" style="252" bestFit="1" customWidth="1"/>
    <col min="7450" max="7450" width="2.28515625" style="252" customWidth="1"/>
    <col min="7451" max="7451" width="13.5703125" style="252" customWidth="1"/>
    <col min="7452" max="7452" width="2.28515625" style="252" customWidth="1"/>
    <col min="7453" max="7453" width="13.5703125" style="252" customWidth="1"/>
    <col min="7454" max="7454" width="2.28515625" style="252" customWidth="1"/>
    <col min="7455" max="7455" width="13.5703125" style="252" customWidth="1"/>
    <col min="7456" max="7456" width="2.28515625" style="252" customWidth="1"/>
    <col min="7457" max="7457" width="13.5703125" style="252" customWidth="1"/>
    <col min="7458" max="7458" width="2.28515625" style="252" customWidth="1"/>
    <col min="7459" max="7459" width="13.5703125" style="252" customWidth="1"/>
    <col min="7460" max="7460" width="2.28515625" style="252" customWidth="1"/>
    <col min="7461" max="7461" width="13.5703125" style="252" customWidth="1"/>
    <col min="7462" max="7462" width="2.28515625" style="252" customWidth="1"/>
    <col min="7463" max="7463" width="13.5703125" style="252" customWidth="1"/>
    <col min="7464" max="7464" width="2.28515625" style="252" customWidth="1"/>
    <col min="7465" max="7465" width="13.5703125" style="252" customWidth="1"/>
    <col min="7466" max="7466" width="3.42578125" style="252" customWidth="1"/>
    <col min="7467" max="7680" width="9.140625" style="252"/>
    <col min="7681" max="7681" width="3.5703125" style="252" customWidth="1"/>
    <col min="7682" max="7682" width="6.7109375" style="252" bestFit="1" customWidth="1"/>
    <col min="7683" max="7683" width="12" style="252" bestFit="1" customWidth="1"/>
    <col min="7684" max="7684" width="40.28515625" style="252" bestFit="1" customWidth="1"/>
    <col min="7685" max="7685" width="2.28515625" style="252" customWidth="1"/>
    <col min="7686" max="7686" width="13.5703125" style="252" customWidth="1"/>
    <col min="7687" max="7687" width="2.28515625" style="252" customWidth="1"/>
    <col min="7688" max="7688" width="13.5703125" style="252" customWidth="1"/>
    <col min="7689" max="7689" width="2.28515625" style="252" customWidth="1"/>
    <col min="7690" max="7690" width="13.5703125" style="252" customWidth="1"/>
    <col min="7691" max="7691" width="2.28515625" style="252" customWidth="1"/>
    <col min="7692" max="7692" width="13.5703125" style="252" customWidth="1"/>
    <col min="7693" max="7693" width="2.28515625" style="252" customWidth="1"/>
    <col min="7694" max="7694" width="13.5703125" style="252" customWidth="1"/>
    <col min="7695" max="7695" width="2.28515625" style="252" customWidth="1"/>
    <col min="7696" max="7696" width="13.5703125" style="252" customWidth="1"/>
    <col min="7697" max="7697" width="2.28515625" style="252" customWidth="1"/>
    <col min="7698" max="7698" width="13.5703125" style="252" customWidth="1"/>
    <col min="7699" max="7699" width="2.28515625" style="252" customWidth="1"/>
    <col min="7700" max="7700" width="13.5703125" style="252" customWidth="1"/>
    <col min="7701" max="7701" width="4" style="252" customWidth="1"/>
    <col min="7702" max="7702" width="3.5703125" style="252" customWidth="1"/>
    <col min="7703" max="7703" width="6.7109375" style="252" bestFit="1" customWidth="1"/>
    <col min="7704" max="7704" width="12.7109375" style="252" bestFit="1" customWidth="1"/>
    <col min="7705" max="7705" width="40.28515625" style="252" bestFit="1" customWidth="1"/>
    <col min="7706" max="7706" width="2.28515625" style="252" customWidth="1"/>
    <col min="7707" max="7707" width="13.5703125" style="252" customWidth="1"/>
    <col min="7708" max="7708" width="2.28515625" style="252" customWidth="1"/>
    <col min="7709" max="7709" width="13.5703125" style="252" customWidth="1"/>
    <col min="7710" max="7710" width="2.28515625" style="252" customWidth="1"/>
    <col min="7711" max="7711" width="13.5703125" style="252" customWidth="1"/>
    <col min="7712" max="7712" width="2.28515625" style="252" customWidth="1"/>
    <col min="7713" max="7713" width="13.5703125" style="252" customWidth="1"/>
    <col min="7714" max="7714" width="2.28515625" style="252" customWidth="1"/>
    <col min="7715" max="7715" width="13.5703125" style="252" customWidth="1"/>
    <col min="7716" max="7716" width="2.28515625" style="252" customWidth="1"/>
    <col min="7717" max="7717" width="13.5703125" style="252" customWidth="1"/>
    <col min="7718" max="7718" width="2.28515625" style="252" customWidth="1"/>
    <col min="7719" max="7719" width="13.5703125" style="252" customWidth="1"/>
    <col min="7720" max="7720" width="2.28515625" style="252" customWidth="1"/>
    <col min="7721" max="7721" width="13.5703125" style="252" customWidth="1"/>
    <col min="7722" max="7722" width="3.42578125" style="252" customWidth="1"/>
    <col min="7723" max="7936" width="9.140625" style="252"/>
    <col min="7937" max="7937" width="3.5703125" style="252" customWidth="1"/>
    <col min="7938" max="7938" width="6.7109375" style="252" bestFit="1" customWidth="1"/>
    <col min="7939" max="7939" width="12" style="252" bestFit="1" customWidth="1"/>
    <col min="7940" max="7940" width="40.28515625" style="252" bestFit="1" customWidth="1"/>
    <col min="7941" max="7941" width="2.28515625" style="252" customWidth="1"/>
    <col min="7942" max="7942" width="13.5703125" style="252" customWidth="1"/>
    <col min="7943" max="7943" width="2.28515625" style="252" customWidth="1"/>
    <col min="7944" max="7944" width="13.5703125" style="252" customWidth="1"/>
    <col min="7945" max="7945" width="2.28515625" style="252" customWidth="1"/>
    <col min="7946" max="7946" width="13.5703125" style="252" customWidth="1"/>
    <col min="7947" max="7947" width="2.28515625" style="252" customWidth="1"/>
    <col min="7948" max="7948" width="13.5703125" style="252" customWidth="1"/>
    <col min="7949" max="7949" width="2.28515625" style="252" customWidth="1"/>
    <col min="7950" max="7950" width="13.5703125" style="252" customWidth="1"/>
    <col min="7951" max="7951" width="2.28515625" style="252" customWidth="1"/>
    <col min="7952" max="7952" width="13.5703125" style="252" customWidth="1"/>
    <col min="7953" max="7953" width="2.28515625" style="252" customWidth="1"/>
    <col min="7954" max="7954" width="13.5703125" style="252" customWidth="1"/>
    <col min="7955" max="7955" width="2.28515625" style="252" customWidth="1"/>
    <col min="7956" max="7956" width="13.5703125" style="252" customWidth="1"/>
    <col min="7957" max="7957" width="4" style="252" customWidth="1"/>
    <col min="7958" max="7958" width="3.5703125" style="252" customWidth="1"/>
    <col min="7959" max="7959" width="6.7109375" style="252" bestFit="1" customWidth="1"/>
    <col min="7960" max="7960" width="12.7109375" style="252" bestFit="1" customWidth="1"/>
    <col min="7961" max="7961" width="40.28515625" style="252" bestFit="1" customWidth="1"/>
    <col min="7962" max="7962" width="2.28515625" style="252" customWidth="1"/>
    <col min="7963" max="7963" width="13.5703125" style="252" customWidth="1"/>
    <col min="7964" max="7964" width="2.28515625" style="252" customWidth="1"/>
    <col min="7965" max="7965" width="13.5703125" style="252" customWidth="1"/>
    <col min="7966" max="7966" width="2.28515625" style="252" customWidth="1"/>
    <col min="7967" max="7967" width="13.5703125" style="252" customWidth="1"/>
    <col min="7968" max="7968" width="2.28515625" style="252" customWidth="1"/>
    <col min="7969" max="7969" width="13.5703125" style="252" customWidth="1"/>
    <col min="7970" max="7970" width="2.28515625" style="252" customWidth="1"/>
    <col min="7971" max="7971" width="13.5703125" style="252" customWidth="1"/>
    <col min="7972" max="7972" width="2.28515625" style="252" customWidth="1"/>
    <col min="7973" max="7973" width="13.5703125" style="252" customWidth="1"/>
    <col min="7974" max="7974" width="2.28515625" style="252" customWidth="1"/>
    <col min="7975" max="7975" width="13.5703125" style="252" customWidth="1"/>
    <col min="7976" max="7976" width="2.28515625" style="252" customWidth="1"/>
    <col min="7977" max="7977" width="13.5703125" style="252" customWidth="1"/>
    <col min="7978" max="7978" width="3.42578125" style="252" customWidth="1"/>
    <col min="7979" max="8192" width="9.140625" style="252"/>
    <col min="8193" max="8193" width="3.5703125" style="252" customWidth="1"/>
    <col min="8194" max="8194" width="6.7109375" style="252" bestFit="1" customWidth="1"/>
    <col min="8195" max="8195" width="12" style="252" bestFit="1" customWidth="1"/>
    <col min="8196" max="8196" width="40.28515625" style="252" bestFit="1" customWidth="1"/>
    <col min="8197" max="8197" width="2.28515625" style="252" customWidth="1"/>
    <col min="8198" max="8198" width="13.5703125" style="252" customWidth="1"/>
    <col min="8199" max="8199" width="2.28515625" style="252" customWidth="1"/>
    <col min="8200" max="8200" width="13.5703125" style="252" customWidth="1"/>
    <col min="8201" max="8201" width="2.28515625" style="252" customWidth="1"/>
    <col min="8202" max="8202" width="13.5703125" style="252" customWidth="1"/>
    <col min="8203" max="8203" width="2.28515625" style="252" customWidth="1"/>
    <col min="8204" max="8204" width="13.5703125" style="252" customWidth="1"/>
    <col min="8205" max="8205" width="2.28515625" style="252" customWidth="1"/>
    <col min="8206" max="8206" width="13.5703125" style="252" customWidth="1"/>
    <col min="8207" max="8207" width="2.28515625" style="252" customWidth="1"/>
    <col min="8208" max="8208" width="13.5703125" style="252" customWidth="1"/>
    <col min="8209" max="8209" width="2.28515625" style="252" customWidth="1"/>
    <col min="8210" max="8210" width="13.5703125" style="252" customWidth="1"/>
    <col min="8211" max="8211" width="2.28515625" style="252" customWidth="1"/>
    <col min="8212" max="8212" width="13.5703125" style="252" customWidth="1"/>
    <col min="8213" max="8213" width="4" style="252" customWidth="1"/>
    <col min="8214" max="8214" width="3.5703125" style="252" customWidth="1"/>
    <col min="8215" max="8215" width="6.7109375" style="252" bestFit="1" customWidth="1"/>
    <col min="8216" max="8216" width="12.7109375" style="252" bestFit="1" customWidth="1"/>
    <col min="8217" max="8217" width="40.28515625" style="252" bestFit="1" customWidth="1"/>
    <col min="8218" max="8218" width="2.28515625" style="252" customWidth="1"/>
    <col min="8219" max="8219" width="13.5703125" style="252" customWidth="1"/>
    <col min="8220" max="8220" width="2.28515625" style="252" customWidth="1"/>
    <col min="8221" max="8221" width="13.5703125" style="252" customWidth="1"/>
    <col min="8222" max="8222" width="2.28515625" style="252" customWidth="1"/>
    <col min="8223" max="8223" width="13.5703125" style="252" customWidth="1"/>
    <col min="8224" max="8224" width="2.28515625" style="252" customWidth="1"/>
    <col min="8225" max="8225" width="13.5703125" style="252" customWidth="1"/>
    <col min="8226" max="8226" width="2.28515625" style="252" customWidth="1"/>
    <col min="8227" max="8227" width="13.5703125" style="252" customWidth="1"/>
    <col min="8228" max="8228" width="2.28515625" style="252" customWidth="1"/>
    <col min="8229" max="8229" width="13.5703125" style="252" customWidth="1"/>
    <col min="8230" max="8230" width="2.28515625" style="252" customWidth="1"/>
    <col min="8231" max="8231" width="13.5703125" style="252" customWidth="1"/>
    <col min="8232" max="8232" width="2.28515625" style="252" customWidth="1"/>
    <col min="8233" max="8233" width="13.5703125" style="252" customWidth="1"/>
    <col min="8234" max="8234" width="3.42578125" style="252" customWidth="1"/>
    <col min="8235" max="8448" width="9.140625" style="252"/>
    <col min="8449" max="8449" width="3.5703125" style="252" customWidth="1"/>
    <col min="8450" max="8450" width="6.7109375" style="252" bestFit="1" customWidth="1"/>
    <col min="8451" max="8451" width="12" style="252" bestFit="1" customWidth="1"/>
    <col min="8452" max="8452" width="40.28515625" style="252" bestFit="1" customWidth="1"/>
    <col min="8453" max="8453" width="2.28515625" style="252" customWidth="1"/>
    <col min="8454" max="8454" width="13.5703125" style="252" customWidth="1"/>
    <col min="8455" max="8455" width="2.28515625" style="252" customWidth="1"/>
    <col min="8456" max="8456" width="13.5703125" style="252" customWidth="1"/>
    <col min="8457" max="8457" width="2.28515625" style="252" customWidth="1"/>
    <col min="8458" max="8458" width="13.5703125" style="252" customWidth="1"/>
    <col min="8459" max="8459" width="2.28515625" style="252" customWidth="1"/>
    <col min="8460" max="8460" width="13.5703125" style="252" customWidth="1"/>
    <col min="8461" max="8461" width="2.28515625" style="252" customWidth="1"/>
    <col min="8462" max="8462" width="13.5703125" style="252" customWidth="1"/>
    <col min="8463" max="8463" width="2.28515625" style="252" customWidth="1"/>
    <col min="8464" max="8464" width="13.5703125" style="252" customWidth="1"/>
    <col min="8465" max="8465" width="2.28515625" style="252" customWidth="1"/>
    <col min="8466" max="8466" width="13.5703125" style="252" customWidth="1"/>
    <col min="8467" max="8467" width="2.28515625" style="252" customWidth="1"/>
    <col min="8468" max="8468" width="13.5703125" style="252" customWidth="1"/>
    <col min="8469" max="8469" width="4" style="252" customWidth="1"/>
    <col min="8470" max="8470" width="3.5703125" style="252" customWidth="1"/>
    <col min="8471" max="8471" width="6.7109375" style="252" bestFit="1" customWidth="1"/>
    <col min="8472" max="8472" width="12.7109375" style="252" bestFit="1" customWidth="1"/>
    <col min="8473" max="8473" width="40.28515625" style="252" bestFit="1" customWidth="1"/>
    <col min="8474" max="8474" width="2.28515625" style="252" customWidth="1"/>
    <col min="8475" max="8475" width="13.5703125" style="252" customWidth="1"/>
    <col min="8476" max="8476" width="2.28515625" style="252" customWidth="1"/>
    <col min="8477" max="8477" width="13.5703125" style="252" customWidth="1"/>
    <col min="8478" max="8478" width="2.28515625" style="252" customWidth="1"/>
    <col min="8479" max="8479" width="13.5703125" style="252" customWidth="1"/>
    <col min="8480" max="8480" width="2.28515625" style="252" customWidth="1"/>
    <col min="8481" max="8481" width="13.5703125" style="252" customWidth="1"/>
    <col min="8482" max="8482" width="2.28515625" style="252" customWidth="1"/>
    <col min="8483" max="8483" width="13.5703125" style="252" customWidth="1"/>
    <col min="8484" max="8484" width="2.28515625" style="252" customWidth="1"/>
    <col min="8485" max="8485" width="13.5703125" style="252" customWidth="1"/>
    <col min="8486" max="8486" width="2.28515625" style="252" customWidth="1"/>
    <col min="8487" max="8487" width="13.5703125" style="252" customWidth="1"/>
    <col min="8488" max="8488" width="2.28515625" style="252" customWidth="1"/>
    <col min="8489" max="8489" width="13.5703125" style="252" customWidth="1"/>
    <col min="8490" max="8490" width="3.42578125" style="252" customWidth="1"/>
    <col min="8491" max="8704" width="9.140625" style="252"/>
    <col min="8705" max="8705" width="3.5703125" style="252" customWidth="1"/>
    <col min="8706" max="8706" width="6.7109375" style="252" bestFit="1" customWidth="1"/>
    <col min="8707" max="8707" width="12" style="252" bestFit="1" customWidth="1"/>
    <col min="8708" max="8708" width="40.28515625" style="252" bestFit="1" customWidth="1"/>
    <col min="8709" max="8709" width="2.28515625" style="252" customWidth="1"/>
    <col min="8710" max="8710" width="13.5703125" style="252" customWidth="1"/>
    <col min="8711" max="8711" width="2.28515625" style="252" customWidth="1"/>
    <col min="8712" max="8712" width="13.5703125" style="252" customWidth="1"/>
    <col min="8713" max="8713" width="2.28515625" style="252" customWidth="1"/>
    <col min="8714" max="8714" width="13.5703125" style="252" customWidth="1"/>
    <col min="8715" max="8715" width="2.28515625" style="252" customWidth="1"/>
    <col min="8716" max="8716" width="13.5703125" style="252" customWidth="1"/>
    <col min="8717" max="8717" width="2.28515625" style="252" customWidth="1"/>
    <col min="8718" max="8718" width="13.5703125" style="252" customWidth="1"/>
    <col min="8719" max="8719" width="2.28515625" style="252" customWidth="1"/>
    <col min="8720" max="8720" width="13.5703125" style="252" customWidth="1"/>
    <col min="8721" max="8721" width="2.28515625" style="252" customWidth="1"/>
    <col min="8722" max="8722" width="13.5703125" style="252" customWidth="1"/>
    <col min="8723" max="8723" width="2.28515625" style="252" customWidth="1"/>
    <col min="8724" max="8724" width="13.5703125" style="252" customWidth="1"/>
    <col min="8725" max="8725" width="4" style="252" customWidth="1"/>
    <col min="8726" max="8726" width="3.5703125" style="252" customWidth="1"/>
    <col min="8727" max="8727" width="6.7109375" style="252" bestFit="1" customWidth="1"/>
    <col min="8728" max="8728" width="12.7109375" style="252" bestFit="1" customWidth="1"/>
    <col min="8729" max="8729" width="40.28515625" style="252" bestFit="1" customWidth="1"/>
    <col min="8730" max="8730" width="2.28515625" style="252" customWidth="1"/>
    <col min="8731" max="8731" width="13.5703125" style="252" customWidth="1"/>
    <col min="8732" max="8732" width="2.28515625" style="252" customWidth="1"/>
    <col min="8733" max="8733" width="13.5703125" style="252" customWidth="1"/>
    <col min="8734" max="8734" width="2.28515625" style="252" customWidth="1"/>
    <col min="8735" max="8735" width="13.5703125" style="252" customWidth="1"/>
    <col min="8736" max="8736" width="2.28515625" style="252" customWidth="1"/>
    <col min="8737" max="8737" width="13.5703125" style="252" customWidth="1"/>
    <col min="8738" max="8738" width="2.28515625" style="252" customWidth="1"/>
    <col min="8739" max="8739" width="13.5703125" style="252" customWidth="1"/>
    <col min="8740" max="8740" width="2.28515625" style="252" customWidth="1"/>
    <col min="8741" max="8741" width="13.5703125" style="252" customWidth="1"/>
    <col min="8742" max="8742" width="2.28515625" style="252" customWidth="1"/>
    <col min="8743" max="8743" width="13.5703125" style="252" customWidth="1"/>
    <col min="8744" max="8744" width="2.28515625" style="252" customWidth="1"/>
    <col min="8745" max="8745" width="13.5703125" style="252" customWidth="1"/>
    <col min="8746" max="8746" width="3.42578125" style="252" customWidth="1"/>
    <col min="8747" max="8960" width="9.140625" style="252"/>
    <col min="8961" max="8961" width="3.5703125" style="252" customWidth="1"/>
    <col min="8962" max="8962" width="6.7109375" style="252" bestFit="1" customWidth="1"/>
    <col min="8963" max="8963" width="12" style="252" bestFit="1" customWidth="1"/>
    <col min="8964" max="8964" width="40.28515625" style="252" bestFit="1" customWidth="1"/>
    <col min="8965" max="8965" width="2.28515625" style="252" customWidth="1"/>
    <col min="8966" max="8966" width="13.5703125" style="252" customWidth="1"/>
    <col min="8967" max="8967" width="2.28515625" style="252" customWidth="1"/>
    <col min="8968" max="8968" width="13.5703125" style="252" customWidth="1"/>
    <col min="8969" max="8969" width="2.28515625" style="252" customWidth="1"/>
    <col min="8970" max="8970" width="13.5703125" style="252" customWidth="1"/>
    <col min="8971" max="8971" width="2.28515625" style="252" customWidth="1"/>
    <col min="8972" max="8972" width="13.5703125" style="252" customWidth="1"/>
    <col min="8973" max="8973" width="2.28515625" style="252" customWidth="1"/>
    <col min="8974" max="8974" width="13.5703125" style="252" customWidth="1"/>
    <col min="8975" max="8975" width="2.28515625" style="252" customWidth="1"/>
    <col min="8976" max="8976" width="13.5703125" style="252" customWidth="1"/>
    <col min="8977" max="8977" width="2.28515625" style="252" customWidth="1"/>
    <col min="8978" max="8978" width="13.5703125" style="252" customWidth="1"/>
    <col min="8979" max="8979" width="2.28515625" style="252" customWidth="1"/>
    <col min="8980" max="8980" width="13.5703125" style="252" customWidth="1"/>
    <col min="8981" max="8981" width="4" style="252" customWidth="1"/>
    <col min="8982" max="8982" width="3.5703125" style="252" customWidth="1"/>
    <col min="8983" max="8983" width="6.7109375" style="252" bestFit="1" customWidth="1"/>
    <col min="8984" max="8984" width="12.7109375" style="252" bestFit="1" customWidth="1"/>
    <col min="8985" max="8985" width="40.28515625" style="252" bestFit="1" customWidth="1"/>
    <col min="8986" max="8986" width="2.28515625" style="252" customWidth="1"/>
    <col min="8987" max="8987" width="13.5703125" style="252" customWidth="1"/>
    <col min="8988" max="8988" width="2.28515625" style="252" customWidth="1"/>
    <col min="8989" max="8989" width="13.5703125" style="252" customWidth="1"/>
    <col min="8990" max="8990" width="2.28515625" style="252" customWidth="1"/>
    <col min="8991" max="8991" width="13.5703125" style="252" customWidth="1"/>
    <col min="8992" max="8992" width="2.28515625" style="252" customWidth="1"/>
    <col min="8993" max="8993" width="13.5703125" style="252" customWidth="1"/>
    <col min="8994" max="8994" width="2.28515625" style="252" customWidth="1"/>
    <col min="8995" max="8995" width="13.5703125" style="252" customWidth="1"/>
    <col min="8996" max="8996" width="2.28515625" style="252" customWidth="1"/>
    <col min="8997" max="8997" width="13.5703125" style="252" customWidth="1"/>
    <col min="8998" max="8998" width="2.28515625" style="252" customWidth="1"/>
    <col min="8999" max="8999" width="13.5703125" style="252" customWidth="1"/>
    <col min="9000" max="9000" width="2.28515625" style="252" customWidth="1"/>
    <col min="9001" max="9001" width="13.5703125" style="252" customWidth="1"/>
    <col min="9002" max="9002" width="3.42578125" style="252" customWidth="1"/>
    <col min="9003" max="9216" width="9.140625" style="252"/>
    <col min="9217" max="9217" width="3.5703125" style="252" customWidth="1"/>
    <col min="9218" max="9218" width="6.7109375" style="252" bestFit="1" customWidth="1"/>
    <col min="9219" max="9219" width="12" style="252" bestFit="1" customWidth="1"/>
    <col min="9220" max="9220" width="40.28515625" style="252" bestFit="1" customWidth="1"/>
    <col min="9221" max="9221" width="2.28515625" style="252" customWidth="1"/>
    <col min="9222" max="9222" width="13.5703125" style="252" customWidth="1"/>
    <col min="9223" max="9223" width="2.28515625" style="252" customWidth="1"/>
    <col min="9224" max="9224" width="13.5703125" style="252" customWidth="1"/>
    <col min="9225" max="9225" width="2.28515625" style="252" customWidth="1"/>
    <col min="9226" max="9226" width="13.5703125" style="252" customWidth="1"/>
    <col min="9227" max="9227" width="2.28515625" style="252" customWidth="1"/>
    <col min="9228" max="9228" width="13.5703125" style="252" customWidth="1"/>
    <col min="9229" max="9229" width="2.28515625" style="252" customWidth="1"/>
    <col min="9230" max="9230" width="13.5703125" style="252" customWidth="1"/>
    <col min="9231" max="9231" width="2.28515625" style="252" customWidth="1"/>
    <col min="9232" max="9232" width="13.5703125" style="252" customWidth="1"/>
    <col min="9233" max="9233" width="2.28515625" style="252" customWidth="1"/>
    <col min="9234" max="9234" width="13.5703125" style="252" customWidth="1"/>
    <col min="9235" max="9235" width="2.28515625" style="252" customWidth="1"/>
    <col min="9236" max="9236" width="13.5703125" style="252" customWidth="1"/>
    <col min="9237" max="9237" width="4" style="252" customWidth="1"/>
    <col min="9238" max="9238" width="3.5703125" style="252" customWidth="1"/>
    <col min="9239" max="9239" width="6.7109375" style="252" bestFit="1" customWidth="1"/>
    <col min="9240" max="9240" width="12.7109375" style="252" bestFit="1" customWidth="1"/>
    <col min="9241" max="9241" width="40.28515625" style="252" bestFit="1" customWidth="1"/>
    <col min="9242" max="9242" width="2.28515625" style="252" customWidth="1"/>
    <col min="9243" max="9243" width="13.5703125" style="252" customWidth="1"/>
    <col min="9244" max="9244" width="2.28515625" style="252" customWidth="1"/>
    <col min="9245" max="9245" width="13.5703125" style="252" customWidth="1"/>
    <col min="9246" max="9246" width="2.28515625" style="252" customWidth="1"/>
    <col min="9247" max="9247" width="13.5703125" style="252" customWidth="1"/>
    <col min="9248" max="9248" width="2.28515625" style="252" customWidth="1"/>
    <col min="9249" max="9249" width="13.5703125" style="252" customWidth="1"/>
    <col min="9250" max="9250" width="2.28515625" style="252" customWidth="1"/>
    <col min="9251" max="9251" width="13.5703125" style="252" customWidth="1"/>
    <col min="9252" max="9252" width="2.28515625" style="252" customWidth="1"/>
    <col min="9253" max="9253" width="13.5703125" style="252" customWidth="1"/>
    <col min="9254" max="9254" width="2.28515625" style="252" customWidth="1"/>
    <col min="9255" max="9255" width="13.5703125" style="252" customWidth="1"/>
    <col min="9256" max="9256" width="2.28515625" style="252" customWidth="1"/>
    <col min="9257" max="9257" width="13.5703125" style="252" customWidth="1"/>
    <col min="9258" max="9258" width="3.42578125" style="252" customWidth="1"/>
    <col min="9259" max="9472" width="9.140625" style="252"/>
    <col min="9473" max="9473" width="3.5703125" style="252" customWidth="1"/>
    <col min="9474" max="9474" width="6.7109375" style="252" bestFit="1" customWidth="1"/>
    <col min="9475" max="9475" width="12" style="252" bestFit="1" customWidth="1"/>
    <col min="9476" max="9476" width="40.28515625" style="252" bestFit="1" customWidth="1"/>
    <col min="9477" max="9477" width="2.28515625" style="252" customWidth="1"/>
    <col min="9478" max="9478" width="13.5703125" style="252" customWidth="1"/>
    <col min="9479" max="9479" width="2.28515625" style="252" customWidth="1"/>
    <col min="9480" max="9480" width="13.5703125" style="252" customWidth="1"/>
    <col min="9481" max="9481" width="2.28515625" style="252" customWidth="1"/>
    <col min="9482" max="9482" width="13.5703125" style="252" customWidth="1"/>
    <col min="9483" max="9483" width="2.28515625" style="252" customWidth="1"/>
    <col min="9484" max="9484" width="13.5703125" style="252" customWidth="1"/>
    <col min="9485" max="9485" width="2.28515625" style="252" customWidth="1"/>
    <col min="9486" max="9486" width="13.5703125" style="252" customWidth="1"/>
    <col min="9487" max="9487" width="2.28515625" style="252" customWidth="1"/>
    <col min="9488" max="9488" width="13.5703125" style="252" customWidth="1"/>
    <col min="9489" max="9489" width="2.28515625" style="252" customWidth="1"/>
    <col min="9490" max="9490" width="13.5703125" style="252" customWidth="1"/>
    <col min="9491" max="9491" width="2.28515625" style="252" customWidth="1"/>
    <col min="9492" max="9492" width="13.5703125" style="252" customWidth="1"/>
    <col min="9493" max="9493" width="4" style="252" customWidth="1"/>
    <col min="9494" max="9494" width="3.5703125" style="252" customWidth="1"/>
    <col min="9495" max="9495" width="6.7109375" style="252" bestFit="1" customWidth="1"/>
    <col min="9496" max="9496" width="12.7109375" style="252" bestFit="1" customWidth="1"/>
    <col min="9497" max="9497" width="40.28515625" style="252" bestFit="1" customWidth="1"/>
    <col min="9498" max="9498" width="2.28515625" style="252" customWidth="1"/>
    <col min="9499" max="9499" width="13.5703125" style="252" customWidth="1"/>
    <col min="9500" max="9500" width="2.28515625" style="252" customWidth="1"/>
    <col min="9501" max="9501" width="13.5703125" style="252" customWidth="1"/>
    <col min="9502" max="9502" width="2.28515625" style="252" customWidth="1"/>
    <col min="9503" max="9503" width="13.5703125" style="252" customWidth="1"/>
    <col min="9504" max="9504" width="2.28515625" style="252" customWidth="1"/>
    <col min="9505" max="9505" width="13.5703125" style="252" customWidth="1"/>
    <col min="9506" max="9506" width="2.28515625" style="252" customWidth="1"/>
    <col min="9507" max="9507" width="13.5703125" style="252" customWidth="1"/>
    <col min="9508" max="9508" width="2.28515625" style="252" customWidth="1"/>
    <col min="9509" max="9509" width="13.5703125" style="252" customWidth="1"/>
    <col min="9510" max="9510" width="2.28515625" style="252" customWidth="1"/>
    <col min="9511" max="9511" width="13.5703125" style="252" customWidth="1"/>
    <col min="9512" max="9512" width="2.28515625" style="252" customWidth="1"/>
    <col min="9513" max="9513" width="13.5703125" style="252" customWidth="1"/>
    <col min="9514" max="9514" width="3.42578125" style="252" customWidth="1"/>
    <col min="9515" max="9728" width="9.140625" style="252"/>
    <col min="9729" max="9729" width="3.5703125" style="252" customWidth="1"/>
    <col min="9730" max="9730" width="6.7109375" style="252" bestFit="1" customWidth="1"/>
    <col min="9731" max="9731" width="12" style="252" bestFit="1" customWidth="1"/>
    <col min="9732" max="9732" width="40.28515625" style="252" bestFit="1" customWidth="1"/>
    <col min="9733" max="9733" width="2.28515625" style="252" customWidth="1"/>
    <col min="9734" max="9734" width="13.5703125" style="252" customWidth="1"/>
    <col min="9735" max="9735" width="2.28515625" style="252" customWidth="1"/>
    <col min="9736" max="9736" width="13.5703125" style="252" customWidth="1"/>
    <col min="9737" max="9737" width="2.28515625" style="252" customWidth="1"/>
    <col min="9738" max="9738" width="13.5703125" style="252" customWidth="1"/>
    <col min="9739" max="9739" width="2.28515625" style="252" customWidth="1"/>
    <col min="9740" max="9740" width="13.5703125" style="252" customWidth="1"/>
    <col min="9741" max="9741" width="2.28515625" style="252" customWidth="1"/>
    <col min="9742" max="9742" width="13.5703125" style="252" customWidth="1"/>
    <col min="9743" max="9743" width="2.28515625" style="252" customWidth="1"/>
    <col min="9744" max="9744" width="13.5703125" style="252" customWidth="1"/>
    <col min="9745" max="9745" width="2.28515625" style="252" customWidth="1"/>
    <col min="9746" max="9746" width="13.5703125" style="252" customWidth="1"/>
    <col min="9747" max="9747" width="2.28515625" style="252" customWidth="1"/>
    <col min="9748" max="9748" width="13.5703125" style="252" customWidth="1"/>
    <col min="9749" max="9749" width="4" style="252" customWidth="1"/>
    <col min="9750" max="9750" width="3.5703125" style="252" customWidth="1"/>
    <col min="9751" max="9751" width="6.7109375" style="252" bestFit="1" customWidth="1"/>
    <col min="9752" max="9752" width="12.7109375" style="252" bestFit="1" customWidth="1"/>
    <col min="9753" max="9753" width="40.28515625" style="252" bestFit="1" customWidth="1"/>
    <col min="9754" max="9754" width="2.28515625" style="252" customWidth="1"/>
    <col min="9755" max="9755" width="13.5703125" style="252" customWidth="1"/>
    <col min="9756" max="9756" width="2.28515625" style="252" customWidth="1"/>
    <col min="9757" max="9757" width="13.5703125" style="252" customWidth="1"/>
    <col min="9758" max="9758" width="2.28515625" style="252" customWidth="1"/>
    <col min="9759" max="9759" width="13.5703125" style="252" customWidth="1"/>
    <col min="9760" max="9760" width="2.28515625" style="252" customWidth="1"/>
    <col min="9761" max="9761" width="13.5703125" style="252" customWidth="1"/>
    <col min="9762" max="9762" width="2.28515625" style="252" customWidth="1"/>
    <col min="9763" max="9763" width="13.5703125" style="252" customWidth="1"/>
    <col min="9764" max="9764" width="2.28515625" style="252" customWidth="1"/>
    <col min="9765" max="9765" width="13.5703125" style="252" customWidth="1"/>
    <col min="9766" max="9766" width="2.28515625" style="252" customWidth="1"/>
    <col min="9767" max="9767" width="13.5703125" style="252" customWidth="1"/>
    <col min="9768" max="9768" width="2.28515625" style="252" customWidth="1"/>
    <col min="9769" max="9769" width="13.5703125" style="252" customWidth="1"/>
    <col min="9770" max="9770" width="3.42578125" style="252" customWidth="1"/>
    <col min="9771" max="9984" width="9.140625" style="252"/>
    <col min="9985" max="9985" width="3.5703125" style="252" customWidth="1"/>
    <col min="9986" max="9986" width="6.7109375" style="252" bestFit="1" customWidth="1"/>
    <col min="9987" max="9987" width="12" style="252" bestFit="1" customWidth="1"/>
    <col min="9988" max="9988" width="40.28515625" style="252" bestFit="1" customWidth="1"/>
    <col min="9989" max="9989" width="2.28515625" style="252" customWidth="1"/>
    <col min="9990" max="9990" width="13.5703125" style="252" customWidth="1"/>
    <col min="9991" max="9991" width="2.28515625" style="252" customWidth="1"/>
    <col min="9992" max="9992" width="13.5703125" style="252" customWidth="1"/>
    <col min="9993" max="9993" width="2.28515625" style="252" customWidth="1"/>
    <col min="9994" max="9994" width="13.5703125" style="252" customWidth="1"/>
    <col min="9995" max="9995" width="2.28515625" style="252" customWidth="1"/>
    <col min="9996" max="9996" width="13.5703125" style="252" customWidth="1"/>
    <col min="9997" max="9997" width="2.28515625" style="252" customWidth="1"/>
    <col min="9998" max="9998" width="13.5703125" style="252" customWidth="1"/>
    <col min="9999" max="9999" width="2.28515625" style="252" customWidth="1"/>
    <col min="10000" max="10000" width="13.5703125" style="252" customWidth="1"/>
    <col min="10001" max="10001" width="2.28515625" style="252" customWidth="1"/>
    <col min="10002" max="10002" width="13.5703125" style="252" customWidth="1"/>
    <col min="10003" max="10003" width="2.28515625" style="252" customWidth="1"/>
    <col min="10004" max="10004" width="13.5703125" style="252" customWidth="1"/>
    <col min="10005" max="10005" width="4" style="252" customWidth="1"/>
    <col min="10006" max="10006" width="3.5703125" style="252" customWidth="1"/>
    <col min="10007" max="10007" width="6.7109375" style="252" bestFit="1" customWidth="1"/>
    <col min="10008" max="10008" width="12.7109375" style="252" bestFit="1" customWidth="1"/>
    <col min="10009" max="10009" width="40.28515625" style="252" bestFit="1" customWidth="1"/>
    <col min="10010" max="10010" width="2.28515625" style="252" customWidth="1"/>
    <col min="10011" max="10011" width="13.5703125" style="252" customWidth="1"/>
    <col min="10012" max="10012" width="2.28515625" style="252" customWidth="1"/>
    <col min="10013" max="10013" width="13.5703125" style="252" customWidth="1"/>
    <col min="10014" max="10014" width="2.28515625" style="252" customWidth="1"/>
    <col min="10015" max="10015" width="13.5703125" style="252" customWidth="1"/>
    <col min="10016" max="10016" width="2.28515625" style="252" customWidth="1"/>
    <col min="10017" max="10017" width="13.5703125" style="252" customWidth="1"/>
    <col min="10018" max="10018" width="2.28515625" style="252" customWidth="1"/>
    <col min="10019" max="10019" width="13.5703125" style="252" customWidth="1"/>
    <col min="10020" max="10020" width="2.28515625" style="252" customWidth="1"/>
    <col min="10021" max="10021" width="13.5703125" style="252" customWidth="1"/>
    <col min="10022" max="10022" width="2.28515625" style="252" customWidth="1"/>
    <col min="10023" max="10023" width="13.5703125" style="252" customWidth="1"/>
    <col min="10024" max="10024" width="2.28515625" style="252" customWidth="1"/>
    <col min="10025" max="10025" width="13.5703125" style="252" customWidth="1"/>
    <col min="10026" max="10026" width="3.42578125" style="252" customWidth="1"/>
    <col min="10027" max="10240" width="9.140625" style="252"/>
    <col min="10241" max="10241" width="3.5703125" style="252" customWidth="1"/>
    <col min="10242" max="10242" width="6.7109375" style="252" bestFit="1" customWidth="1"/>
    <col min="10243" max="10243" width="12" style="252" bestFit="1" customWidth="1"/>
    <col min="10244" max="10244" width="40.28515625" style="252" bestFit="1" customWidth="1"/>
    <col min="10245" max="10245" width="2.28515625" style="252" customWidth="1"/>
    <col min="10246" max="10246" width="13.5703125" style="252" customWidth="1"/>
    <col min="10247" max="10247" width="2.28515625" style="252" customWidth="1"/>
    <col min="10248" max="10248" width="13.5703125" style="252" customWidth="1"/>
    <col min="10249" max="10249" width="2.28515625" style="252" customWidth="1"/>
    <col min="10250" max="10250" width="13.5703125" style="252" customWidth="1"/>
    <col min="10251" max="10251" width="2.28515625" style="252" customWidth="1"/>
    <col min="10252" max="10252" width="13.5703125" style="252" customWidth="1"/>
    <col min="10253" max="10253" width="2.28515625" style="252" customWidth="1"/>
    <col min="10254" max="10254" width="13.5703125" style="252" customWidth="1"/>
    <col min="10255" max="10255" width="2.28515625" style="252" customWidth="1"/>
    <col min="10256" max="10256" width="13.5703125" style="252" customWidth="1"/>
    <col min="10257" max="10257" width="2.28515625" style="252" customWidth="1"/>
    <col min="10258" max="10258" width="13.5703125" style="252" customWidth="1"/>
    <col min="10259" max="10259" width="2.28515625" style="252" customWidth="1"/>
    <col min="10260" max="10260" width="13.5703125" style="252" customWidth="1"/>
    <col min="10261" max="10261" width="4" style="252" customWidth="1"/>
    <col min="10262" max="10262" width="3.5703125" style="252" customWidth="1"/>
    <col min="10263" max="10263" width="6.7109375" style="252" bestFit="1" customWidth="1"/>
    <col min="10264" max="10264" width="12.7109375" style="252" bestFit="1" customWidth="1"/>
    <col min="10265" max="10265" width="40.28515625" style="252" bestFit="1" customWidth="1"/>
    <col min="10266" max="10266" width="2.28515625" style="252" customWidth="1"/>
    <col min="10267" max="10267" width="13.5703125" style="252" customWidth="1"/>
    <col min="10268" max="10268" width="2.28515625" style="252" customWidth="1"/>
    <col min="10269" max="10269" width="13.5703125" style="252" customWidth="1"/>
    <col min="10270" max="10270" width="2.28515625" style="252" customWidth="1"/>
    <col min="10271" max="10271" width="13.5703125" style="252" customWidth="1"/>
    <col min="10272" max="10272" width="2.28515625" style="252" customWidth="1"/>
    <col min="10273" max="10273" width="13.5703125" style="252" customWidth="1"/>
    <col min="10274" max="10274" width="2.28515625" style="252" customWidth="1"/>
    <col min="10275" max="10275" width="13.5703125" style="252" customWidth="1"/>
    <col min="10276" max="10276" width="2.28515625" style="252" customWidth="1"/>
    <col min="10277" max="10277" width="13.5703125" style="252" customWidth="1"/>
    <col min="10278" max="10278" width="2.28515625" style="252" customWidth="1"/>
    <col min="10279" max="10279" width="13.5703125" style="252" customWidth="1"/>
    <col min="10280" max="10280" width="2.28515625" style="252" customWidth="1"/>
    <col min="10281" max="10281" width="13.5703125" style="252" customWidth="1"/>
    <col min="10282" max="10282" width="3.42578125" style="252" customWidth="1"/>
    <col min="10283" max="10496" width="9.140625" style="252"/>
    <col min="10497" max="10497" width="3.5703125" style="252" customWidth="1"/>
    <col min="10498" max="10498" width="6.7109375" style="252" bestFit="1" customWidth="1"/>
    <col min="10499" max="10499" width="12" style="252" bestFit="1" customWidth="1"/>
    <col min="10500" max="10500" width="40.28515625" style="252" bestFit="1" customWidth="1"/>
    <col min="10501" max="10501" width="2.28515625" style="252" customWidth="1"/>
    <col min="10502" max="10502" width="13.5703125" style="252" customWidth="1"/>
    <col min="10503" max="10503" width="2.28515625" style="252" customWidth="1"/>
    <col min="10504" max="10504" width="13.5703125" style="252" customWidth="1"/>
    <col min="10505" max="10505" width="2.28515625" style="252" customWidth="1"/>
    <col min="10506" max="10506" width="13.5703125" style="252" customWidth="1"/>
    <col min="10507" max="10507" width="2.28515625" style="252" customWidth="1"/>
    <col min="10508" max="10508" width="13.5703125" style="252" customWidth="1"/>
    <col min="10509" max="10509" width="2.28515625" style="252" customWidth="1"/>
    <col min="10510" max="10510" width="13.5703125" style="252" customWidth="1"/>
    <col min="10511" max="10511" width="2.28515625" style="252" customWidth="1"/>
    <col min="10512" max="10512" width="13.5703125" style="252" customWidth="1"/>
    <col min="10513" max="10513" width="2.28515625" style="252" customWidth="1"/>
    <col min="10514" max="10514" width="13.5703125" style="252" customWidth="1"/>
    <col min="10515" max="10515" width="2.28515625" style="252" customWidth="1"/>
    <col min="10516" max="10516" width="13.5703125" style="252" customWidth="1"/>
    <col min="10517" max="10517" width="4" style="252" customWidth="1"/>
    <col min="10518" max="10518" width="3.5703125" style="252" customWidth="1"/>
    <col min="10519" max="10519" width="6.7109375" style="252" bestFit="1" customWidth="1"/>
    <col min="10520" max="10520" width="12.7109375" style="252" bestFit="1" customWidth="1"/>
    <col min="10521" max="10521" width="40.28515625" style="252" bestFit="1" customWidth="1"/>
    <col min="10522" max="10522" width="2.28515625" style="252" customWidth="1"/>
    <col min="10523" max="10523" width="13.5703125" style="252" customWidth="1"/>
    <col min="10524" max="10524" width="2.28515625" style="252" customWidth="1"/>
    <col min="10525" max="10525" width="13.5703125" style="252" customWidth="1"/>
    <col min="10526" max="10526" width="2.28515625" style="252" customWidth="1"/>
    <col min="10527" max="10527" width="13.5703125" style="252" customWidth="1"/>
    <col min="10528" max="10528" width="2.28515625" style="252" customWidth="1"/>
    <col min="10529" max="10529" width="13.5703125" style="252" customWidth="1"/>
    <col min="10530" max="10530" width="2.28515625" style="252" customWidth="1"/>
    <col min="10531" max="10531" width="13.5703125" style="252" customWidth="1"/>
    <col min="10532" max="10532" width="2.28515625" style="252" customWidth="1"/>
    <col min="10533" max="10533" width="13.5703125" style="252" customWidth="1"/>
    <col min="10534" max="10534" width="2.28515625" style="252" customWidth="1"/>
    <col min="10535" max="10535" width="13.5703125" style="252" customWidth="1"/>
    <col min="10536" max="10536" width="2.28515625" style="252" customWidth="1"/>
    <col min="10537" max="10537" width="13.5703125" style="252" customWidth="1"/>
    <col min="10538" max="10538" width="3.42578125" style="252" customWidth="1"/>
    <col min="10539" max="10752" width="9.140625" style="252"/>
    <col min="10753" max="10753" width="3.5703125" style="252" customWidth="1"/>
    <col min="10754" max="10754" width="6.7109375" style="252" bestFit="1" customWidth="1"/>
    <col min="10755" max="10755" width="12" style="252" bestFit="1" customWidth="1"/>
    <col min="10756" max="10756" width="40.28515625" style="252" bestFit="1" customWidth="1"/>
    <col min="10757" max="10757" width="2.28515625" style="252" customWidth="1"/>
    <col min="10758" max="10758" width="13.5703125" style="252" customWidth="1"/>
    <col min="10759" max="10759" width="2.28515625" style="252" customWidth="1"/>
    <col min="10760" max="10760" width="13.5703125" style="252" customWidth="1"/>
    <col min="10761" max="10761" width="2.28515625" style="252" customWidth="1"/>
    <col min="10762" max="10762" width="13.5703125" style="252" customWidth="1"/>
    <col min="10763" max="10763" width="2.28515625" style="252" customWidth="1"/>
    <col min="10764" max="10764" width="13.5703125" style="252" customWidth="1"/>
    <col min="10765" max="10765" width="2.28515625" style="252" customWidth="1"/>
    <col min="10766" max="10766" width="13.5703125" style="252" customWidth="1"/>
    <col min="10767" max="10767" width="2.28515625" style="252" customWidth="1"/>
    <col min="10768" max="10768" width="13.5703125" style="252" customWidth="1"/>
    <col min="10769" max="10769" width="2.28515625" style="252" customWidth="1"/>
    <col min="10770" max="10770" width="13.5703125" style="252" customWidth="1"/>
    <col min="10771" max="10771" width="2.28515625" style="252" customWidth="1"/>
    <col min="10772" max="10772" width="13.5703125" style="252" customWidth="1"/>
    <col min="10773" max="10773" width="4" style="252" customWidth="1"/>
    <col min="10774" max="10774" width="3.5703125" style="252" customWidth="1"/>
    <col min="10775" max="10775" width="6.7109375" style="252" bestFit="1" customWidth="1"/>
    <col min="10776" max="10776" width="12.7109375" style="252" bestFit="1" customWidth="1"/>
    <col min="10777" max="10777" width="40.28515625" style="252" bestFit="1" customWidth="1"/>
    <col min="10778" max="10778" width="2.28515625" style="252" customWidth="1"/>
    <col min="10779" max="10779" width="13.5703125" style="252" customWidth="1"/>
    <col min="10780" max="10780" width="2.28515625" style="252" customWidth="1"/>
    <col min="10781" max="10781" width="13.5703125" style="252" customWidth="1"/>
    <col min="10782" max="10782" width="2.28515625" style="252" customWidth="1"/>
    <col min="10783" max="10783" width="13.5703125" style="252" customWidth="1"/>
    <col min="10784" max="10784" width="2.28515625" style="252" customWidth="1"/>
    <col min="10785" max="10785" width="13.5703125" style="252" customWidth="1"/>
    <col min="10786" max="10786" width="2.28515625" style="252" customWidth="1"/>
    <col min="10787" max="10787" width="13.5703125" style="252" customWidth="1"/>
    <col min="10788" max="10788" width="2.28515625" style="252" customWidth="1"/>
    <col min="10789" max="10789" width="13.5703125" style="252" customWidth="1"/>
    <col min="10790" max="10790" width="2.28515625" style="252" customWidth="1"/>
    <col min="10791" max="10791" width="13.5703125" style="252" customWidth="1"/>
    <col min="10792" max="10792" width="2.28515625" style="252" customWidth="1"/>
    <col min="10793" max="10793" width="13.5703125" style="252" customWidth="1"/>
    <col min="10794" max="10794" width="3.42578125" style="252" customWidth="1"/>
    <col min="10795" max="11008" width="9.140625" style="252"/>
    <col min="11009" max="11009" width="3.5703125" style="252" customWidth="1"/>
    <col min="11010" max="11010" width="6.7109375" style="252" bestFit="1" customWidth="1"/>
    <col min="11011" max="11011" width="12" style="252" bestFit="1" customWidth="1"/>
    <col min="11012" max="11012" width="40.28515625" style="252" bestFit="1" customWidth="1"/>
    <col min="11013" max="11013" width="2.28515625" style="252" customWidth="1"/>
    <col min="11014" max="11014" width="13.5703125" style="252" customWidth="1"/>
    <col min="11015" max="11015" width="2.28515625" style="252" customWidth="1"/>
    <col min="11016" max="11016" width="13.5703125" style="252" customWidth="1"/>
    <col min="11017" max="11017" width="2.28515625" style="252" customWidth="1"/>
    <col min="11018" max="11018" width="13.5703125" style="252" customWidth="1"/>
    <col min="11019" max="11019" width="2.28515625" style="252" customWidth="1"/>
    <col min="11020" max="11020" width="13.5703125" style="252" customWidth="1"/>
    <col min="11021" max="11021" width="2.28515625" style="252" customWidth="1"/>
    <col min="11022" max="11022" width="13.5703125" style="252" customWidth="1"/>
    <col min="11023" max="11023" width="2.28515625" style="252" customWidth="1"/>
    <col min="11024" max="11024" width="13.5703125" style="252" customWidth="1"/>
    <col min="11025" max="11025" width="2.28515625" style="252" customWidth="1"/>
    <col min="11026" max="11026" width="13.5703125" style="252" customWidth="1"/>
    <col min="11027" max="11027" width="2.28515625" style="252" customWidth="1"/>
    <col min="11028" max="11028" width="13.5703125" style="252" customWidth="1"/>
    <col min="11029" max="11029" width="4" style="252" customWidth="1"/>
    <col min="11030" max="11030" width="3.5703125" style="252" customWidth="1"/>
    <col min="11031" max="11031" width="6.7109375" style="252" bestFit="1" customWidth="1"/>
    <col min="11032" max="11032" width="12.7109375" style="252" bestFit="1" customWidth="1"/>
    <col min="11033" max="11033" width="40.28515625" style="252" bestFit="1" customWidth="1"/>
    <col min="11034" max="11034" width="2.28515625" style="252" customWidth="1"/>
    <col min="11035" max="11035" width="13.5703125" style="252" customWidth="1"/>
    <col min="11036" max="11036" width="2.28515625" style="252" customWidth="1"/>
    <col min="11037" max="11037" width="13.5703125" style="252" customWidth="1"/>
    <col min="11038" max="11038" width="2.28515625" style="252" customWidth="1"/>
    <col min="11039" max="11039" width="13.5703125" style="252" customWidth="1"/>
    <col min="11040" max="11040" width="2.28515625" style="252" customWidth="1"/>
    <col min="11041" max="11041" width="13.5703125" style="252" customWidth="1"/>
    <col min="11042" max="11042" width="2.28515625" style="252" customWidth="1"/>
    <col min="11043" max="11043" width="13.5703125" style="252" customWidth="1"/>
    <col min="11044" max="11044" width="2.28515625" style="252" customWidth="1"/>
    <col min="11045" max="11045" width="13.5703125" style="252" customWidth="1"/>
    <col min="11046" max="11046" width="2.28515625" style="252" customWidth="1"/>
    <col min="11047" max="11047" width="13.5703125" style="252" customWidth="1"/>
    <col min="11048" max="11048" width="2.28515625" style="252" customWidth="1"/>
    <col min="11049" max="11049" width="13.5703125" style="252" customWidth="1"/>
    <col min="11050" max="11050" width="3.42578125" style="252" customWidth="1"/>
    <col min="11051" max="11264" width="9.140625" style="252"/>
    <col min="11265" max="11265" width="3.5703125" style="252" customWidth="1"/>
    <col min="11266" max="11266" width="6.7109375" style="252" bestFit="1" customWidth="1"/>
    <col min="11267" max="11267" width="12" style="252" bestFit="1" customWidth="1"/>
    <col min="11268" max="11268" width="40.28515625" style="252" bestFit="1" customWidth="1"/>
    <col min="11269" max="11269" width="2.28515625" style="252" customWidth="1"/>
    <col min="11270" max="11270" width="13.5703125" style="252" customWidth="1"/>
    <col min="11271" max="11271" width="2.28515625" style="252" customWidth="1"/>
    <col min="11272" max="11272" width="13.5703125" style="252" customWidth="1"/>
    <col min="11273" max="11273" width="2.28515625" style="252" customWidth="1"/>
    <col min="11274" max="11274" width="13.5703125" style="252" customWidth="1"/>
    <col min="11275" max="11275" width="2.28515625" style="252" customWidth="1"/>
    <col min="11276" max="11276" width="13.5703125" style="252" customWidth="1"/>
    <col min="11277" max="11277" width="2.28515625" style="252" customWidth="1"/>
    <col min="11278" max="11278" width="13.5703125" style="252" customWidth="1"/>
    <col min="11279" max="11279" width="2.28515625" style="252" customWidth="1"/>
    <col min="11280" max="11280" width="13.5703125" style="252" customWidth="1"/>
    <col min="11281" max="11281" width="2.28515625" style="252" customWidth="1"/>
    <col min="11282" max="11282" width="13.5703125" style="252" customWidth="1"/>
    <col min="11283" max="11283" width="2.28515625" style="252" customWidth="1"/>
    <col min="11284" max="11284" width="13.5703125" style="252" customWidth="1"/>
    <col min="11285" max="11285" width="4" style="252" customWidth="1"/>
    <col min="11286" max="11286" width="3.5703125" style="252" customWidth="1"/>
    <col min="11287" max="11287" width="6.7109375" style="252" bestFit="1" customWidth="1"/>
    <col min="11288" max="11288" width="12.7109375" style="252" bestFit="1" customWidth="1"/>
    <col min="11289" max="11289" width="40.28515625" style="252" bestFit="1" customWidth="1"/>
    <col min="11290" max="11290" width="2.28515625" style="252" customWidth="1"/>
    <col min="11291" max="11291" width="13.5703125" style="252" customWidth="1"/>
    <col min="11292" max="11292" width="2.28515625" style="252" customWidth="1"/>
    <col min="11293" max="11293" width="13.5703125" style="252" customWidth="1"/>
    <col min="11294" max="11294" width="2.28515625" style="252" customWidth="1"/>
    <col min="11295" max="11295" width="13.5703125" style="252" customWidth="1"/>
    <col min="11296" max="11296" width="2.28515625" style="252" customWidth="1"/>
    <col min="11297" max="11297" width="13.5703125" style="252" customWidth="1"/>
    <col min="11298" max="11298" width="2.28515625" style="252" customWidth="1"/>
    <col min="11299" max="11299" width="13.5703125" style="252" customWidth="1"/>
    <col min="11300" max="11300" width="2.28515625" style="252" customWidth="1"/>
    <col min="11301" max="11301" width="13.5703125" style="252" customWidth="1"/>
    <col min="11302" max="11302" width="2.28515625" style="252" customWidth="1"/>
    <col min="11303" max="11303" width="13.5703125" style="252" customWidth="1"/>
    <col min="11304" max="11304" width="2.28515625" style="252" customWidth="1"/>
    <col min="11305" max="11305" width="13.5703125" style="252" customWidth="1"/>
    <col min="11306" max="11306" width="3.42578125" style="252" customWidth="1"/>
    <col min="11307" max="11520" width="9.140625" style="252"/>
    <col min="11521" max="11521" width="3.5703125" style="252" customWidth="1"/>
    <col min="11522" max="11522" width="6.7109375" style="252" bestFit="1" customWidth="1"/>
    <col min="11523" max="11523" width="12" style="252" bestFit="1" customWidth="1"/>
    <col min="11524" max="11524" width="40.28515625" style="252" bestFit="1" customWidth="1"/>
    <col min="11525" max="11525" width="2.28515625" style="252" customWidth="1"/>
    <col min="11526" max="11526" width="13.5703125" style="252" customWidth="1"/>
    <col min="11527" max="11527" width="2.28515625" style="252" customWidth="1"/>
    <col min="11528" max="11528" width="13.5703125" style="252" customWidth="1"/>
    <col min="11529" max="11529" width="2.28515625" style="252" customWidth="1"/>
    <col min="11530" max="11530" width="13.5703125" style="252" customWidth="1"/>
    <col min="11531" max="11531" width="2.28515625" style="252" customWidth="1"/>
    <col min="11532" max="11532" width="13.5703125" style="252" customWidth="1"/>
    <col min="11533" max="11533" width="2.28515625" style="252" customWidth="1"/>
    <col min="11534" max="11534" width="13.5703125" style="252" customWidth="1"/>
    <col min="11535" max="11535" width="2.28515625" style="252" customWidth="1"/>
    <col min="11536" max="11536" width="13.5703125" style="252" customWidth="1"/>
    <col min="11537" max="11537" width="2.28515625" style="252" customWidth="1"/>
    <col min="11538" max="11538" width="13.5703125" style="252" customWidth="1"/>
    <col min="11539" max="11539" width="2.28515625" style="252" customWidth="1"/>
    <col min="11540" max="11540" width="13.5703125" style="252" customWidth="1"/>
    <col min="11541" max="11541" width="4" style="252" customWidth="1"/>
    <col min="11542" max="11542" width="3.5703125" style="252" customWidth="1"/>
    <col min="11543" max="11543" width="6.7109375" style="252" bestFit="1" customWidth="1"/>
    <col min="11544" max="11544" width="12.7109375" style="252" bestFit="1" customWidth="1"/>
    <col min="11545" max="11545" width="40.28515625" style="252" bestFit="1" customWidth="1"/>
    <col min="11546" max="11546" width="2.28515625" style="252" customWidth="1"/>
    <col min="11547" max="11547" width="13.5703125" style="252" customWidth="1"/>
    <col min="11548" max="11548" width="2.28515625" style="252" customWidth="1"/>
    <col min="11549" max="11549" width="13.5703125" style="252" customWidth="1"/>
    <col min="11550" max="11550" width="2.28515625" style="252" customWidth="1"/>
    <col min="11551" max="11551" width="13.5703125" style="252" customWidth="1"/>
    <col min="11552" max="11552" width="2.28515625" style="252" customWidth="1"/>
    <col min="11553" max="11553" width="13.5703125" style="252" customWidth="1"/>
    <col min="11554" max="11554" width="2.28515625" style="252" customWidth="1"/>
    <col min="11555" max="11555" width="13.5703125" style="252" customWidth="1"/>
    <col min="11556" max="11556" width="2.28515625" style="252" customWidth="1"/>
    <col min="11557" max="11557" width="13.5703125" style="252" customWidth="1"/>
    <col min="11558" max="11558" width="2.28515625" style="252" customWidth="1"/>
    <col min="11559" max="11559" width="13.5703125" style="252" customWidth="1"/>
    <col min="11560" max="11560" width="2.28515625" style="252" customWidth="1"/>
    <col min="11561" max="11561" width="13.5703125" style="252" customWidth="1"/>
    <col min="11562" max="11562" width="3.42578125" style="252" customWidth="1"/>
    <col min="11563" max="11776" width="9.140625" style="252"/>
    <col min="11777" max="11777" width="3.5703125" style="252" customWidth="1"/>
    <col min="11778" max="11778" width="6.7109375" style="252" bestFit="1" customWidth="1"/>
    <col min="11779" max="11779" width="12" style="252" bestFit="1" customWidth="1"/>
    <col min="11780" max="11780" width="40.28515625" style="252" bestFit="1" customWidth="1"/>
    <col min="11781" max="11781" width="2.28515625" style="252" customWidth="1"/>
    <col min="11782" max="11782" width="13.5703125" style="252" customWidth="1"/>
    <col min="11783" max="11783" width="2.28515625" style="252" customWidth="1"/>
    <col min="11784" max="11784" width="13.5703125" style="252" customWidth="1"/>
    <col min="11785" max="11785" width="2.28515625" style="252" customWidth="1"/>
    <col min="11786" max="11786" width="13.5703125" style="252" customWidth="1"/>
    <col min="11787" max="11787" width="2.28515625" style="252" customWidth="1"/>
    <col min="11788" max="11788" width="13.5703125" style="252" customWidth="1"/>
    <col min="11789" max="11789" width="2.28515625" style="252" customWidth="1"/>
    <col min="11790" max="11790" width="13.5703125" style="252" customWidth="1"/>
    <col min="11791" max="11791" width="2.28515625" style="252" customWidth="1"/>
    <col min="11792" max="11792" width="13.5703125" style="252" customWidth="1"/>
    <col min="11793" max="11793" width="2.28515625" style="252" customWidth="1"/>
    <col min="11794" max="11794" width="13.5703125" style="252" customWidth="1"/>
    <col min="11795" max="11795" width="2.28515625" style="252" customWidth="1"/>
    <col min="11796" max="11796" width="13.5703125" style="252" customWidth="1"/>
    <col min="11797" max="11797" width="4" style="252" customWidth="1"/>
    <col min="11798" max="11798" width="3.5703125" style="252" customWidth="1"/>
    <col min="11799" max="11799" width="6.7109375" style="252" bestFit="1" customWidth="1"/>
    <col min="11800" max="11800" width="12.7109375" style="252" bestFit="1" customWidth="1"/>
    <col min="11801" max="11801" width="40.28515625" style="252" bestFit="1" customWidth="1"/>
    <col min="11802" max="11802" width="2.28515625" style="252" customWidth="1"/>
    <col min="11803" max="11803" width="13.5703125" style="252" customWidth="1"/>
    <col min="11804" max="11804" width="2.28515625" style="252" customWidth="1"/>
    <col min="11805" max="11805" width="13.5703125" style="252" customWidth="1"/>
    <col min="11806" max="11806" width="2.28515625" style="252" customWidth="1"/>
    <col min="11807" max="11807" width="13.5703125" style="252" customWidth="1"/>
    <col min="11808" max="11808" width="2.28515625" style="252" customWidth="1"/>
    <col min="11809" max="11809" width="13.5703125" style="252" customWidth="1"/>
    <col min="11810" max="11810" width="2.28515625" style="252" customWidth="1"/>
    <col min="11811" max="11811" width="13.5703125" style="252" customWidth="1"/>
    <col min="11812" max="11812" width="2.28515625" style="252" customWidth="1"/>
    <col min="11813" max="11813" width="13.5703125" style="252" customWidth="1"/>
    <col min="11814" max="11814" width="2.28515625" style="252" customWidth="1"/>
    <col min="11815" max="11815" width="13.5703125" style="252" customWidth="1"/>
    <col min="11816" max="11816" width="2.28515625" style="252" customWidth="1"/>
    <col min="11817" max="11817" width="13.5703125" style="252" customWidth="1"/>
    <col min="11818" max="11818" width="3.42578125" style="252" customWidth="1"/>
    <col min="11819" max="12032" width="9.140625" style="252"/>
    <col min="12033" max="12033" width="3.5703125" style="252" customWidth="1"/>
    <col min="12034" max="12034" width="6.7109375" style="252" bestFit="1" customWidth="1"/>
    <col min="12035" max="12035" width="12" style="252" bestFit="1" customWidth="1"/>
    <col min="12036" max="12036" width="40.28515625" style="252" bestFit="1" customWidth="1"/>
    <col min="12037" max="12037" width="2.28515625" style="252" customWidth="1"/>
    <col min="12038" max="12038" width="13.5703125" style="252" customWidth="1"/>
    <col min="12039" max="12039" width="2.28515625" style="252" customWidth="1"/>
    <col min="12040" max="12040" width="13.5703125" style="252" customWidth="1"/>
    <col min="12041" max="12041" width="2.28515625" style="252" customWidth="1"/>
    <col min="12042" max="12042" width="13.5703125" style="252" customWidth="1"/>
    <col min="12043" max="12043" width="2.28515625" style="252" customWidth="1"/>
    <col min="12044" max="12044" width="13.5703125" style="252" customWidth="1"/>
    <col min="12045" max="12045" width="2.28515625" style="252" customWidth="1"/>
    <col min="12046" max="12046" width="13.5703125" style="252" customWidth="1"/>
    <col min="12047" max="12047" width="2.28515625" style="252" customWidth="1"/>
    <col min="12048" max="12048" width="13.5703125" style="252" customWidth="1"/>
    <col min="12049" max="12049" width="2.28515625" style="252" customWidth="1"/>
    <col min="12050" max="12050" width="13.5703125" style="252" customWidth="1"/>
    <col min="12051" max="12051" width="2.28515625" style="252" customWidth="1"/>
    <col min="12052" max="12052" width="13.5703125" style="252" customWidth="1"/>
    <col min="12053" max="12053" width="4" style="252" customWidth="1"/>
    <col min="12054" max="12054" width="3.5703125" style="252" customWidth="1"/>
    <col min="12055" max="12055" width="6.7109375" style="252" bestFit="1" customWidth="1"/>
    <col min="12056" max="12056" width="12.7109375" style="252" bestFit="1" customWidth="1"/>
    <col min="12057" max="12057" width="40.28515625" style="252" bestFit="1" customWidth="1"/>
    <col min="12058" max="12058" width="2.28515625" style="252" customWidth="1"/>
    <col min="12059" max="12059" width="13.5703125" style="252" customWidth="1"/>
    <col min="12060" max="12060" width="2.28515625" style="252" customWidth="1"/>
    <col min="12061" max="12061" width="13.5703125" style="252" customWidth="1"/>
    <col min="12062" max="12062" width="2.28515625" style="252" customWidth="1"/>
    <col min="12063" max="12063" width="13.5703125" style="252" customWidth="1"/>
    <col min="12064" max="12064" width="2.28515625" style="252" customWidth="1"/>
    <col min="12065" max="12065" width="13.5703125" style="252" customWidth="1"/>
    <col min="12066" max="12066" width="2.28515625" style="252" customWidth="1"/>
    <col min="12067" max="12067" width="13.5703125" style="252" customWidth="1"/>
    <col min="12068" max="12068" width="2.28515625" style="252" customWidth="1"/>
    <col min="12069" max="12069" width="13.5703125" style="252" customWidth="1"/>
    <col min="12070" max="12070" width="2.28515625" style="252" customWidth="1"/>
    <col min="12071" max="12071" width="13.5703125" style="252" customWidth="1"/>
    <col min="12072" max="12072" width="2.28515625" style="252" customWidth="1"/>
    <col min="12073" max="12073" width="13.5703125" style="252" customWidth="1"/>
    <col min="12074" max="12074" width="3.42578125" style="252" customWidth="1"/>
    <col min="12075" max="12288" width="9.140625" style="252"/>
    <col min="12289" max="12289" width="3.5703125" style="252" customWidth="1"/>
    <col min="12290" max="12290" width="6.7109375" style="252" bestFit="1" customWidth="1"/>
    <col min="12291" max="12291" width="12" style="252" bestFit="1" customWidth="1"/>
    <col min="12292" max="12292" width="40.28515625" style="252" bestFit="1" customWidth="1"/>
    <col min="12293" max="12293" width="2.28515625" style="252" customWidth="1"/>
    <col min="12294" max="12294" width="13.5703125" style="252" customWidth="1"/>
    <col min="12295" max="12295" width="2.28515625" style="252" customWidth="1"/>
    <col min="12296" max="12296" width="13.5703125" style="252" customWidth="1"/>
    <col min="12297" max="12297" width="2.28515625" style="252" customWidth="1"/>
    <col min="12298" max="12298" width="13.5703125" style="252" customWidth="1"/>
    <col min="12299" max="12299" width="2.28515625" style="252" customWidth="1"/>
    <col min="12300" max="12300" width="13.5703125" style="252" customWidth="1"/>
    <col min="12301" max="12301" width="2.28515625" style="252" customWidth="1"/>
    <col min="12302" max="12302" width="13.5703125" style="252" customWidth="1"/>
    <col min="12303" max="12303" width="2.28515625" style="252" customWidth="1"/>
    <col min="12304" max="12304" width="13.5703125" style="252" customWidth="1"/>
    <col min="12305" max="12305" width="2.28515625" style="252" customWidth="1"/>
    <col min="12306" max="12306" width="13.5703125" style="252" customWidth="1"/>
    <col min="12307" max="12307" width="2.28515625" style="252" customWidth="1"/>
    <col min="12308" max="12308" width="13.5703125" style="252" customWidth="1"/>
    <col min="12309" max="12309" width="4" style="252" customWidth="1"/>
    <col min="12310" max="12310" width="3.5703125" style="252" customWidth="1"/>
    <col min="12311" max="12311" width="6.7109375" style="252" bestFit="1" customWidth="1"/>
    <col min="12312" max="12312" width="12.7109375" style="252" bestFit="1" customWidth="1"/>
    <col min="12313" max="12313" width="40.28515625" style="252" bestFit="1" customWidth="1"/>
    <col min="12314" max="12314" width="2.28515625" style="252" customWidth="1"/>
    <col min="12315" max="12315" width="13.5703125" style="252" customWidth="1"/>
    <col min="12316" max="12316" width="2.28515625" style="252" customWidth="1"/>
    <col min="12317" max="12317" width="13.5703125" style="252" customWidth="1"/>
    <col min="12318" max="12318" width="2.28515625" style="252" customWidth="1"/>
    <col min="12319" max="12319" width="13.5703125" style="252" customWidth="1"/>
    <col min="12320" max="12320" width="2.28515625" style="252" customWidth="1"/>
    <col min="12321" max="12321" width="13.5703125" style="252" customWidth="1"/>
    <col min="12322" max="12322" width="2.28515625" style="252" customWidth="1"/>
    <col min="12323" max="12323" width="13.5703125" style="252" customWidth="1"/>
    <col min="12324" max="12324" width="2.28515625" style="252" customWidth="1"/>
    <col min="12325" max="12325" width="13.5703125" style="252" customWidth="1"/>
    <col min="12326" max="12326" width="2.28515625" style="252" customWidth="1"/>
    <col min="12327" max="12327" width="13.5703125" style="252" customWidth="1"/>
    <col min="12328" max="12328" width="2.28515625" style="252" customWidth="1"/>
    <col min="12329" max="12329" width="13.5703125" style="252" customWidth="1"/>
    <col min="12330" max="12330" width="3.42578125" style="252" customWidth="1"/>
    <col min="12331" max="12544" width="9.140625" style="252"/>
    <col min="12545" max="12545" width="3.5703125" style="252" customWidth="1"/>
    <col min="12546" max="12546" width="6.7109375" style="252" bestFit="1" customWidth="1"/>
    <col min="12547" max="12547" width="12" style="252" bestFit="1" customWidth="1"/>
    <col min="12548" max="12548" width="40.28515625" style="252" bestFit="1" customWidth="1"/>
    <col min="12549" max="12549" width="2.28515625" style="252" customWidth="1"/>
    <col min="12550" max="12550" width="13.5703125" style="252" customWidth="1"/>
    <col min="12551" max="12551" width="2.28515625" style="252" customWidth="1"/>
    <col min="12552" max="12552" width="13.5703125" style="252" customWidth="1"/>
    <col min="12553" max="12553" width="2.28515625" style="252" customWidth="1"/>
    <col min="12554" max="12554" width="13.5703125" style="252" customWidth="1"/>
    <col min="12555" max="12555" width="2.28515625" style="252" customWidth="1"/>
    <col min="12556" max="12556" width="13.5703125" style="252" customWidth="1"/>
    <col min="12557" max="12557" width="2.28515625" style="252" customWidth="1"/>
    <col min="12558" max="12558" width="13.5703125" style="252" customWidth="1"/>
    <col min="12559" max="12559" width="2.28515625" style="252" customWidth="1"/>
    <col min="12560" max="12560" width="13.5703125" style="252" customWidth="1"/>
    <col min="12561" max="12561" width="2.28515625" style="252" customWidth="1"/>
    <col min="12562" max="12562" width="13.5703125" style="252" customWidth="1"/>
    <col min="12563" max="12563" width="2.28515625" style="252" customWidth="1"/>
    <col min="12564" max="12564" width="13.5703125" style="252" customWidth="1"/>
    <col min="12565" max="12565" width="4" style="252" customWidth="1"/>
    <col min="12566" max="12566" width="3.5703125" style="252" customWidth="1"/>
    <col min="12567" max="12567" width="6.7109375" style="252" bestFit="1" customWidth="1"/>
    <col min="12568" max="12568" width="12.7109375" style="252" bestFit="1" customWidth="1"/>
    <col min="12569" max="12569" width="40.28515625" style="252" bestFit="1" customWidth="1"/>
    <col min="12570" max="12570" width="2.28515625" style="252" customWidth="1"/>
    <col min="12571" max="12571" width="13.5703125" style="252" customWidth="1"/>
    <col min="12572" max="12572" width="2.28515625" style="252" customWidth="1"/>
    <col min="12573" max="12573" width="13.5703125" style="252" customWidth="1"/>
    <col min="12574" max="12574" width="2.28515625" style="252" customWidth="1"/>
    <col min="12575" max="12575" width="13.5703125" style="252" customWidth="1"/>
    <col min="12576" max="12576" width="2.28515625" style="252" customWidth="1"/>
    <col min="12577" max="12577" width="13.5703125" style="252" customWidth="1"/>
    <col min="12578" max="12578" width="2.28515625" style="252" customWidth="1"/>
    <col min="12579" max="12579" width="13.5703125" style="252" customWidth="1"/>
    <col min="12580" max="12580" width="2.28515625" style="252" customWidth="1"/>
    <col min="12581" max="12581" width="13.5703125" style="252" customWidth="1"/>
    <col min="12582" max="12582" width="2.28515625" style="252" customWidth="1"/>
    <col min="12583" max="12583" width="13.5703125" style="252" customWidth="1"/>
    <col min="12584" max="12584" width="2.28515625" style="252" customWidth="1"/>
    <col min="12585" max="12585" width="13.5703125" style="252" customWidth="1"/>
    <col min="12586" max="12586" width="3.42578125" style="252" customWidth="1"/>
    <col min="12587" max="12800" width="9.140625" style="252"/>
    <col min="12801" max="12801" width="3.5703125" style="252" customWidth="1"/>
    <col min="12802" max="12802" width="6.7109375" style="252" bestFit="1" customWidth="1"/>
    <col min="12803" max="12803" width="12" style="252" bestFit="1" customWidth="1"/>
    <col min="12804" max="12804" width="40.28515625" style="252" bestFit="1" customWidth="1"/>
    <col min="12805" max="12805" width="2.28515625" style="252" customWidth="1"/>
    <col min="12806" max="12806" width="13.5703125" style="252" customWidth="1"/>
    <col min="12807" max="12807" width="2.28515625" style="252" customWidth="1"/>
    <col min="12808" max="12808" width="13.5703125" style="252" customWidth="1"/>
    <col min="12809" max="12809" width="2.28515625" style="252" customWidth="1"/>
    <col min="12810" max="12810" width="13.5703125" style="252" customWidth="1"/>
    <col min="12811" max="12811" width="2.28515625" style="252" customWidth="1"/>
    <col min="12812" max="12812" width="13.5703125" style="252" customWidth="1"/>
    <col min="12813" max="12813" width="2.28515625" style="252" customWidth="1"/>
    <col min="12814" max="12814" width="13.5703125" style="252" customWidth="1"/>
    <col min="12815" max="12815" width="2.28515625" style="252" customWidth="1"/>
    <col min="12816" max="12816" width="13.5703125" style="252" customWidth="1"/>
    <col min="12817" max="12817" width="2.28515625" style="252" customWidth="1"/>
    <col min="12818" max="12818" width="13.5703125" style="252" customWidth="1"/>
    <col min="12819" max="12819" width="2.28515625" style="252" customWidth="1"/>
    <col min="12820" max="12820" width="13.5703125" style="252" customWidth="1"/>
    <col min="12821" max="12821" width="4" style="252" customWidth="1"/>
    <col min="12822" max="12822" width="3.5703125" style="252" customWidth="1"/>
    <col min="12823" max="12823" width="6.7109375" style="252" bestFit="1" customWidth="1"/>
    <col min="12824" max="12824" width="12.7109375" style="252" bestFit="1" customWidth="1"/>
    <col min="12825" max="12825" width="40.28515625" style="252" bestFit="1" customWidth="1"/>
    <col min="12826" max="12826" width="2.28515625" style="252" customWidth="1"/>
    <col min="12827" max="12827" width="13.5703125" style="252" customWidth="1"/>
    <col min="12828" max="12828" width="2.28515625" style="252" customWidth="1"/>
    <col min="12829" max="12829" width="13.5703125" style="252" customWidth="1"/>
    <col min="12830" max="12830" width="2.28515625" style="252" customWidth="1"/>
    <col min="12831" max="12831" width="13.5703125" style="252" customWidth="1"/>
    <col min="12832" max="12832" width="2.28515625" style="252" customWidth="1"/>
    <col min="12833" max="12833" width="13.5703125" style="252" customWidth="1"/>
    <col min="12834" max="12834" width="2.28515625" style="252" customWidth="1"/>
    <col min="12835" max="12835" width="13.5703125" style="252" customWidth="1"/>
    <col min="12836" max="12836" width="2.28515625" style="252" customWidth="1"/>
    <col min="12837" max="12837" width="13.5703125" style="252" customWidth="1"/>
    <col min="12838" max="12838" width="2.28515625" style="252" customWidth="1"/>
    <col min="12839" max="12839" width="13.5703125" style="252" customWidth="1"/>
    <col min="12840" max="12840" width="2.28515625" style="252" customWidth="1"/>
    <col min="12841" max="12841" width="13.5703125" style="252" customWidth="1"/>
    <col min="12842" max="12842" width="3.42578125" style="252" customWidth="1"/>
    <col min="12843" max="13056" width="9.140625" style="252"/>
    <col min="13057" max="13057" width="3.5703125" style="252" customWidth="1"/>
    <col min="13058" max="13058" width="6.7109375" style="252" bestFit="1" customWidth="1"/>
    <col min="13059" max="13059" width="12" style="252" bestFit="1" customWidth="1"/>
    <col min="13060" max="13060" width="40.28515625" style="252" bestFit="1" customWidth="1"/>
    <col min="13061" max="13061" width="2.28515625" style="252" customWidth="1"/>
    <col min="13062" max="13062" width="13.5703125" style="252" customWidth="1"/>
    <col min="13063" max="13063" width="2.28515625" style="252" customWidth="1"/>
    <col min="13064" max="13064" width="13.5703125" style="252" customWidth="1"/>
    <col min="13065" max="13065" width="2.28515625" style="252" customWidth="1"/>
    <col min="13066" max="13066" width="13.5703125" style="252" customWidth="1"/>
    <col min="13067" max="13067" width="2.28515625" style="252" customWidth="1"/>
    <col min="13068" max="13068" width="13.5703125" style="252" customWidth="1"/>
    <col min="13069" max="13069" width="2.28515625" style="252" customWidth="1"/>
    <col min="13070" max="13070" width="13.5703125" style="252" customWidth="1"/>
    <col min="13071" max="13071" width="2.28515625" style="252" customWidth="1"/>
    <col min="13072" max="13072" width="13.5703125" style="252" customWidth="1"/>
    <col min="13073" max="13073" width="2.28515625" style="252" customWidth="1"/>
    <col min="13074" max="13074" width="13.5703125" style="252" customWidth="1"/>
    <col min="13075" max="13075" width="2.28515625" style="252" customWidth="1"/>
    <col min="13076" max="13076" width="13.5703125" style="252" customWidth="1"/>
    <col min="13077" max="13077" width="4" style="252" customWidth="1"/>
    <col min="13078" max="13078" width="3.5703125" style="252" customWidth="1"/>
    <col min="13079" max="13079" width="6.7109375" style="252" bestFit="1" customWidth="1"/>
    <col min="13080" max="13080" width="12.7109375" style="252" bestFit="1" customWidth="1"/>
    <col min="13081" max="13081" width="40.28515625" style="252" bestFit="1" customWidth="1"/>
    <col min="13082" max="13082" width="2.28515625" style="252" customWidth="1"/>
    <col min="13083" max="13083" width="13.5703125" style="252" customWidth="1"/>
    <col min="13084" max="13084" width="2.28515625" style="252" customWidth="1"/>
    <col min="13085" max="13085" width="13.5703125" style="252" customWidth="1"/>
    <col min="13086" max="13086" width="2.28515625" style="252" customWidth="1"/>
    <col min="13087" max="13087" width="13.5703125" style="252" customWidth="1"/>
    <col min="13088" max="13088" width="2.28515625" style="252" customWidth="1"/>
    <col min="13089" max="13089" width="13.5703125" style="252" customWidth="1"/>
    <col min="13090" max="13090" width="2.28515625" style="252" customWidth="1"/>
    <col min="13091" max="13091" width="13.5703125" style="252" customWidth="1"/>
    <col min="13092" max="13092" width="2.28515625" style="252" customWidth="1"/>
    <col min="13093" max="13093" width="13.5703125" style="252" customWidth="1"/>
    <col min="13094" max="13094" width="2.28515625" style="252" customWidth="1"/>
    <col min="13095" max="13095" width="13.5703125" style="252" customWidth="1"/>
    <col min="13096" max="13096" width="2.28515625" style="252" customWidth="1"/>
    <col min="13097" max="13097" width="13.5703125" style="252" customWidth="1"/>
    <col min="13098" max="13098" width="3.42578125" style="252" customWidth="1"/>
    <col min="13099" max="13312" width="9.140625" style="252"/>
    <col min="13313" max="13313" width="3.5703125" style="252" customWidth="1"/>
    <col min="13314" max="13314" width="6.7109375" style="252" bestFit="1" customWidth="1"/>
    <col min="13315" max="13315" width="12" style="252" bestFit="1" customWidth="1"/>
    <col min="13316" max="13316" width="40.28515625" style="252" bestFit="1" customWidth="1"/>
    <col min="13317" max="13317" width="2.28515625" style="252" customWidth="1"/>
    <col min="13318" max="13318" width="13.5703125" style="252" customWidth="1"/>
    <col min="13319" max="13319" width="2.28515625" style="252" customWidth="1"/>
    <col min="13320" max="13320" width="13.5703125" style="252" customWidth="1"/>
    <col min="13321" max="13321" width="2.28515625" style="252" customWidth="1"/>
    <col min="13322" max="13322" width="13.5703125" style="252" customWidth="1"/>
    <col min="13323" max="13323" width="2.28515625" style="252" customWidth="1"/>
    <col min="13324" max="13324" width="13.5703125" style="252" customWidth="1"/>
    <col min="13325" max="13325" width="2.28515625" style="252" customWidth="1"/>
    <col min="13326" max="13326" width="13.5703125" style="252" customWidth="1"/>
    <col min="13327" max="13327" width="2.28515625" style="252" customWidth="1"/>
    <col min="13328" max="13328" width="13.5703125" style="252" customWidth="1"/>
    <col min="13329" max="13329" width="2.28515625" style="252" customWidth="1"/>
    <col min="13330" max="13330" width="13.5703125" style="252" customWidth="1"/>
    <col min="13331" max="13331" width="2.28515625" style="252" customWidth="1"/>
    <col min="13332" max="13332" width="13.5703125" style="252" customWidth="1"/>
    <col min="13333" max="13333" width="4" style="252" customWidth="1"/>
    <col min="13334" max="13334" width="3.5703125" style="252" customWidth="1"/>
    <col min="13335" max="13335" width="6.7109375" style="252" bestFit="1" customWidth="1"/>
    <col min="13336" max="13336" width="12.7109375" style="252" bestFit="1" customWidth="1"/>
    <col min="13337" max="13337" width="40.28515625" style="252" bestFit="1" customWidth="1"/>
    <col min="13338" max="13338" width="2.28515625" style="252" customWidth="1"/>
    <col min="13339" max="13339" width="13.5703125" style="252" customWidth="1"/>
    <col min="13340" max="13340" width="2.28515625" style="252" customWidth="1"/>
    <col min="13341" max="13341" width="13.5703125" style="252" customWidth="1"/>
    <col min="13342" max="13342" width="2.28515625" style="252" customWidth="1"/>
    <col min="13343" max="13343" width="13.5703125" style="252" customWidth="1"/>
    <col min="13344" max="13344" width="2.28515625" style="252" customWidth="1"/>
    <col min="13345" max="13345" width="13.5703125" style="252" customWidth="1"/>
    <col min="13346" max="13346" width="2.28515625" style="252" customWidth="1"/>
    <col min="13347" max="13347" width="13.5703125" style="252" customWidth="1"/>
    <col min="13348" max="13348" width="2.28515625" style="252" customWidth="1"/>
    <col min="13349" max="13349" width="13.5703125" style="252" customWidth="1"/>
    <col min="13350" max="13350" width="2.28515625" style="252" customWidth="1"/>
    <col min="13351" max="13351" width="13.5703125" style="252" customWidth="1"/>
    <col min="13352" max="13352" width="2.28515625" style="252" customWidth="1"/>
    <col min="13353" max="13353" width="13.5703125" style="252" customWidth="1"/>
    <col min="13354" max="13354" width="3.42578125" style="252" customWidth="1"/>
    <col min="13355" max="13568" width="9.140625" style="252"/>
    <col min="13569" max="13569" width="3.5703125" style="252" customWidth="1"/>
    <col min="13570" max="13570" width="6.7109375" style="252" bestFit="1" customWidth="1"/>
    <col min="13571" max="13571" width="12" style="252" bestFit="1" customWidth="1"/>
    <col min="13572" max="13572" width="40.28515625" style="252" bestFit="1" customWidth="1"/>
    <col min="13573" max="13573" width="2.28515625" style="252" customWidth="1"/>
    <col min="13574" max="13574" width="13.5703125" style="252" customWidth="1"/>
    <col min="13575" max="13575" width="2.28515625" style="252" customWidth="1"/>
    <col min="13576" max="13576" width="13.5703125" style="252" customWidth="1"/>
    <col min="13577" max="13577" width="2.28515625" style="252" customWidth="1"/>
    <col min="13578" max="13578" width="13.5703125" style="252" customWidth="1"/>
    <col min="13579" max="13579" width="2.28515625" style="252" customWidth="1"/>
    <col min="13580" max="13580" width="13.5703125" style="252" customWidth="1"/>
    <col min="13581" max="13581" width="2.28515625" style="252" customWidth="1"/>
    <col min="13582" max="13582" width="13.5703125" style="252" customWidth="1"/>
    <col min="13583" max="13583" width="2.28515625" style="252" customWidth="1"/>
    <col min="13584" max="13584" width="13.5703125" style="252" customWidth="1"/>
    <col min="13585" max="13585" width="2.28515625" style="252" customWidth="1"/>
    <col min="13586" max="13586" width="13.5703125" style="252" customWidth="1"/>
    <col min="13587" max="13587" width="2.28515625" style="252" customWidth="1"/>
    <col min="13588" max="13588" width="13.5703125" style="252" customWidth="1"/>
    <col min="13589" max="13589" width="4" style="252" customWidth="1"/>
    <col min="13590" max="13590" width="3.5703125" style="252" customWidth="1"/>
    <col min="13591" max="13591" width="6.7109375" style="252" bestFit="1" customWidth="1"/>
    <col min="13592" max="13592" width="12.7109375" style="252" bestFit="1" customWidth="1"/>
    <col min="13593" max="13593" width="40.28515625" style="252" bestFit="1" customWidth="1"/>
    <col min="13594" max="13594" width="2.28515625" style="252" customWidth="1"/>
    <col min="13595" max="13595" width="13.5703125" style="252" customWidth="1"/>
    <col min="13596" max="13596" width="2.28515625" style="252" customWidth="1"/>
    <col min="13597" max="13597" width="13.5703125" style="252" customWidth="1"/>
    <col min="13598" max="13598" width="2.28515625" style="252" customWidth="1"/>
    <col min="13599" max="13599" width="13.5703125" style="252" customWidth="1"/>
    <col min="13600" max="13600" width="2.28515625" style="252" customWidth="1"/>
    <col min="13601" max="13601" width="13.5703125" style="252" customWidth="1"/>
    <col min="13602" max="13602" width="2.28515625" style="252" customWidth="1"/>
    <col min="13603" max="13603" width="13.5703125" style="252" customWidth="1"/>
    <col min="13604" max="13604" width="2.28515625" style="252" customWidth="1"/>
    <col min="13605" max="13605" width="13.5703125" style="252" customWidth="1"/>
    <col min="13606" max="13606" width="2.28515625" style="252" customWidth="1"/>
    <col min="13607" max="13607" width="13.5703125" style="252" customWidth="1"/>
    <col min="13608" max="13608" width="2.28515625" style="252" customWidth="1"/>
    <col min="13609" max="13609" width="13.5703125" style="252" customWidth="1"/>
    <col min="13610" max="13610" width="3.42578125" style="252" customWidth="1"/>
    <col min="13611" max="13824" width="9.140625" style="252"/>
    <col min="13825" max="13825" width="3.5703125" style="252" customWidth="1"/>
    <col min="13826" max="13826" width="6.7109375" style="252" bestFit="1" customWidth="1"/>
    <col min="13827" max="13827" width="12" style="252" bestFit="1" customWidth="1"/>
    <col min="13828" max="13828" width="40.28515625" style="252" bestFit="1" customWidth="1"/>
    <col min="13829" max="13829" width="2.28515625" style="252" customWidth="1"/>
    <col min="13830" max="13830" width="13.5703125" style="252" customWidth="1"/>
    <col min="13831" max="13831" width="2.28515625" style="252" customWidth="1"/>
    <col min="13832" max="13832" width="13.5703125" style="252" customWidth="1"/>
    <col min="13833" max="13833" width="2.28515625" style="252" customWidth="1"/>
    <col min="13834" max="13834" width="13.5703125" style="252" customWidth="1"/>
    <col min="13835" max="13835" width="2.28515625" style="252" customWidth="1"/>
    <col min="13836" max="13836" width="13.5703125" style="252" customWidth="1"/>
    <col min="13837" max="13837" width="2.28515625" style="252" customWidth="1"/>
    <col min="13838" max="13838" width="13.5703125" style="252" customWidth="1"/>
    <col min="13839" max="13839" width="2.28515625" style="252" customWidth="1"/>
    <col min="13840" max="13840" width="13.5703125" style="252" customWidth="1"/>
    <col min="13841" max="13841" width="2.28515625" style="252" customWidth="1"/>
    <col min="13842" max="13842" width="13.5703125" style="252" customWidth="1"/>
    <col min="13843" max="13843" width="2.28515625" style="252" customWidth="1"/>
    <col min="13844" max="13844" width="13.5703125" style="252" customWidth="1"/>
    <col min="13845" max="13845" width="4" style="252" customWidth="1"/>
    <col min="13846" max="13846" width="3.5703125" style="252" customWidth="1"/>
    <col min="13847" max="13847" width="6.7109375" style="252" bestFit="1" customWidth="1"/>
    <col min="13848" max="13848" width="12.7109375" style="252" bestFit="1" customWidth="1"/>
    <col min="13849" max="13849" width="40.28515625" style="252" bestFit="1" customWidth="1"/>
    <col min="13850" max="13850" width="2.28515625" style="252" customWidth="1"/>
    <col min="13851" max="13851" width="13.5703125" style="252" customWidth="1"/>
    <col min="13852" max="13852" width="2.28515625" style="252" customWidth="1"/>
    <col min="13853" max="13853" width="13.5703125" style="252" customWidth="1"/>
    <col min="13854" max="13854" width="2.28515625" style="252" customWidth="1"/>
    <col min="13855" max="13855" width="13.5703125" style="252" customWidth="1"/>
    <col min="13856" max="13856" width="2.28515625" style="252" customWidth="1"/>
    <col min="13857" max="13857" width="13.5703125" style="252" customWidth="1"/>
    <col min="13858" max="13858" width="2.28515625" style="252" customWidth="1"/>
    <col min="13859" max="13859" width="13.5703125" style="252" customWidth="1"/>
    <col min="13860" max="13860" width="2.28515625" style="252" customWidth="1"/>
    <col min="13861" max="13861" width="13.5703125" style="252" customWidth="1"/>
    <col min="13862" max="13862" width="2.28515625" style="252" customWidth="1"/>
    <col min="13863" max="13863" width="13.5703125" style="252" customWidth="1"/>
    <col min="13864" max="13864" width="2.28515625" style="252" customWidth="1"/>
    <col min="13865" max="13865" width="13.5703125" style="252" customWidth="1"/>
    <col min="13866" max="13866" width="3.42578125" style="252" customWidth="1"/>
    <col min="13867" max="14080" width="9.140625" style="252"/>
    <col min="14081" max="14081" width="3.5703125" style="252" customWidth="1"/>
    <col min="14082" max="14082" width="6.7109375" style="252" bestFit="1" customWidth="1"/>
    <col min="14083" max="14083" width="12" style="252" bestFit="1" customWidth="1"/>
    <col min="14084" max="14084" width="40.28515625" style="252" bestFit="1" customWidth="1"/>
    <col min="14085" max="14085" width="2.28515625" style="252" customWidth="1"/>
    <col min="14086" max="14086" width="13.5703125" style="252" customWidth="1"/>
    <col min="14087" max="14087" width="2.28515625" style="252" customWidth="1"/>
    <col min="14088" max="14088" width="13.5703125" style="252" customWidth="1"/>
    <col min="14089" max="14089" width="2.28515625" style="252" customWidth="1"/>
    <col min="14090" max="14090" width="13.5703125" style="252" customWidth="1"/>
    <col min="14091" max="14091" width="2.28515625" style="252" customWidth="1"/>
    <col min="14092" max="14092" width="13.5703125" style="252" customWidth="1"/>
    <col min="14093" max="14093" width="2.28515625" style="252" customWidth="1"/>
    <col min="14094" max="14094" width="13.5703125" style="252" customWidth="1"/>
    <col min="14095" max="14095" width="2.28515625" style="252" customWidth="1"/>
    <col min="14096" max="14096" width="13.5703125" style="252" customWidth="1"/>
    <col min="14097" max="14097" width="2.28515625" style="252" customWidth="1"/>
    <col min="14098" max="14098" width="13.5703125" style="252" customWidth="1"/>
    <col min="14099" max="14099" width="2.28515625" style="252" customWidth="1"/>
    <col min="14100" max="14100" width="13.5703125" style="252" customWidth="1"/>
    <col min="14101" max="14101" width="4" style="252" customWidth="1"/>
    <col min="14102" max="14102" width="3.5703125" style="252" customWidth="1"/>
    <col min="14103" max="14103" width="6.7109375" style="252" bestFit="1" customWidth="1"/>
    <col min="14104" max="14104" width="12.7109375" style="252" bestFit="1" customWidth="1"/>
    <col min="14105" max="14105" width="40.28515625" style="252" bestFit="1" customWidth="1"/>
    <col min="14106" max="14106" width="2.28515625" style="252" customWidth="1"/>
    <col min="14107" max="14107" width="13.5703125" style="252" customWidth="1"/>
    <col min="14108" max="14108" width="2.28515625" style="252" customWidth="1"/>
    <col min="14109" max="14109" width="13.5703125" style="252" customWidth="1"/>
    <col min="14110" max="14110" width="2.28515625" style="252" customWidth="1"/>
    <col min="14111" max="14111" width="13.5703125" style="252" customWidth="1"/>
    <col min="14112" max="14112" width="2.28515625" style="252" customWidth="1"/>
    <col min="14113" max="14113" width="13.5703125" style="252" customWidth="1"/>
    <col min="14114" max="14114" width="2.28515625" style="252" customWidth="1"/>
    <col min="14115" max="14115" width="13.5703125" style="252" customWidth="1"/>
    <col min="14116" max="14116" width="2.28515625" style="252" customWidth="1"/>
    <col min="14117" max="14117" width="13.5703125" style="252" customWidth="1"/>
    <col min="14118" max="14118" width="2.28515625" style="252" customWidth="1"/>
    <col min="14119" max="14119" width="13.5703125" style="252" customWidth="1"/>
    <col min="14120" max="14120" width="2.28515625" style="252" customWidth="1"/>
    <col min="14121" max="14121" width="13.5703125" style="252" customWidth="1"/>
    <col min="14122" max="14122" width="3.42578125" style="252" customWidth="1"/>
    <col min="14123" max="14336" width="9.140625" style="252"/>
    <col min="14337" max="14337" width="3.5703125" style="252" customWidth="1"/>
    <col min="14338" max="14338" width="6.7109375" style="252" bestFit="1" customWidth="1"/>
    <col min="14339" max="14339" width="12" style="252" bestFit="1" customWidth="1"/>
    <col min="14340" max="14340" width="40.28515625" style="252" bestFit="1" customWidth="1"/>
    <col min="14341" max="14341" width="2.28515625" style="252" customWidth="1"/>
    <col min="14342" max="14342" width="13.5703125" style="252" customWidth="1"/>
    <col min="14343" max="14343" width="2.28515625" style="252" customWidth="1"/>
    <col min="14344" max="14344" width="13.5703125" style="252" customWidth="1"/>
    <col min="14345" max="14345" width="2.28515625" style="252" customWidth="1"/>
    <col min="14346" max="14346" width="13.5703125" style="252" customWidth="1"/>
    <col min="14347" max="14347" width="2.28515625" style="252" customWidth="1"/>
    <col min="14348" max="14348" width="13.5703125" style="252" customWidth="1"/>
    <col min="14349" max="14349" width="2.28515625" style="252" customWidth="1"/>
    <col min="14350" max="14350" width="13.5703125" style="252" customWidth="1"/>
    <col min="14351" max="14351" width="2.28515625" style="252" customWidth="1"/>
    <col min="14352" max="14352" width="13.5703125" style="252" customWidth="1"/>
    <col min="14353" max="14353" width="2.28515625" style="252" customWidth="1"/>
    <col min="14354" max="14354" width="13.5703125" style="252" customWidth="1"/>
    <col min="14355" max="14355" width="2.28515625" style="252" customWidth="1"/>
    <col min="14356" max="14356" width="13.5703125" style="252" customWidth="1"/>
    <col min="14357" max="14357" width="4" style="252" customWidth="1"/>
    <col min="14358" max="14358" width="3.5703125" style="252" customWidth="1"/>
    <col min="14359" max="14359" width="6.7109375" style="252" bestFit="1" customWidth="1"/>
    <col min="14360" max="14360" width="12.7109375" style="252" bestFit="1" customWidth="1"/>
    <col min="14361" max="14361" width="40.28515625" style="252" bestFit="1" customWidth="1"/>
    <col min="14362" max="14362" width="2.28515625" style="252" customWidth="1"/>
    <col min="14363" max="14363" width="13.5703125" style="252" customWidth="1"/>
    <col min="14364" max="14364" width="2.28515625" style="252" customWidth="1"/>
    <col min="14365" max="14365" width="13.5703125" style="252" customWidth="1"/>
    <col min="14366" max="14366" width="2.28515625" style="252" customWidth="1"/>
    <col min="14367" max="14367" width="13.5703125" style="252" customWidth="1"/>
    <col min="14368" max="14368" width="2.28515625" style="252" customWidth="1"/>
    <col min="14369" max="14369" width="13.5703125" style="252" customWidth="1"/>
    <col min="14370" max="14370" width="2.28515625" style="252" customWidth="1"/>
    <col min="14371" max="14371" width="13.5703125" style="252" customWidth="1"/>
    <col min="14372" max="14372" width="2.28515625" style="252" customWidth="1"/>
    <col min="14373" max="14373" width="13.5703125" style="252" customWidth="1"/>
    <col min="14374" max="14374" width="2.28515625" style="252" customWidth="1"/>
    <col min="14375" max="14375" width="13.5703125" style="252" customWidth="1"/>
    <col min="14376" max="14376" width="2.28515625" style="252" customWidth="1"/>
    <col min="14377" max="14377" width="13.5703125" style="252" customWidth="1"/>
    <col min="14378" max="14378" width="3.42578125" style="252" customWidth="1"/>
    <col min="14379" max="14592" width="9.140625" style="252"/>
    <col min="14593" max="14593" width="3.5703125" style="252" customWidth="1"/>
    <col min="14594" max="14594" width="6.7109375" style="252" bestFit="1" customWidth="1"/>
    <col min="14595" max="14595" width="12" style="252" bestFit="1" customWidth="1"/>
    <col min="14596" max="14596" width="40.28515625" style="252" bestFit="1" customWidth="1"/>
    <col min="14597" max="14597" width="2.28515625" style="252" customWidth="1"/>
    <col min="14598" max="14598" width="13.5703125" style="252" customWidth="1"/>
    <col min="14599" max="14599" width="2.28515625" style="252" customWidth="1"/>
    <col min="14600" max="14600" width="13.5703125" style="252" customWidth="1"/>
    <col min="14601" max="14601" width="2.28515625" style="252" customWidth="1"/>
    <col min="14602" max="14602" width="13.5703125" style="252" customWidth="1"/>
    <col min="14603" max="14603" width="2.28515625" style="252" customWidth="1"/>
    <col min="14604" max="14604" width="13.5703125" style="252" customWidth="1"/>
    <col min="14605" max="14605" width="2.28515625" style="252" customWidth="1"/>
    <col min="14606" max="14606" width="13.5703125" style="252" customWidth="1"/>
    <col min="14607" max="14607" width="2.28515625" style="252" customWidth="1"/>
    <col min="14608" max="14608" width="13.5703125" style="252" customWidth="1"/>
    <col min="14609" max="14609" width="2.28515625" style="252" customWidth="1"/>
    <col min="14610" max="14610" width="13.5703125" style="252" customWidth="1"/>
    <col min="14611" max="14611" width="2.28515625" style="252" customWidth="1"/>
    <col min="14612" max="14612" width="13.5703125" style="252" customWidth="1"/>
    <col min="14613" max="14613" width="4" style="252" customWidth="1"/>
    <col min="14614" max="14614" width="3.5703125" style="252" customWidth="1"/>
    <col min="14615" max="14615" width="6.7109375" style="252" bestFit="1" customWidth="1"/>
    <col min="14616" max="14616" width="12.7109375" style="252" bestFit="1" customWidth="1"/>
    <col min="14617" max="14617" width="40.28515625" style="252" bestFit="1" customWidth="1"/>
    <col min="14618" max="14618" width="2.28515625" style="252" customWidth="1"/>
    <col min="14619" max="14619" width="13.5703125" style="252" customWidth="1"/>
    <col min="14620" max="14620" width="2.28515625" style="252" customWidth="1"/>
    <col min="14621" max="14621" width="13.5703125" style="252" customWidth="1"/>
    <col min="14622" max="14622" width="2.28515625" style="252" customWidth="1"/>
    <col min="14623" max="14623" width="13.5703125" style="252" customWidth="1"/>
    <col min="14624" max="14624" width="2.28515625" style="252" customWidth="1"/>
    <col min="14625" max="14625" width="13.5703125" style="252" customWidth="1"/>
    <col min="14626" max="14626" width="2.28515625" style="252" customWidth="1"/>
    <col min="14627" max="14627" width="13.5703125" style="252" customWidth="1"/>
    <col min="14628" max="14628" width="2.28515625" style="252" customWidth="1"/>
    <col min="14629" max="14629" width="13.5703125" style="252" customWidth="1"/>
    <col min="14630" max="14630" width="2.28515625" style="252" customWidth="1"/>
    <col min="14631" max="14631" width="13.5703125" style="252" customWidth="1"/>
    <col min="14632" max="14632" width="2.28515625" style="252" customWidth="1"/>
    <col min="14633" max="14633" width="13.5703125" style="252" customWidth="1"/>
    <col min="14634" max="14634" width="3.42578125" style="252" customWidth="1"/>
    <col min="14635" max="14848" width="9.140625" style="252"/>
    <col min="14849" max="14849" width="3.5703125" style="252" customWidth="1"/>
    <col min="14850" max="14850" width="6.7109375" style="252" bestFit="1" customWidth="1"/>
    <col min="14851" max="14851" width="12" style="252" bestFit="1" customWidth="1"/>
    <col min="14852" max="14852" width="40.28515625" style="252" bestFit="1" customWidth="1"/>
    <col min="14853" max="14853" width="2.28515625" style="252" customWidth="1"/>
    <col min="14854" max="14854" width="13.5703125" style="252" customWidth="1"/>
    <col min="14855" max="14855" width="2.28515625" style="252" customWidth="1"/>
    <col min="14856" max="14856" width="13.5703125" style="252" customWidth="1"/>
    <col min="14857" max="14857" width="2.28515625" style="252" customWidth="1"/>
    <col min="14858" max="14858" width="13.5703125" style="252" customWidth="1"/>
    <col min="14859" max="14859" width="2.28515625" style="252" customWidth="1"/>
    <col min="14860" max="14860" width="13.5703125" style="252" customWidth="1"/>
    <col min="14861" max="14861" width="2.28515625" style="252" customWidth="1"/>
    <col min="14862" max="14862" width="13.5703125" style="252" customWidth="1"/>
    <col min="14863" max="14863" width="2.28515625" style="252" customWidth="1"/>
    <col min="14864" max="14864" width="13.5703125" style="252" customWidth="1"/>
    <col min="14865" max="14865" width="2.28515625" style="252" customWidth="1"/>
    <col min="14866" max="14866" width="13.5703125" style="252" customWidth="1"/>
    <col min="14867" max="14867" width="2.28515625" style="252" customWidth="1"/>
    <col min="14868" max="14868" width="13.5703125" style="252" customWidth="1"/>
    <col min="14869" max="14869" width="4" style="252" customWidth="1"/>
    <col min="14870" max="14870" width="3.5703125" style="252" customWidth="1"/>
    <col min="14871" max="14871" width="6.7109375" style="252" bestFit="1" customWidth="1"/>
    <col min="14872" max="14872" width="12.7109375" style="252" bestFit="1" customWidth="1"/>
    <col min="14873" max="14873" width="40.28515625" style="252" bestFit="1" customWidth="1"/>
    <col min="14874" max="14874" width="2.28515625" style="252" customWidth="1"/>
    <col min="14875" max="14875" width="13.5703125" style="252" customWidth="1"/>
    <col min="14876" max="14876" width="2.28515625" style="252" customWidth="1"/>
    <col min="14877" max="14877" width="13.5703125" style="252" customWidth="1"/>
    <col min="14878" max="14878" width="2.28515625" style="252" customWidth="1"/>
    <col min="14879" max="14879" width="13.5703125" style="252" customWidth="1"/>
    <col min="14880" max="14880" width="2.28515625" style="252" customWidth="1"/>
    <col min="14881" max="14881" width="13.5703125" style="252" customWidth="1"/>
    <col min="14882" max="14882" width="2.28515625" style="252" customWidth="1"/>
    <col min="14883" max="14883" width="13.5703125" style="252" customWidth="1"/>
    <col min="14884" max="14884" width="2.28515625" style="252" customWidth="1"/>
    <col min="14885" max="14885" width="13.5703125" style="252" customWidth="1"/>
    <col min="14886" max="14886" width="2.28515625" style="252" customWidth="1"/>
    <col min="14887" max="14887" width="13.5703125" style="252" customWidth="1"/>
    <col min="14888" max="14888" width="2.28515625" style="252" customWidth="1"/>
    <col min="14889" max="14889" width="13.5703125" style="252" customWidth="1"/>
    <col min="14890" max="14890" width="3.42578125" style="252" customWidth="1"/>
    <col min="14891" max="15104" width="9.140625" style="252"/>
    <col min="15105" max="15105" width="3.5703125" style="252" customWidth="1"/>
    <col min="15106" max="15106" width="6.7109375" style="252" bestFit="1" customWidth="1"/>
    <col min="15107" max="15107" width="12" style="252" bestFit="1" customWidth="1"/>
    <col min="15108" max="15108" width="40.28515625" style="252" bestFit="1" customWidth="1"/>
    <col min="15109" max="15109" width="2.28515625" style="252" customWidth="1"/>
    <col min="15110" max="15110" width="13.5703125" style="252" customWidth="1"/>
    <col min="15111" max="15111" width="2.28515625" style="252" customWidth="1"/>
    <col min="15112" max="15112" width="13.5703125" style="252" customWidth="1"/>
    <col min="15113" max="15113" width="2.28515625" style="252" customWidth="1"/>
    <col min="15114" max="15114" width="13.5703125" style="252" customWidth="1"/>
    <col min="15115" max="15115" width="2.28515625" style="252" customWidth="1"/>
    <col min="15116" max="15116" width="13.5703125" style="252" customWidth="1"/>
    <col min="15117" max="15117" width="2.28515625" style="252" customWidth="1"/>
    <col min="15118" max="15118" width="13.5703125" style="252" customWidth="1"/>
    <col min="15119" max="15119" width="2.28515625" style="252" customWidth="1"/>
    <col min="15120" max="15120" width="13.5703125" style="252" customWidth="1"/>
    <col min="15121" max="15121" width="2.28515625" style="252" customWidth="1"/>
    <col min="15122" max="15122" width="13.5703125" style="252" customWidth="1"/>
    <col min="15123" max="15123" width="2.28515625" style="252" customWidth="1"/>
    <col min="15124" max="15124" width="13.5703125" style="252" customWidth="1"/>
    <col min="15125" max="15125" width="4" style="252" customWidth="1"/>
    <col min="15126" max="15126" width="3.5703125" style="252" customWidth="1"/>
    <col min="15127" max="15127" width="6.7109375" style="252" bestFit="1" customWidth="1"/>
    <col min="15128" max="15128" width="12.7109375" style="252" bestFit="1" customWidth="1"/>
    <col min="15129" max="15129" width="40.28515625" style="252" bestFit="1" customWidth="1"/>
    <col min="15130" max="15130" width="2.28515625" style="252" customWidth="1"/>
    <col min="15131" max="15131" width="13.5703125" style="252" customWidth="1"/>
    <col min="15132" max="15132" width="2.28515625" style="252" customWidth="1"/>
    <col min="15133" max="15133" width="13.5703125" style="252" customWidth="1"/>
    <col min="15134" max="15134" width="2.28515625" style="252" customWidth="1"/>
    <col min="15135" max="15135" width="13.5703125" style="252" customWidth="1"/>
    <col min="15136" max="15136" width="2.28515625" style="252" customWidth="1"/>
    <col min="15137" max="15137" width="13.5703125" style="252" customWidth="1"/>
    <col min="15138" max="15138" width="2.28515625" style="252" customWidth="1"/>
    <col min="15139" max="15139" width="13.5703125" style="252" customWidth="1"/>
    <col min="15140" max="15140" width="2.28515625" style="252" customWidth="1"/>
    <col min="15141" max="15141" width="13.5703125" style="252" customWidth="1"/>
    <col min="15142" max="15142" width="2.28515625" style="252" customWidth="1"/>
    <col min="15143" max="15143" width="13.5703125" style="252" customWidth="1"/>
    <col min="15144" max="15144" width="2.28515625" style="252" customWidth="1"/>
    <col min="15145" max="15145" width="13.5703125" style="252" customWidth="1"/>
    <col min="15146" max="15146" width="3.42578125" style="252" customWidth="1"/>
    <col min="15147" max="15360" width="9.140625" style="252"/>
    <col min="15361" max="15361" width="3.5703125" style="252" customWidth="1"/>
    <col min="15362" max="15362" width="6.7109375" style="252" bestFit="1" customWidth="1"/>
    <col min="15363" max="15363" width="12" style="252" bestFit="1" customWidth="1"/>
    <col min="15364" max="15364" width="40.28515625" style="252" bestFit="1" customWidth="1"/>
    <col min="15365" max="15365" width="2.28515625" style="252" customWidth="1"/>
    <col min="15366" max="15366" width="13.5703125" style="252" customWidth="1"/>
    <col min="15367" max="15367" width="2.28515625" style="252" customWidth="1"/>
    <col min="15368" max="15368" width="13.5703125" style="252" customWidth="1"/>
    <col min="15369" max="15369" width="2.28515625" style="252" customWidth="1"/>
    <col min="15370" max="15370" width="13.5703125" style="252" customWidth="1"/>
    <col min="15371" max="15371" width="2.28515625" style="252" customWidth="1"/>
    <col min="15372" max="15372" width="13.5703125" style="252" customWidth="1"/>
    <col min="15373" max="15373" width="2.28515625" style="252" customWidth="1"/>
    <col min="15374" max="15374" width="13.5703125" style="252" customWidth="1"/>
    <col min="15375" max="15375" width="2.28515625" style="252" customWidth="1"/>
    <col min="15376" max="15376" width="13.5703125" style="252" customWidth="1"/>
    <col min="15377" max="15377" width="2.28515625" style="252" customWidth="1"/>
    <col min="15378" max="15378" width="13.5703125" style="252" customWidth="1"/>
    <col min="15379" max="15379" width="2.28515625" style="252" customWidth="1"/>
    <col min="15380" max="15380" width="13.5703125" style="252" customWidth="1"/>
    <col min="15381" max="15381" width="4" style="252" customWidth="1"/>
    <col min="15382" max="15382" width="3.5703125" style="252" customWidth="1"/>
    <col min="15383" max="15383" width="6.7109375" style="252" bestFit="1" customWidth="1"/>
    <col min="15384" max="15384" width="12.7109375" style="252" bestFit="1" customWidth="1"/>
    <col min="15385" max="15385" width="40.28515625" style="252" bestFit="1" customWidth="1"/>
    <col min="15386" max="15386" width="2.28515625" style="252" customWidth="1"/>
    <col min="15387" max="15387" width="13.5703125" style="252" customWidth="1"/>
    <col min="15388" max="15388" width="2.28515625" style="252" customWidth="1"/>
    <col min="15389" max="15389" width="13.5703125" style="252" customWidth="1"/>
    <col min="15390" max="15390" width="2.28515625" style="252" customWidth="1"/>
    <col min="15391" max="15391" width="13.5703125" style="252" customWidth="1"/>
    <col min="15392" max="15392" width="2.28515625" style="252" customWidth="1"/>
    <col min="15393" max="15393" width="13.5703125" style="252" customWidth="1"/>
    <col min="15394" max="15394" width="2.28515625" style="252" customWidth="1"/>
    <col min="15395" max="15395" width="13.5703125" style="252" customWidth="1"/>
    <col min="15396" max="15396" width="2.28515625" style="252" customWidth="1"/>
    <col min="15397" max="15397" width="13.5703125" style="252" customWidth="1"/>
    <col min="15398" max="15398" width="2.28515625" style="252" customWidth="1"/>
    <col min="15399" max="15399" width="13.5703125" style="252" customWidth="1"/>
    <col min="15400" max="15400" width="2.28515625" style="252" customWidth="1"/>
    <col min="15401" max="15401" width="13.5703125" style="252" customWidth="1"/>
    <col min="15402" max="15402" width="3.42578125" style="252" customWidth="1"/>
    <col min="15403" max="15616" width="9.140625" style="252"/>
    <col min="15617" max="15617" width="3.5703125" style="252" customWidth="1"/>
    <col min="15618" max="15618" width="6.7109375" style="252" bestFit="1" customWidth="1"/>
    <col min="15619" max="15619" width="12" style="252" bestFit="1" customWidth="1"/>
    <col min="15620" max="15620" width="40.28515625" style="252" bestFit="1" customWidth="1"/>
    <col min="15621" max="15621" width="2.28515625" style="252" customWidth="1"/>
    <col min="15622" max="15622" width="13.5703125" style="252" customWidth="1"/>
    <col min="15623" max="15623" width="2.28515625" style="252" customWidth="1"/>
    <col min="15624" max="15624" width="13.5703125" style="252" customWidth="1"/>
    <col min="15625" max="15625" width="2.28515625" style="252" customWidth="1"/>
    <col min="15626" max="15626" width="13.5703125" style="252" customWidth="1"/>
    <col min="15627" max="15627" width="2.28515625" style="252" customWidth="1"/>
    <col min="15628" max="15628" width="13.5703125" style="252" customWidth="1"/>
    <col min="15629" max="15629" width="2.28515625" style="252" customWidth="1"/>
    <col min="15630" max="15630" width="13.5703125" style="252" customWidth="1"/>
    <col min="15631" max="15631" width="2.28515625" style="252" customWidth="1"/>
    <col min="15632" max="15632" width="13.5703125" style="252" customWidth="1"/>
    <col min="15633" max="15633" width="2.28515625" style="252" customWidth="1"/>
    <col min="15634" max="15634" width="13.5703125" style="252" customWidth="1"/>
    <col min="15635" max="15635" width="2.28515625" style="252" customWidth="1"/>
    <col min="15636" max="15636" width="13.5703125" style="252" customWidth="1"/>
    <col min="15637" max="15637" width="4" style="252" customWidth="1"/>
    <col min="15638" max="15638" width="3.5703125" style="252" customWidth="1"/>
    <col min="15639" max="15639" width="6.7109375" style="252" bestFit="1" customWidth="1"/>
    <col min="15640" max="15640" width="12.7109375" style="252" bestFit="1" customWidth="1"/>
    <col min="15641" max="15641" width="40.28515625" style="252" bestFit="1" customWidth="1"/>
    <col min="15642" max="15642" width="2.28515625" style="252" customWidth="1"/>
    <col min="15643" max="15643" width="13.5703125" style="252" customWidth="1"/>
    <col min="15644" max="15644" width="2.28515625" style="252" customWidth="1"/>
    <col min="15645" max="15645" width="13.5703125" style="252" customWidth="1"/>
    <col min="15646" max="15646" width="2.28515625" style="252" customWidth="1"/>
    <col min="15647" max="15647" width="13.5703125" style="252" customWidth="1"/>
    <col min="15648" max="15648" width="2.28515625" style="252" customWidth="1"/>
    <col min="15649" max="15649" width="13.5703125" style="252" customWidth="1"/>
    <col min="15650" max="15650" width="2.28515625" style="252" customWidth="1"/>
    <col min="15651" max="15651" width="13.5703125" style="252" customWidth="1"/>
    <col min="15652" max="15652" width="2.28515625" style="252" customWidth="1"/>
    <col min="15653" max="15653" width="13.5703125" style="252" customWidth="1"/>
    <col min="15654" max="15654" width="2.28515625" style="252" customWidth="1"/>
    <col min="15655" max="15655" width="13.5703125" style="252" customWidth="1"/>
    <col min="15656" max="15656" width="2.28515625" style="252" customWidth="1"/>
    <col min="15657" max="15657" width="13.5703125" style="252" customWidth="1"/>
    <col min="15658" max="15658" width="3.42578125" style="252" customWidth="1"/>
    <col min="15659" max="15872" width="9.140625" style="252"/>
    <col min="15873" max="15873" width="3.5703125" style="252" customWidth="1"/>
    <col min="15874" max="15874" width="6.7109375" style="252" bestFit="1" customWidth="1"/>
    <col min="15875" max="15875" width="12" style="252" bestFit="1" customWidth="1"/>
    <col min="15876" max="15876" width="40.28515625" style="252" bestFit="1" customWidth="1"/>
    <col min="15877" max="15877" width="2.28515625" style="252" customWidth="1"/>
    <col min="15878" max="15878" width="13.5703125" style="252" customWidth="1"/>
    <col min="15879" max="15879" width="2.28515625" style="252" customWidth="1"/>
    <col min="15880" max="15880" width="13.5703125" style="252" customWidth="1"/>
    <col min="15881" max="15881" width="2.28515625" style="252" customWidth="1"/>
    <col min="15882" max="15882" width="13.5703125" style="252" customWidth="1"/>
    <col min="15883" max="15883" width="2.28515625" style="252" customWidth="1"/>
    <col min="15884" max="15884" width="13.5703125" style="252" customWidth="1"/>
    <col min="15885" max="15885" width="2.28515625" style="252" customWidth="1"/>
    <col min="15886" max="15886" width="13.5703125" style="252" customWidth="1"/>
    <col min="15887" max="15887" width="2.28515625" style="252" customWidth="1"/>
    <col min="15888" max="15888" width="13.5703125" style="252" customWidth="1"/>
    <col min="15889" max="15889" width="2.28515625" style="252" customWidth="1"/>
    <col min="15890" max="15890" width="13.5703125" style="252" customWidth="1"/>
    <col min="15891" max="15891" width="2.28515625" style="252" customWidth="1"/>
    <col min="15892" max="15892" width="13.5703125" style="252" customWidth="1"/>
    <col min="15893" max="15893" width="4" style="252" customWidth="1"/>
    <col min="15894" max="15894" width="3.5703125" style="252" customWidth="1"/>
    <col min="15895" max="15895" width="6.7109375" style="252" bestFit="1" customWidth="1"/>
    <col min="15896" max="15896" width="12.7109375" style="252" bestFit="1" customWidth="1"/>
    <col min="15897" max="15897" width="40.28515625" style="252" bestFit="1" customWidth="1"/>
    <col min="15898" max="15898" width="2.28515625" style="252" customWidth="1"/>
    <col min="15899" max="15899" width="13.5703125" style="252" customWidth="1"/>
    <col min="15900" max="15900" width="2.28515625" style="252" customWidth="1"/>
    <col min="15901" max="15901" width="13.5703125" style="252" customWidth="1"/>
    <col min="15902" max="15902" width="2.28515625" style="252" customWidth="1"/>
    <col min="15903" max="15903" width="13.5703125" style="252" customWidth="1"/>
    <col min="15904" max="15904" width="2.28515625" style="252" customWidth="1"/>
    <col min="15905" max="15905" width="13.5703125" style="252" customWidth="1"/>
    <col min="15906" max="15906" width="2.28515625" style="252" customWidth="1"/>
    <col min="15907" max="15907" width="13.5703125" style="252" customWidth="1"/>
    <col min="15908" max="15908" width="2.28515625" style="252" customWidth="1"/>
    <col min="15909" max="15909" width="13.5703125" style="252" customWidth="1"/>
    <col min="15910" max="15910" width="2.28515625" style="252" customWidth="1"/>
    <col min="15911" max="15911" width="13.5703125" style="252" customWidth="1"/>
    <col min="15912" max="15912" width="2.28515625" style="252" customWidth="1"/>
    <col min="15913" max="15913" width="13.5703125" style="252" customWidth="1"/>
    <col min="15914" max="15914" width="3.42578125" style="252" customWidth="1"/>
    <col min="15915" max="16128" width="9.140625" style="252"/>
    <col min="16129" max="16129" width="3.5703125" style="252" customWidth="1"/>
    <col min="16130" max="16130" width="6.7109375" style="252" bestFit="1" customWidth="1"/>
    <col min="16131" max="16131" width="12" style="252" bestFit="1" customWidth="1"/>
    <col min="16132" max="16132" width="40.28515625" style="252" bestFit="1" customWidth="1"/>
    <col min="16133" max="16133" width="2.28515625" style="252" customWidth="1"/>
    <col min="16134" max="16134" width="13.5703125" style="252" customWidth="1"/>
    <col min="16135" max="16135" width="2.28515625" style="252" customWidth="1"/>
    <col min="16136" max="16136" width="13.5703125" style="252" customWidth="1"/>
    <col min="16137" max="16137" width="2.28515625" style="252" customWidth="1"/>
    <col min="16138" max="16138" width="13.5703125" style="252" customWidth="1"/>
    <col min="16139" max="16139" width="2.28515625" style="252" customWidth="1"/>
    <col min="16140" max="16140" width="13.5703125" style="252" customWidth="1"/>
    <col min="16141" max="16141" width="2.28515625" style="252" customWidth="1"/>
    <col min="16142" max="16142" width="13.5703125" style="252" customWidth="1"/>
    <col min="16143" max="16143" width="2.28515625" style="252" customWidth="1"/>
    <col min="16144" max="16144" width="13.5703125" style="252" customWidth="1"/>
    <col min="16145" max="16145" width="2.28515625" style="252" customWidth="1"/>
    <col min="16146" max="16146" width="13.5703125" style="252" customWidth="1"/>
    <col min="16147" max="16147" width="2.28515625" style="252" customWidth="1"/>
    <col min="16148" max="16148" width="13.5703125" style="252" customWidth="1"/>
    <col min="16149" max="16149" width="4" style="252" customWidth="1"/>
    <col min="16150" max="16150" width="3.5703125" style="252" customWidth="1"/>
    <col min="16151" max="16151" width="6.7109375" style="252" bestFit="1" customWidth="1"/>
    <col min="16152" max="16152" width="12.7109375" style="252" bestFit="1" customWidth="1"/>
    <col min="16153" max="16153" width="40.28515625" style="252" bestFit="1" customWidth="1"/>
    <col min="16154" max="16154" width="2.28515625" style="252" customWidth="1"/>
    <col min="16155" max="16155" width="13.5703125" style="252" customWidth="1"/>
    <col min="16156" max="16156" width="2.28515625" style="252" customWidth="1"/>
    <col min="16157" max="16157" width="13.5703125" style="252" customWidth="1"/>
    <col min="16158" max="16158" width="2.28515625" style="252" customWidth="1"/>
    <col min="16159" max="16159" width="13.5703125" style="252" customWidth="1"/>
    <col min="16160" max="16160" width="2.28515625" style="252" customWidth="1"/>
    <col min="16161" max="16161" width="13.5703125" style="252" customWidth="1"/>
    <col min="16162" max="16162" width="2.28515625" style="252" customWidth="1"/>
    <col min="16163" max="16163" width="13.5703125" style="252" customWidth="1"/>
    <col min="16164" max="16164" width="2.28515625" style="252" customWidth="1"/>
    <col min="16165" max="16165" width="13.5703125" style="252" customWidth="1"/>
    <col min="16166" max="16166" width="2.28515625" style="252" customWidth="1"/>
    <col min="16167" max="16167" width="13.5703125" style="252" customWidth="1"/>
    <col min="16168" max="16168" width="2.28515625" style="252" customWidth="1"/>
    <col min="16169" max="16169" width="13.5703125" style="252" customWidth="1"/>
    <col min="16170" max="16170" width="3.42578125" style="252" customWidth="1"/>
    <col min="16171" max="16384" width="9.140625" style="252"/>
  </cols>
  <sheetData>
    <row r="1" spans="1:44" s="83" customFormat="1" ht="14.1" customHeight="1" thickBot="1" x14ac:dyDescent="0.25">
      <c r="A1" s="82" t="s">
        <v>301</v>
      </c>
      <c r="B1" s="79"/>
      <c r="C1" s="79"/>
      <c r="D1" s="79"/>
      <c r="E1" s="79"/>
      <c r="F1" s="79" t="s">
        <v>302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256">
        <v>10</v>
      </c>
      <c r="S1" s="79"/>
      <c r="T1" s="79" t="s">
        <v>323</v>
      </c>
      <c r="V1" s="82" t="s">
        <v>301</v>
      </c>
      <c r="W1" s="79"/>
      <c r="X1" s="332"/>
      <c r="Y1" s="79"/>
      <c r="Z1" s="79"/>
      <c r="AA1" s="79" t="s">
        <v>302</v>
      </c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 t="s">
        <v>324</v>
      </c>
    </row>
    <row r="2" spans="1:44" ht="14.1" customHeight="1" x14ac:dyDescent="0.2">
      <c r="A2" s="252" t="s">
        <v>129</v>
      </c>
      <c r="E2" s="260" t="s">
        <v>130</v>
      </c>
      <c r="F2" s="279" t="s">
        <v>303</v>
      </c>
      <c r="J2" s="286"/>
      <c r="K2" s="286"/>
      <c r="P2" s="286"/>
      <c r="Q2" s="286"/>
      <c r="R2" s="286" t="s">
        <v>132</v>
      </c>
      <c r="T2" s="261"/>
      <c r="V2" s="252" t="s">
        <v>129</v>
      </c>
      <c r="Z2" s="260" t="s">
        <v>130</v>
      </c>
      <c r="AA2" s="252" t="s">
        <v>303</v>
      </c>
      <c r="AE2" s="286"/>
      <c r="AF2" s="286"/>
      <c r="AH2" s="286"/>
      <c r="AJ2" s="286"/>
      <c r="AK2" s="286"/>
      <c r="AL2" s="286"/>
      <c r="AM2" s="286" t="s">
        <v>132</v>
      </c>
      <c r="AO2" s="261"/>
    </row>
    <row r="3" spans="1:44" ht="14.1" customHeight="1" x14ac:dyDescent="0.2">
      <c r="A3" s="700"/>
      <c r="B3" s="701"/>
      <c r="F3" s="279" t="s">
        <v>1399</v>
      </c>
      <c r="J3" s="260"/>
      <c r="K3" s="261"/>
      <c r="P3" s="260"/>
      <c r="Q3" s="80"/>
      <c r="R3" s="259" t="s">
        <v>1407</v>
      </c>
      <c r="T3" s="260"/>
      <c r="AA3" s="252" t="s">
        <v>1399</v>
      </c>
      <c r="AE3" s="260"/>
      <c r="AF3" s="261"/>
      <c r="AH3" s="261"/>
      <c r="AK3" s="260"/>
      <c r="AL3" s="80"/>
      <c r="AM3" s="261" t="s">
        <v>1407</v>
      </c>
      <c r="AO3" s="260"/>
    </row>
    <row r="4" spans="1:44" ht="14.1" customHeight="1" x14ac:dyDescent="0.2">
      <c r="A4" s="252" t="s">
        <v>134</v>
      </c>
      <c r="J4" s="260"/>
      <c r="K4" s="261"/>
      <c r="L4" s="260"/>
      <c r="N4" s="260"/>
      <c r="Q4" s="80"/>
      <c r="R4" s="259"/>
      <c r="T4" s="260"/>
      <c r="V4" s="252" t="s">
        <v>134</v>
      </c>
      <c r="AE4" s="260"/>
      <c r="AF4" s="261"/>
      <c r="AG4" s="260"/>
      <c r="AH4" s="261"/>
      <c r="AI4" s="260"/>
      <c r="AL4" s="80"/>
      <c r="AM4" s="261">
        <v>0</v>
      </c>
      <c r="AO4" s="260"/>
    </row>
    <row r="5" spans="1:44" ht="14.1" customHeight="1" x14ac:dyDescent="0.2">
      <c r="J5" s="260"/>
      <c r="K5" s="261"/>
      <c r="L5" s="260"/>
      <c r="N5" s="260"/>
      <c r="Q5" s="80"/>
      <c r="R5" s="259"/>
      <c r="T5" s="260"/>
      <c r="AE5" s="260"/>
      <c r="AF5" s="261"/>
      <c r="AG5" s="260"/>
      <c r="AH5" s="261"/>
      <c r="AI5" s="260"/>
      <c r="AL5" s="80"/>
      <c r="AM5" s="261"/>
      <c r="AO5" s="260"/>
    </row>
    <row r="6" spans="1:44" ht="14.1" customHeight="1" thickBot="1" x14ac:dyDescent="0.25">
      <c r="A6" s="263" t="s">
        <v>135</v>
      </c>
      <c r="B6" s="264"/>
      <c r="C6" s="264"/>
      <c r="D6" s="264"/>
      <c r="E6" s="264"/>
      <c r="F6" s="264"/>
      <c r="G6" s="264"/>
      <c r="H6" s="266"/>
      <c r="I6" s="264"/>
      <c r="J6" s="264"/>
      <c r="K6" s="264"/>
      <c r="L6" s="264"/>
      <c r="M6" s="264"/>
      <c r="N6" s="264"/>
      <c r="O6" s="264"/>
      <c r="P6" s="264"/>
      <c r="Q6" s="81"/>
      <c r="R6" s="263"/>
      <c r="S6" s="264"/>
      <c r="T6" s="264"/>
      <c r="V6" s="265" t="s">
        <v>135</v>
      </c>
      <c r="W6" s="264"/>
      <c r="X6" s="702"/>
      <c r="Y6" s="264"/>
      <c r="Z6" s="264"/>
      <c r="AA6" s="264"/>
      <c r="AB6" s="264"/>
      <c r="AC6" s="266"/>
      <c r="AD6" s="264"/>
      <c r="AE6" s="264"/>
      <c r="AF6" s="264"/>
      <c r="AG6" s="264"/>
      <c r="AH6" s="264"/>
      <c r="AI6" s="264"/>
      <c r="AJ6" s="264"/>
      <c r="AK6" s="264"/>
      <c r="AL6" s="81"/>
      <c r="AM6" s="265"/>
      <c r="AN6" s="264"/>
      <c r="AO6" s="264"/>
    </row>
    <row r="7" spans="1:44" ht="14.1" customHeight="1" x14ac:dyDescent="0.2"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X7" s="703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</row>
    <row r="8" spans="1:44" ht="14.1" customHeight="1" x14ac:dyDescent="0.2">
      <c r="C8" s="267" t="s">
        <v>136</v>
      </c>
      <c r="D8" s="267" t="s">
        <v>137</v>
      </c>
      <c r="E8" s="267"/>
      <c r="F8" s="267" t="s">
        <v>138</v>
      </c>
      <c r="G8" s="267"/>
      <c r="H8" s="267" t="s">
        <v>139</v>
      </c>
      <c r="I8" s="267"/>
      <c r="J8" s="269" t="s">
        <v>140</v>
      </c>
      <c r="L8" s="267" t="s">
        <v>141</v>
      </c>
      <c r="M8" s="267"/>
      <c r="N8" s="267" t="s">
        <v>142</v>
      </c>
      <c r="O8" s="267"/>
      <c r="P8" s="267" t="s">
        <v>143</v>
      </c>
      <c r="Q8" s="267"/>
      <c r="R8" s="267" t="s">
        <v>144</v>
      </c>
      <c r="S8" s="267"/>
      <c r="T8" s="267" t="s">
        <v>305</v>
      </c>
      <c r="X8" s="703" t="s">
        <v>136</v>
      </c>
      <c r="Y8" s="267" t="s">
        <v>137</v>
      </c>
      <c r="Z8" s="267"/>
      <c r="AA8" s="267" t="s">
        <v>138</v>
      </c>
      <c r="AB8" s="267"/>
      <c r="AC8" s="267" t="s">
        <v>139</v>
      </c>
      <c r="AD8" s="267"/>
      <c r="AE8" s="269" t="s">
        <v>140</v>
      </c>
      <c r="AG8" s="267" t="s">
        <v>141</v>
      </c>
      <c r="AI8" s="267" t="s">
        <v>142</v>
      </c>
      <c r="AJ8" s="267"/>
      <c r="AK8" s="267" t="s">
        <v>143</v>
      </c>
      <c r="AL8" s="267"/>
      <c r="AM8" s="267" t="s">
        <v>144</v>
      </c>
      <c r="AN8" s="267"/>
      <c r="AO8" s="267" t="s">
        <v>305</v>
      </c>
    </row>
    <row r="9" spans="1:44" ht="14.1" customHeight="1" x14ac:dyDescent="0.2">
      <c r="C9" s="269" t="s">
        <v>145</v>
      </c>
      <c r="D9" s="269" t="s">
        <v>145</v>
      </c>
      <c r="F9" s="267" t="s">
        <v>41</v>
      </c>
      <c r="G9" s="269"/>
      <c r="H9" s="267" t="s">
        <v>40</v>
      </c>
      <c r="I9" s="269"/>
      <c r="J9" s="267"/>
      <c r="K9" s="269"/>
      <c r="L9" s="269"/>
      <c r="M9" s="269"/>
      <c r="N9" s="269"/>
      <c r="O9" s="269"/>
      <c r="P9" s="269"/>
      <c r="Q9" s="269"/>
      <c r="R9" s="269" t="s">
        <v>41</v>
      </c>
      <c r="T9" s="269"/>
      <c r="X9" s="704" t="s">
        <v>145</v>
      </c>
      <c r="Y9" s="269" t="s">
        <v>145</v>
      </c>
      <c r="AA9" s="267" t="s">
        <v>41</v>
      </c>
      <c r="AB9" s="269"/>
      <c r="AC9" s="267" t="s">
        <v>40</v>
      </c>
      <c r="AD9" s="269"/>
      <c r="AE9" s="267"/>
      <c r="AF9" s="269"/>
      <c r="AG9" s="269"/>
      <c r="AH9" s="269"/>
      <c r="AI9" s="269"/>
      <c r="AJ9" s="269"/>
      <c r="AK9" s="269"/>
      <c r="AL9" s="269"/>
      <c r="AM9" s="269" t="s">
        <v>41</v>
      </c>
      <c r="AO9" s="269"/>
    </row>
    <row r="10" spans="1:44" ht="14.1" customHeight="1" x14ac:dyDescent="0.2">
      <c r="A10" s="252" t="s">
        <v>146</v>
      </c>
      <c r="B10" s="269"/>
      <c r="C10" s="269" t="s">
        <v>147</v>
      </c>
      <c r="D10" s="269" t="s">
        <v>147</v>
      </c>
      <c r="E10" s="267"/>
      <c r="F10" s="269" t="s">
        <v>6</v>
      </c>
      <c r="G10" s="269"/>
      <c r="H10" s="269" t="s">
        <v>6</v>
      </c>
      <c r="I10" s="269"/>
      <c r="J10" s="269"/>
      <c r="K10" s="267"/>
      <c r="L10" s="269" t="s">
        <v>306</v>
      </c>
      <c r="M10" s="269"/>
      <c r="N10" s="269" t="s">
        <v>306</v>
      </c>
      <c r="O10" s="269"/>
      <c r="P10" s="269" t="s">
        <v>150</v>
      </c>
      <c r="Q10" s="267"/>
      <c r="R10" s="267" t="s">
        <v>6</v>
      </c>
      <c r="S10" s="267"/>
      <c r="T10" s="269" t="s">
        <v>151</v>
      </c>
      <c r="V10" s="252" t="s">
        <v>146</v>
      </c>
      <c r="W10" s="269"/>
      <c r="X10" s="704" t="s">
        <v>147</v>
      </c>
      <c r="Y10" s="269" t="s">
        <v>147</v>
      </c>
      <c r="Z10" s="267"/>
      <c r="AA10" s="269" t="s">
        <v>6</v>
      </c>
      <c r="AB10" s="269"/>
      <c r="AC10" s="269" t="s">
        <v>6</v>
      </c>
      <c r="AD10" s="269"/>
      <c r="AE10" s="269"/>
      <c r="AF10" s="267"/>
      <c r="AG10" s="269" t="s">
        <v>306</v>
      </c>
      <c r="AH10" s="267"/>
      <c r="AI10" s="269" t="s">
        <v>306</v>
      </c>
      <c r="AJ10" s="261"/>
      <c r="AK10" s="269" t="s">
        <v>150</v>
      </c>
      <c r="AL10" s="267"/>
      <c r="AM10" s="267" t="s">
        <v>6</v>
      </c>
      <c r="AN10" s="267"/>
      <c r="AO10" s="269" t="s">
        <v>151</v>
      </c>
    </row>
    <row r="11" spans="1:44" ht="14.1" customHeight="1" thickBot="1" x14ac:dyDescent="0.25">
      <c r="A11" s="264" t="s">
        <v>152</v>
      </c>
      <c r="B11" s="266"/>
      <c r="C11" s="266" t="s">
        <v>52</v>
      </c>
      <c r="D11" s="266" t="s">
        <v>153</v>
      </c>
      <c r="E11" s="266"/>
      <c r="F11" s="270" t="s">
        <v>154</v>
      </c>
      <c r="G11" s="270"/>
      <c r="H11" s="270" t="s">
        <v>307</v>
      </c>
      <c r="I11" s="271"/>
      <c r="J11" s="270" t="s">
        <v>18</v>
      </c>
      <c r="K11" s="271"/>
      <c r="L11" s="270" t="s">
        <v>19</v>
      </c>
      <c r="M11" s="271"/>
      <c r="N11" s="270" t="s">
        <v>54</v>
      </c>
      <c r="O11" s="271"/>
      <c r="P11" s="272" t="s">
        <v>157</v>
      </c>
      <c r="Q11" s="272"/>
      <c r="R11" s="272" t="s">
        <v>158</v>
      </c>
      <c r="S11" s="272"/>
      <c r="T11" s="272" t="s">
        <v>3</v>
      </c>
      <c r="V11" s="264" t="s">
        <v>152</v>
      </c>
      <c r="W11" s="266"/>
      <c r="X11" s="705" t="s">
        <v>52</v>
      </c>
      <c r="Y11" s="266" t="s">
        <v>153</v>
      </c>
      <c r="Z11" s="266"/>
      <c r="AA11" s="270" t="s">
        <v>154</v>
      </c>
      <c r="AB11" s="270"/>
      <c r="AC11" s="270" t="s">
        <v>307</v>
      </c>
      <c r="AD11" s="271"/>
      <c r="AE11" s="270" t="s">
        <v>18</v>
      </c>
      <c r="AF11" s="271"/>
      <c r="AG11" s="270" t="s">
        <v>19</v>
      </c>
      <c r="AH11" s="271"/>
      <c r="AI11" s="271" t="s">
        <v>54</v>
      </c>
      <c r="AJ11" s="272"/>
      <c r="AK11" s="272" t="s">
        <v>157</v>
      </c>
      <c r="AL11" s="272"/>
      <c r="AM11" s="272" t="s">
        <v>158</v>
      </c>
      <c r="AN11" s="272"/>
      <c r="AO11" s="272" t="s">
        <v>3</v>
      </c>
    </row>
    <row r="12" spans="1:44" ht="14.1" customHeight="1" x14ac:dyDescent="0.2">
      <c r="A12" s="252">
        <v>1</v>
      </c>
      <c r="B12" s="273"/>
      <c r="V12" s="252">
        <v>1</v>
      </c>
      <c r="W12" s="273"/>
    </row>
    <row r="13" spans="1:44" ht="14.1" customHeight="1" x14ac:dyDescent="0.2">
      <c r="A13" s="252">
        <v>2</v>
      </c>
      <c r="B13" s="273"/>
      <c r="D13" s="252" t="s">
        <v>58</v>
      </c>
      <c r="V13" s="252">
        <v>2</v>
      </c>
      <c r="W13" s="273"/>
    </row>
    <row r="14" spans="1:44" ht="14.1" customHeight="1" x14ac:dyDescent="0.2">
      <c r="A14" s="252">
        <v>3</v>
      </c>
      <c r="B14" s="273"/>
      <c r="D14" s="252" t="s">
        <v>159</v>
      </c>
      <c r="F14" s="274">
        <v>9</v>
      </c>
      <c r="G14" s="275"/>
      <c r="H14" s="274">
        <v>10</v>
      </c>
      <c r="I14" s="275"/>
      <c r="J14" s="274">
        <v>11</v>
      </c>
      <c r="K14" s="275"/>
      <c r="L14" s="274">
        <v>12</v>
      </c>
      <c r="M14" s="275"/>
      <c r="N14" s="274">
        <v>13</v>
      </c>
      <c r="O14" s="275"/>
      <c r="P14" s="274">
        <v>14</v>
      </c>
      <c r="Q14" s="275"/>
      <c r="R14" s="274">
        <v>15</v>
      </c>
      <c r="S14" s="275"/>
      <c r="T14" s="274">
        <v>16</v>
      </c>
      <c r="V14" s="252">
        <v>3</v>
      </c>
      <c r="W14" s="273"/>
      <c r="Y14" s="252" t="s">
        <v>68</v>
      </c>
      <c r="AA14" s="655">
        <v>798266046.0400002</v>
      </c>
      <c r="AB14" s="275"/>
      <c r="AC14" s="655">
        <v>74807718.75999999</v>
      </c>
      <c r="AD14" s="275"/>
      <c r="AE14" s="655">
        <v>-25586031.610000007</v>
      </c>
      <c r="AF14" s="275"/>
      <c r="AG14" s="655">
        <v>-24822126.069999997</v>
      </c>
      <c r="AH14" s="275"/>
      <c r="AI14" s="655">
        <v>401425.4200000001</v>
      </c>
      <c r="AJ14" s="275"/>
      <c r="AK14" s="655">
        <v>0</v>
      </c>
      <c r="AL14" s="275"/>
      <c r="AM14" s="655">
        <v>823067032.5400002</v>
      </c>
      <c r="AN14" s="275"/>
      <c r="AO14" s="655">
        <v>807180350.79615378</v>
      </c>
      <c r="AR14" s="283">
        <v>0</v>
      </c>
    </row>
    <row r="15" spans="1:44" ht="14.1" customHeight="1" x14ac:dyDescent="0.2">
      <c r="A15" s="252">
        <v>4</v>
      </c>
      <c r="B15" s="273"/>
      <c r="D15" s="252" t="s">
        <v>160</v>
      </c>
      <c r="F15" s="276"/>
      <c r="G15" s="706"/>
      <c r="H15" s="706"/>
      <c r="I15" s="706"/>
      <c r="J15" s="706"/>
      <c r="K15" s="706"/>
      <c r="L15" s="706"/>
      <c r="M15" s="706"/>
      <c r="N15" s="706"/>
      <c r="O15" s="706"/>
      <c r="P15" s="706"/>
      <c r="Q15" s="706"/>
      <c r="R15" s="706"/>
      <c r="S15" s="706"/>
      <c r="T15" s="706"/>
      <c r="V15" s="252">
        <v>4</v>
      </c>
      <c r="W15" s="273"/>
      <c r="AA15" s="27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</row>
    <row r="16" spans="1:44" ht="14.1" customHeight="1" x14ac:dyDescent="0.2">
      <c r="A16" s="252">
        <v>5</v>
      </c>
      <c r="B16" s="273"/>
      <c r="C16" s="269">
        <v>31140</v>
      </c>
      <c r="D16" s="252" t="s">
        <v>161</v>
      </c>
      <c r="F16" s="655">
        <v>57749555.450000033</v>
      </c>
      <c r="G16" s="329"/>
      <c r="H16" s="655">
        <v>6700816.2100000018</v>
      </c>
      <c r="I16" s="329"/>
      <c r="J16" s="655">
        <v>-1040215.9500000001</v>
      </c>
      <c r="K16" s="329"/>
      <c r="L16" s="655">
        <v>-124487.97</v>
      </c>
      <c r="M16" s="329"/>
      <c r="N16" s="655">
        <v>0</v>
      </c>
      <c r="O16" s="329"/>
      <c r="P16" s="655">
        <v>0</v>
      </c>
      <c r="Q16" s="329"/>
      <c r="R16" s="655">
        <v>63285667.740000032</v>
      </c>
      <c r="S16" s="329"/>
      <c r="T16" s="655">
        <v>60283446.731538497</v>
      </c>
      <c r="V16" s="252">
        <v>5</v>
      </c>
      <c r="W16" s="273"/>
      <c r="X16" s="704"/>
      <c r="Y16" s="252" t="s">
        <v>66</v>
      </c>
      <c r="AA16" s="657">
        <v>768082836.36999989</v>
      </c>
      <c r="AB16" s="602"/>
      <c r="AC16" s="657">
        <v>107682509.99000001</v>
      </c>
      <c r="AD16" s="602"/>
      <c r="AE16" s="657">
        <v>-9422511.7599999998</v>
      </c>
      <c r="AF16" s="602"/>
      <c r="AG16" s="657">
        <v>-3841618.83</v>
      </c>
      <c r="AH16" s="602"/>
      <c r="AI16" s="657">
        <v>384063.35999999993</v>
      </c>
      <c r="AJ16" s="602"/>
      <c r="AK16" s="657">
        <v>1.8189894035458565E-12</v>
      </c>
      <c r="AL16" s="707"/>
      <c r="AM16" s="657">
        <v>862885279.12999976</v>
      </c>
      <c r="AN16" s="707"/>
      <c r="AO16" s="657">
        <v>816585262.13461518</v>
      </c>
    </row>
    <row r="17" spans="1:41" ht="14.1" customHeight="1" x14ac:dyDescent="0.2">
      <c r="A17" s="252">
        <v>6</v>
      </c>
      <c r="B17" s="273"/>
      <c r="C17" s="269">
        <v>31240</v>
      </c>
      <c r="D17" s="252" t="s">
        <v>162</v>
      </c>
      <c r="F17" s="655">
        <v>7802042.5399999944</v>
      </c>
      <c r="G17" s="329"/>
      <c r="H17" s="655">
        <v>6219533.3100000024</v>
      </c>
      <c r="I17" s="329"/>
      <c r="J17" s="655">
        <v>-73690.559999999998</v>
      </c>
      <c r="K17" s="329"/>
      <c r="L17" s="655">
        <v>-11978800.609999998</v>
      </c>
      <c r="M17" s="329"/>
      <c r="N17" s="655">
        <v>84605.560000000056</v>
      </c>
      <c r="O17" s="329"/>
      <c r="P17" s="655">
        <v>0</v>
      </c>
      <c r="Q17" s="329"/>
      <c r="R17" s="655">
        <v>2053690.2399999998</v>
      </c>
      <c r="S17" s="329"/>
      <c r="T17" s="655">
        <v>7337246.5515384534</v>
      </c>
      <c r="V17" s="252">
        <v>6</v>
      </c>
      <c r="W17" s="273"/>
      <c r="X17" s="704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  <c r="AL17" s="707"/>
      <c r="AM17" s="602"/>
      <c r="AN17" s="707"/>
      <c r="AO17" s="602"/>
    </row>
    <row r="18" spans="1:41" ht="14.1" customHeight="1" x14ac:dyDescent="0.2">
      <c r="A18" s="252">
        <v>7</v>
      </c>
      <c r="B18" s="273"/>
      <c r="C18" s="269">
        <v>31440</v>
      </c>
      <c r="D18" s="252" t="s">
        <v>163</v>
      </c>
      <c r="F18" s="655">
        <v>2697279.0299999984</v>
      </c>
      <c r="G18" s="329"/>
      <c r="H18" s="655">
        <v>202841.15999999997</v>
      </c>
      <c r="I18" s="329"/>
      <c r="J18" s="655">
        <v>0</v>
      </c>
      <c r="K18" s="329"/>
      <c r="L18" s="655">
        <v>-567293.44999999995</v>
      </c>
      <c r="M18" s="329"/>
      <c r="N18" s="655">
        <v>4017.4900000000016</v>
      </c>
      <c r="O18" s="329"/>
      <c r="P18" s="655">
        <v>0</v>
      </c>
      <c r="Q18" s="329"/>
      <c r="R18" s="655">
        <v>2336844.2299999986</v>
      </c>
      <c r="S18" s="329"/>
      <c r="T18" s="655">
        <v>2633485.4692307678</v>
      </c>
      <c r="V18" s="252">
        <v>7</v>
      </c>
      <c r="W18" s="273"/>
      <c r="X18" s="704"/>
      <c r="Y18" s="252" t="s">
        <v>67</v>
      </c>
      <c r="AA18" s="602">
        <v>1566348882.4100001</v>
      </c>
      <c r="AB18" s="602"/>
      <c r="AC18" s="602">
        <v>182490228.75</v>
      </c>
      <c r="AD18" s="602"/>
      <c r="AE18" s="602">
        <v>-35008543.370000005</v>
      </c>
      <c r="AF18" s="602"/>
      <c r="AG18" s="602">
        <v>-28663744.899999999</v>
      </c>
      <c r="AH18" s="602"/>
      <c r="AI18" s="602">
        <v>785488.78</v>
      </c>
      <c r="AJ18" s="602">
        <v>0</v>
      </c>
      <c r="AK18" s="602">
        <v>1.8189894035458565E-12</v>
      </c>
      <c r="AL18" s="707"/>
      <c r="AM18" s="602">
        <v>1685952311.6700001</v>
      </c>
      <c r="AN18" s="707"/>
      <c r="AO18" s="602">
        <v>1623765612.930769</v>
      </c>
    </row>
    <row r="19" spans="1:41" ht="14.1" customHeight="1" x14ac:dyDescent="0.2">
      <c r="A19" s="252">
        <v>8</v>
      </c>
      <c r="B19" s="273"/>
      <c r="C19" s="269">
        <v>31540</v>
      </c>
      <c r="D19" s="252" t="s">
        <v>164</v>
      </c>
      <c r="F19" s="655">
        <v>12249101.039999997</v>
      </c>
      <c r="G19" s="329"/>
      <c r="H19" s="655">
        <v>1604796.0200000003</v>
      </c>
      <c r="I19" s="329"/>
      <c r="J19" s="655">
        <v>-39212.18</v>
      </c>
      <c r="K19" s="329"/>
      <c r="L19" s="655">
        <v>-1005.8</v>
      </c>
      <c r="M19" s="329"/>
      <c r="N19" s="655">
        <v>0</v>
      </c>
      <c r="O19" s="329"/>
      <c r="P19" s="655">
        <v>0</v>
      </c>
      <c r="Q19" s="329"/>
      <c r="R19" s="655">
        <v>13813679.079999996</v>
      </c>
      <c r="S19" s="329"/>
      <c r="T19" s="655">
        <v>13042344.284615384</v>
      </c>
      <c r="V19" s="252">
        <v>8</v>
      </c>
      <c r="W19" s="273"/>
      <c r="X19" s="704"/>
      <c r="AA19" s="602"/>
      <c r="AB19" s="602"/>
      <c r="AC19" s="602"/>
      <c r="AD19" s="602"/>
      <c r="AE19" s="602"/>
      <c r="AF19" s="602"/>
      <c r="AG19" s="602"/>
      <c r="AH19" s="602"/>
      <c r="AI19" s="602"/>
      <c r="AJ19" s="602"/>
      <c r="AK19" s="602"/>
      <c r="AL19" s="707"/>
      <c r="AM19" s="602"/>
      <c r="AN19" s="707"/>
      <c r="AO19" s="602"/>
    </row>
    <row r="20" spans="1:41" ht="14.1" customHeight="1" x14ac:dyDescent="0.2">
      <c r="A20" s="252">
        <v>9</v>
      </c>
      <c r="B20" s="273"/>
      <c r="C20" s="269">
        <v>31640</v>
      </c>
      <c r="D20" s="252" t="s">
        <v>165</v>
      </c>
      <c r="F20" s="655">
        <v>7544100.9000000041</v>
      </c>
      <c r="G20" s="329"/>
      <c r="H20" s="655">
        <v>1048707.23</v>
      </c>
      <c r="I20" s="329"/>
      <c r="J20" s="655">
        <v>-110000.44</v>
      </c>
      <c r="K20" s="329"/>
      <c r="L20" s="655">
        <v>0</v>
      </c>
      <c r="M20" s="329"/>
      <c r="N20" s="655">
        <v>68000</v>
      </c>
      <c r="O20" s="329"/>
      <c r="P20" s="655">
        <v>0</v>
      </c>
      <c r="Q20" s="329"/>
      <c r="R20" s="655">
        <v>8550807.6900000051</v>
      </c>
      <c r="S20" s="329"/>
      <c r="T20" s="655">
        <v>8056131.0515384674</v>
      </c>
      <c r="V20" s="252">
        <v>9</v>
      </c>
      <c r="W20" s="273"/>
      <c r="X20" s="704"/>
      <c r="Y20" s="252" t="s">
        <v>166</v>
      </c>
      <c r="AA20" s="602">
        <v>221070838.13000011</v>
      </c>
      <c r="AB20" s="602"/>
      <c r="AC20" s="602">
        <v>26999684.089999996</v>
      </c>
      <c r="AD20" s="602"/>
      <c r="AE20" s="602">
        <v>-5555763.1300000008</v>
      </c>
      <c r="AF20" s="602"/>
      <c r="AG20" s="602">
        <v>-5328783.66</v>
      </c>
      <c r="AH20" s="602"/>
      <c r="AI20" s="602">
        <v>198221.53000000003</v>
      </c>
      <c r="AJ20" s="602"/>
      <c r="AK20" s="602">
        <v>-12618.509999999998</v>
      </c>
      <c r="AL20" s="707"/>
      <c r="AM20" s="602">
        <v>237371578.45000008</v>
      </c>
      <c r="AN20" s="707"/>
      <c r="AO20" s="602">
        <v>229083398.88384628</v>
      </c>
    </row>
    <row r="21" spans="1:41" ht="14.1" customHeight="1" x14ac:dyDescent="0.2">
      <c r="A21" s="252">
        <v>10</v>
      </c>
      <c r="B21" s="273"/>
      <c r="C21" s="269"/>
      <c r="D21" s="252" t="s">
        <v>167</v>
      </c>
      <c r="F21" s="664">
        <v>88042078.960000023</v>
      </c>
      <c r="G21" s="602"/>
      <c r="H21" s="664">
        <v>15776693.930000003</v>
      </c>
      <c r="I21" s="602"/>
      <c r="J21" s="664">
        <v>-1263119.1299999999</v>
      </c>
      <c r="K21" s="602"/>
      <c r="L21" s="664">
        <v>-12671587.829999998</v>
      </c>
      <c r="M21" s="602"/>
      <c r="N21" s="664">
        <v>156623.05000000005</v>
      </c>
      <c r="O21" s="602"/>
      <c r="P21" s="664">
        <v>0</v>
      </c>
      <c r="Q21" s="602"/>
      <c r="R21" s="664">
        <v>90040688.980000049</v>
      </c>
      <c r="S21" s="602"/>
      <c r="T21" s="664">
        <v>91352654.088461578</v>
      </c>
      <c r="V21" s="252">
        <v>10</v>
      </c>
      <c r="W21" s="273"/>
      <c r="X21" s="704"/>
      <c r="AA21" s="602"/>
      <c r="AB21" s="602"/>
      <c r="AC21" s="602"/>
      <c r="AD21" s="602"/>
      <c r="AE21" s="602"/>
      <c r="AF21" s="602"/>
      <c r="AG21" s="602"/>
      <c r="AH21" s="602"/>
      <c r="AI21" s="602"/>
      <c r="AJ21" s="602"/>
      <c r="AK21" s="602"/>
      <c r="AL21" s="602"/>
      <c r="AM21" s="602"/>
      <c r="AN21" s="602"/>
      <c r="AO21" s="602"/>
    </row>
    <row r="22" spans="1:41" ht="14.1" customHeight="1" x14ac:dyDescent="0.2">
      <c r="A22" s="252">
        <v>11</v>
      </c>
      <c r="B22" s="273"/>
      <c r="C22" s="269"/>
      <c r="F22" s="708"/>
      <c r="G22" s="708"/>
      <c r="H22" s="602"/>
      <c r="I22" s="602"/>
      <c r="J22" s="602"/>
      <c r="K22" s="602"/>
      <c r="L22" s="602"/>
      <c r="M22" s="602"/>
      <c r="N22" s="602"/>
      <c r="O22" s="602"/>
      <c r="P22" s="602"/>
      <c r="Q22" s="602"/>
      <c r="R22" s="602"/>
      <c r="S22" s="602"/>
      <c r="T22" s="602"/>
      <c r="V22" s="252">
        <v>11</v>
      </c>
      <c r="W22" s="273"/>
      <c r="X22" s="704"/>
      <c r="Y22" s="252" t="s">
        <v>169</v>
      </c>
      <c r="AA22" s="602">
        <v>1065690383.2900001</v>
      </c>
      <c r="AB22" s="602"/>
      <c r="AC22" s="602">
        <v>103546073.66</v>
      </c>
      <c r="AD22" s="602"/>
      <c r="AE22" s="602">
        <v>-37376328.5</v>
      </c>
      <c r="AF22" s="602"/>
      <c r="AG22" s="602">
        <v>-23951989.749999996</v>
      </c>
      <c r="AH22" s="602"/>
      <c r="AI22" s="602">
        <v>2077543.9300000002</v>
      </c>
      <c r="AJ22" s="602"/>
      <c r="AK22" s="602">
        <v>3647656.3700000006</v>
      </c>
      <c r="AL22" s="602"/>
      <c r="AM22" s="602">
        <v>1113633339.0000002</v>
      </c>
      <c r="AN22" s="602"/>
      <c r="AO22" s="602">
        <v>1088299748.4130769</v>
      </c>
    </row>
    <row r="23" spans="1:41" ht="14.1" customHeight="1" x14ac:dyDescent="0.2">
      <c r="A23" s="252">
        <v>12</v>
      </c>
      <c r="B23" s="273"/>
      <c r="C23" s="269"/>
      <c r="D23" s="252" t="s">
        <v>170</v>
      </c>
      <c r="F23" s="692"/>
      <c r="G23" s="69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  <c r="T23" s="602"/>
      <c r="V23" s="252">
        <v>12</v>
      </c>
      <c r="W23" s="273"/>
      <c r="X23" s="704"/>
      <c r="AA23" s="602"/>
      <c r="AB23" s="602"/>
      <c r="AC23" s="602"/>
      <c r="AD23" s="602"/>
      <c r="AE23" s="602"/>
      <c r="AF23" s="602"/>
      <c r="AG23" s="602"/>
      <c r="AH23" s="602"/>
      <c r="AI23" s="602"/>
      <c r="AJ23" s="602"/>
      <c r="AK23" s="602"/>
      <c r="AL23" s="602"/>
      <c r="AM23" s="602"/>
      <c r="AN23" s="602"/>
      <c r="AO23" s="602"/>
    </row>
    <row r="24" spans="1:41" ht="14.1" customHeight="1" x14ac:dyDescent="0.2">
      <c r="A24" s="252">
        <v>13</v>
      </c>
      <c r="B24" s="273"/>
      <c r="C24" s="269">
        <v>31141</v>
      </c>
      <c r="D24" s="252" t="s">
        <v>161</v>
      </c>
      <c r="F24" s="655">
        <v>4372602.0299999947</v>
      </c>
      <c r="G24" s="329"/>
      <c r="H24" s="655">
        <v>145742.51999999996</v>
      </c>
      <c r="I24" s="329"/>
      <c r="J24" s="655">
        <v>0</v>
      </c>
      <c r="K24" s="329"/>
      <c r="L24" s="655">
        <v>0</v>
      </c>
      <c r="M24" s="329"/>
      <c r="N24" s="655">
        <v>0</v>
      </c>
      <c r="O24" s="329"/>
      <c r="P24" s="655">
        <v>0</v>
      </c>
      <c r="Q24" s="329"/>
      <c r="R24" s="655">
        <v>4518344.5499999942</v>
      </c>
      <c r="S24" s="329"/>
      <c r="T24" s="655">
        <v>4445473.2899999954</v>
      </c>
      <c r="V24" s="252">
        <v>13</v>
      </c>
      <c r="W24" s="273"/>
      <c r="X24" s="704"/>
      <c r="Y24" s="252" t="s">
        <v>171</v>
      </c>
      <c r="AA24" s="657">
        <v>134212218.22</v>
      </c>
      <c r="AB24" s="602"/>
      <c r="AC24" s="657">
        <v>23353340.860000003</v>
      </c>
      <c r="AD24" s="602"/>
      <c r="AE24" s="657">
        <v>-13136852.42</v>
      </c>
      <c r="AF24" s="602"/>
      <c r="AG24" s="657">
        <v>-515725.23999999987</v>
      </c>
      <c r="AH24" s="602"/>
      <c r="AI24" s="657">
        <v>15233.229999999998</v>
      </c>
      <c r="AJ24" s="602"/>
      <c r="AK24" s="657">
        <v>289128.38</v>
      </c>
      <c r="AL24" s="709"/>
      <c r="AM24" s="657">
        <v>144217343.02999997</v>
      </c>
      <c r="AN24" s="707"/>
      <c r="AO24" s="657">
        <v>139621448.56769231</v>
      </c>
    </row>
    <row r="25" spans="1:41" ht="14.1" customHeight="1" x14ac:dyDescent="0.2">
      <c r="A25" s="252">
        <v>14</v>
      </c>
      <c r="B25" s="273"/>
      <c r="C25" s="269">
        <v>31241</v>
      </c>
      <c r="D25" s="252" t="s">
        <v>162</v>
      </c>
      <c r="F25" s="655">
        <v>32899781.82999998</v>
      </c>
      <c r="G25" s="329"/>
      <c r="H25" s="655">
        <v>4118858.169999999</v>
      </c>
      <c r="I25" s="329"/>
      <c r="J25" s="655">
        <v>-45045.439999999995</v>
      </c>
      <c r="K25" s="329"/>
      <c r="L25" s="655">
        <v>-1685847.57</v>
      </c>
      <c r="M25" s="329"/>
      <c r="N25" s="655">
        <v>21513.560000000005</v>
      </c>
      <c r="O25" s="329"/>
      <c r="P25" s="655">
        <v>0</v>
      </c>
      <c r="Q25" s="329"/>
      <c r="R25" s="655">
        <v>35309260.549999982</v>
      </c>
      <c r="S25" s="329"/>
      <c r="T25" s="655">
        <v>33527327.042307675</v>
      </c>
      <c r="V25" s="252">
        <v>14</v>
      </c>
      <c r="W25" s="273"/>
      <c r="X25" s="704"/>
      <c r="AA25" s="602"/>
      <c r="AB25" s="602"/>
      <c r="AC25" s="602"/>
      <c r="AD25" s="602"/>
      <c r="AE25" s="602"/>
      <c r="AF25" s="602"/>
      <c r="AG25" s="602"/>
      <c r="AH25" s="602"/>
      <c r="AI25" s="602"/>
      <c r="AJ25" s="602"/>
      <c r="AK25" s="602"/>
      <c r="AL25" s="707"/>
      <c r="AM25" s="602"/>
      <c r="AN25" s="707"/>
      <c r="AO25" s="602"/>
    </row>
    <row r="26" spans="1:41" ht="14.1" customHeight="1" x14ac:dyDescent="0.2">
      <c r="A26" s="252">
        <v>15</v>
      </c>
      <c r="B26" s="273"/>
      <c r="C26" s="269">
        <v>31441</v>
      </c>
      <c r="D26" s="252" t="s">
        <v>163</v>
      </c>
      <c r="F26" s="655">
        <v>14981107.170000011</v>
      </c>
      <c r="G26" s="329"/>
      <c r="H26" s="655">
        <v>1767094.7800000007</v>
      </c>
      <c r="I26" s="329"/>
      <c r="J26" s="655">
        <v>0</v>
      </c>
      <c r="K26" s="329"/>
      <c r="L26" s="655">
        <v>667758.89999999991</v>
      </c>
      <c r="M26" s="329"/>
      <c r="N26" s="655">
        <v>10553.880000000001</v>
      </c>
      <c r="O26" s="329"/>
      <c r="P26" s="655">
        <v>0</v>
      </c>
      <c r="Q26" s="329"/>
      <c r="R26" s="655">
        <v>17426514.730000012</v>
      </c>
      <c r="S26" s="329"/>
      <c r="T26" s="655">
        <v>15302792.073076941</v>
      </c>
      <c r="V26" s="252">
        <v>15</v>
      </c>
      <c r="W26" s="273"/>
      <c r="X26" s="704"/>
      <c r="Y26" s="278" t="s">
        <v>308</v>
      </c>
      <c r="AA26" s="602">
        <v>2987322322.0500002</v>
      </c>
      <c r="AB26" s="602"/>
      <c r="AC26" s="602">
        <v>336389327.36000001</v>
      </c>
      <c r="AD26" s="602"/>
      <c r="AE26" s="602">
        <v>-91077487.420000002</v>
      </c>
      <c r="AF26" s="602"/>
      <c r="AG26" s="602">
        <v>-58460243.550000004</v>
      </c>
      <c r="AH26" s="602"/>
      <c r="AI26" s="602">
        <v>3076487.47</v>
      </c>
      <c r="AJ26" s="602"/>
      <c r="AK26" s="602">
        <v>3924166.2400000007</v>
      </c>
      <c r="AL26" s="709"/>
      <c r="AM26" s="602">
        <v>3181174572.1500006</v>
      </c>
      <c r="AN26" s="707"/>
      <c r="AO26" s="602">
        <v>3080770208.7953844</v>
      </c>
    </row>
    <row r="27" spans="1:41" ht="14.1" customHeight="1" x14ac:dyDescent="0.2">
      <c r="A27" s="252">
        <v>16</v>
      </c>
      <c r="B27" s="273"/>
      <c r="C27" s="269">
        <v>31541</v>
      </c>
      <c r="D27" s="252" t="s">
        <v>164</v>
      </c>
      <c r="F27" s="655">
        <v>7874214.3899999978</v>
      </c>
      <c r="G27" s="329"/>
      <c r="H27" s="655">
        <v>595652.16</v>
      </c>
      <c r="I27" s="329"/>
      <c r="J27" s="655">
        <v>0</v>
      </c>
      <c r="K27" s="329"/>
      <c r="L27" s="655">
        <v>0</v>
      </c>
      <c r="M27" s="329"/>
      <c r="N27" s="655">
        <v>0</v>
      </c>
      <c r="O27" s="329"/>
      <c r="P27" s="655">
        <v>0</v>
      </c>
      <c r="Q27" s="329"/>
      <c r="R27" s="655">
        <v>8469866.549999997</v>
      </c>
      <c r="S27" s="329"/>
      <c r="T27" s="655">
        <v>8172040.4699999969</v>
      </c>
      <c r="V27" s="252">
        <v>16</v>
      </c>
      <c r="W27" s="273"/>
      <c r="X27" s="704"/>
      <c r="AA27" s="602"/>
      <c r="AB27" s="602"/>
      <c r="AC27" s="602"/>
      <c r="AD27" s="602"/>
      <c r="AE27" s="602"/>
      <c r="AF27" s="602"/>
      <c r="AG27" s="602"/>
      <c r="AH27" s="602"/>
      <c r="AI27" s="602"/>
      <c r="AJ27" s="602"/>
      <c r="AK27" s="602"/>
      <c r="AL27" s="707"/>
      <c r="AM27" s="602"/>
      <c r="AN27" s="707"/>
      <c r="AO27" s="602"/>
    </row>
    <row r="28" spans="1:41" ht="14.1" customHeight="1" x14ac:dyDescent="0.2">
      <c r="A28" s="252">
        <v>17</v>
      </c>
      <c r="B28" s="273"/>
      <c r="C28" s="269">
        <v>31641</v>
      </c>
      <c r="D28" s="252" t="s">
        <v>165</v>
      </c>
      <c r="F28" s="655">
        <v>505229.86999999831</v>
      </c>
      <c r="G28" s="329"/>
      <c r="H28" s="655">
        <v>28071.339999999997</v>
      </c>
      <c r="I28" s="329"/>
      <c r="J28" s="655">
        <v>-21657.02</v>
      </c>
      <c r="K28" s="329"/>
      <c r="L28" s="655">
        <v>0</v>
      </c>
      <c r="M28" s="329"/>
      <c r="N28" s="655">
        <v>0</v>
      </c>
      <c r="O28" s="329"/>
      <c r="P28" s="655">
        <v>0</v>
      </c>
      <c r="Q28" s="329"/>
      <c r="R28" s="655">
        <v>511644.18999999831</v>
      </c>
      <c r="S28" s="329"/>
      <c r="T28" s="655">
        <v>515955.83461538301</v>
      </c>
      <c r="V28" s="252">
        <v>17</v>
      </c>
      <c r="W28" s="273"/>
      <c r="X28" s="704"/>
      <c r="Y28" s="279" t="s">
        <v>173</v>
      </c>
      <c r="AA28" s="602">
        <v>0</v>
      </c>
      <c r="AB28" s="602"/>
      <c r="AC28" s="602">
        <v>0</v>
      </c>
      <c r="AD28" s="602"/>
      <c r="AE28" s="602">
        <v>0</v>
      </c>
      <c r="AF28" s="602"/>
      <c r="AG28" s="602">
        <v>0</v>
      </c>
      <c r="AH28" s="602"/>
      <c r="AI28" s="602">
        <v>0</v>
      </c>
      <c r="AJ28" s="602"/>
      <c r="AK28" s="602">
        <v>0</v>
      </c>
      <c r="AL28" s="707"/>
      <c r="AM28" s="602">
        <v>0</v>
      </c>
      <c r="AN28" s="707"/>
      <c r="AO28" s="602">
        <v>0</v>
      </c>
    </row>
    <row r="29" spans="1:41" ht="14.1" customHeight="1" x14ac:dyDescent="0.2">
      <c r="A29" s="252">
        <v>18</v>
      </c>
      <c r="B29" s="273"/>
      <c r="C29" s="269"/>
      <c r="D29" s="252" t="s">
        <v>174</v>
      </c>
      <c r="F29" s="664">
        <v>60632935.289999984</v>
      </c>
      <c r="G29" s="602"/>
      <c r="H29" s="664">
        <v>6655418.9699999988</v>
      </c>
      <c r="I29" s="602"/>
      <c r="J29" s="664">
        <v>-66702.459999999992</v>
      </c>
      <c r="K29" s="602"/>
      <c r="L29" s="664">
        <v>-1018088.6700000002</v>
      </c>
      <c r="M29" s="602"/>
      <c r="N29" s="664">
        <v>32067.440000000006</v>
      </c>
      <c r="O29" s="602"/>
      <c r="P29" s="664">
        <v>0</v>
      </c>
      <c r="Q29" s="602"/>
      <c r="R29" s="664">
        <v>66235630.569999985</v>
      </c>
      <c r="S29" s="602"/>
      <c r="T29" s="664">
        <v>61963588.709999986</v>
      </c>
      <c r="V29" s="252">
        <v>18</v>
      </c>
      <c r="W29" s="273"/>
      <c r="X29" s="704"/>
      <c r="AA29" s="602"/>
      <c r="AB29" s="602"/>
      <c r="AC29" s="602"/>
      <c r="AD29" s="602"/>
      <c r="AE29" s="602"/>
      <c r="AF29" s="602"/>
      <c r="AG29" s="602"/>
      <c r="AH29" s="602"/>
      <c r="AI29" s="602"/>
      <c r="AJ29" s="602"/>
      <c r="AK29" s="602"/>
      <c r="AL29" s="602"/>
      <c r="AM29" s="602"/>
      <c r="AN29" s="602"/>
      <c r="AO29" s="602"/>
    </row>
    <row r="30" spans="1:41" ht="14.1" customHeight="1" x14ac:dyDescent="0.2">
      <c r="A30" s="252">
        <v>19</v>
      </c>
      <c r="B30" s="273"/>
      <c r="C30" s="269"/>
      <c r="D30" s="280"/>
      <c r="E30" s="280"/>
      <c r="F30" s="708"/>
      <c r="G30" s="708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  <c r="S30" s="602"/>
      <c r="T30" s="602"/>
      <c r="V30" s="252">
        <v>19</v>
      </c>
      <c r="W30" s="273"/>
      <c r="X30" s="704"/>
      <c r="Y30" s="280" t="s">
        <v>175</v>
      </c>
      <c r="Z30" s="280"/>
      <c r="AA30" s="657">
        <v>83090843.179999992</v>
      </c>
      <c r="AB30" s="602"/>
      <c r="AC30" s="657">
        <v>219588.63000000027</v>
      </c>
      <c r="AD30" s="602"/>
      <c r="AE30" s="657">
        <v>0</v>
      </c>
      <c r="AF30" s="602"/>
      <c r="AG30" s="657">
        <v>0</v>
      </c>
      <c r="AH30" s="602"/>
      <c r="AI30" s="657">
        <v>0</v>
      </c>
      <c r="AJ30" s="602"/>
      <c r="AK30" s="657">
        <v>-287108.74</v>
      </c>
      <c r="AL30" s="709"/>
      <c r="AM30" s="657">
        <v>83023323.070000008</v>
      </c>
      <c r="AN30" s="602"/>
      <c r="AO30" s="657">
        <v>84645488.525384605</v>
      </c>
    </row>
    <row r="31" spans="1:41" ht="14.1" customHeight="1" x14ac:dyDescent="0.2">
      <c r="A31" s="252">
        <v>20</v>
      </c>
      <c r="B31" s="273"/>
      <c r="C31" s="269"/>
      <c r="D31" s="280" t="s">
        <v>176</v>
      </c>
      <c r="E31" s="280"/>
      <c r="F31" s="708"/>
      <c r="G31" s="708"/>
      <c r="H31" s="602"/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V31" s="252">
        <v>20</v>
      </c>
      <c r="W31" s="273"/>
      <c r="X31" s="704"/>
      <c r="Y31" s="280"/>
      <c r="Z31" s="280"/>
      <c r="AA31" s="602"/>
      <c r="AB31" s="602"/>
      <c r="AC31" s="602"/>
      <c r="AD31" s="602"/>
      <c r="AE31" s="602"/>
      <c r="AF31" s="602"/>
      <c r="AG31" s="602"/>
      <c r="AH31" s="602"/>
      <c r="AI31" s="602"/>
      <c r="AJ31" s="602"/>
      <c r="AK31" s="602"/>
      <c r="AL31" s="602"/>
      <c r="AM31" s="602"/>
      <c r="AN31" s="602"/>
      <c r="AO31" s="602"/>
    </row>
    <row r="32" spans="1:41" ht="14.1" customHeight="1" x14ac:dyDescent="0.2">
      <c r="A32" s="252">
        <v>21</v>
      </c>
      <c r="B32" s="273"/>
      <c r="C32" s="269">
        <v>31142</v>
      </c>
      <c r="D32" s="252" t="s">
        <v>161</v>
      </c>
      <c r="F32" s="655">
        <v>3899544.089999991</v>
      </c>
      <c r="G32" s="329"/>
      <c r="H32" s="655">
        <v>140904.76</v>
      </c>
      <c r="I32" s="329"/>
      <c r="J32" s="655">
        <v>-6264.35</v>
      </c>
      <c r="K32" s="329"/>
      <c r="L32" s="655">
        <v>-1542.97</v>
      </c>
      <c r="M32" s="329"/>
      <c r="N32" s="655">
        <v>0</v>
      </c>
      <c r="O32" s="329"/>
      <c r="P32" s="655">
        <v>0</v>
      </c>
      <c r="Q32" s="329"/>
      <c r="R32" s="655">
        <v>4032641.5299999909</v>
      </c>
      <c r="S32" s="329"/>
      <c r="T32" s="655">
        <v>3966406.9507692205</v>
      </c>
      <c r="V32" s="252">
        <v>21</v>
      </c>
      <c r="W32" s="273"/>
      <c r="X32" s="704"/>
      <c r="Y32" s="279" t="s">
        <v>309</v>
      </c>
      <c r="AA32" s="602">
        <v>3070413165.23</v>
      </c>
      <c r="AB32" s="602"/>
      <c r="AC32" s="602">
        <v>336608915.99000001</v>
      </c>
      <c r="AD32" s="602"/>
      <c r="AE32" s="602">
        <v>-91077487.420000002</v>
      </c>
      <c r="AF32" s="602"/>
      <c r="AG32" s="602">
        <v>-58460243.550000004</v>
      </c>
      <c r="AH32" s="602"/>
      <c r="AI32" s="602">
        <v>3076487.47</v>
      </c>
      <c r="AJ32" s="602"/>
      <c r="AK32" s="602">
        <v>3637057.5000000009</v>
      </c>
      <c r="AL32" s="707"/>
      <c r="AM32" s="602">
        <v>3264197895.2200007</v>
      </c>
      <c r="AN32" s="707"/>
      <c r="AO32" s="602">
        <v>3165415697.3207688</v>
      </c>
    </row>
    <row r="33" spans="1:41" ht="14.1" customHeight="1" x14ac:dyDescent="0.2">
      <c r="A33" s="252">
        <v>22</v>
      </c>
      <c r="B33" s="273"/>
      <c r="C33" s="269">
        <v>31242</v>
      </c>
      <c r="D33" s="252" t="s">
        <v>162</v>
      </c>
      <c r="F33" s="655">
        <v>28513715.339999985</v>
      </c>
      <c r="G33" s="329"/>
      <c r="H33" s="655">
        <v>3186333.7600000002</v>
      </c>
      <c r="I33" s="329"/>
      <c r="J33" s="655">
        <v>-173287.87000000002</v>
      </c>
      <c r="K33" s="329"/>
      <c r="L33" s="655">
        <v>-2116586.36</v>
      </c>
      <c r="M33" s="329"/>
      <c r="N33" s="655">
        <v>18590.049999999996</v>
      </c>
      <c r="O33" s="329"/>
      <c r="P33" s="655">
        <v>0</v>
      </c>
      <c r="Q33" s="329"/>
      <c r="R33" s="655">
        <v>29428764.919999987</v>
      </c>
      <c r="S33" s="329"/>
      <c r="T33" s="655">
        <v>29885815.799230754</v>
      </c>
      <c r="V33" s="252">
        <v>22</v>
      </c>
      <c r="W33" s="273"/>
      <c r="X33" s="704"/>
      <c r="AA33" s="602"/>
      <c r="AB33" s="602"/>
      <c r="AC33" s="602"/>
      <c r="AD33" s="602"/>
      <c r="AE33" s="602"/>
      <c r="AF33" s="602"/>
      <c r="AG33" s="602"/>
      <c r="AH33" s="602"/>
      <c r="AI33" s="602"/>
      <c r="AJ33" s="602"/>
      <c r="AK33" s="602"/>
      <c r="AL33" s="707"/>
      <c r="AM33" s="602"/>
      <c r="AN33" s="707"/>
      <c r="AO33" s="602"/>
    </row>
    <row r="34" spans="1:41" ht="14.1" customHeight="1" x14ac:dyDescent="0.2">
      <c r="A34" s="252">
        <v>23</v>
      </c>
      <c r="B34" s="273"/>
      <c r="C34" s="269">
        <v>31442</v>
      </c>
      <c r="D34" s="252" t="s">
        <v>163</v>
      </c>
      <c r="F34" s="655">
        <v>23173470.920000006</v>
      </c>
      <c r="G34" s="329"/>
      <c r="H34" s="655">
        <v>1931239.3200000003</v>
      </c>
      <c r="I34" s="329"/>
      <c r="J34" s="655">
        <v>-39955.040000000001</v>
      </c>
      <c r="K34" s="329"/>
      <c r="L34" s="655">
        <v>-53013.079999999994</v>
      </c>
      <c r="M34" s="329"/>
      <c r="N34" s="655">
        <v>10643.8</v>
      </c>
      <c r="O34" s="329"/>
      <c r="P34" s="655">
        <v>0</v>
      </c>
      <c r="Q34" s="329"/>
      <c r="R34" s="655">
        <v>25022385.920000009</v>
      </c>
      <c r="S34" s="329"/>
      <c r="T34" s="655">
        <v>24091876.707692321</v>
      </c>
      <c r="V34" s="252">
        <v>23</v>
      </c>
      <c r="W34" s="273"/>
      <c r="X34" s="704"/>
      <c r="Y34" s="252" t="s">
        <v>310</v>
      </c>
      <c r="AA34" s="602">
        <v>95522496.760000199</v>
      </c>
      <c r="AB34" s="602"/>
      <c r="AC34" s="602">
        <v>1186094.04</v>
      </c>
      <c r="AD34" s="602"/>
      <c r="AE34" s="602">
        <v>0</v>
      </c>
      <c r="AF34" s="602"/>
      <c r="AG34" s="602">
        <v>0</v>
      </c>
      <c r="AH34" s="602"/>
      <c r="AI34" s="602">
        <v>0</v>
      </c>
      <c r="AJ34" s="602"/>
      <c r="AK34" s="602">
        <v>0</v>
      </c>
      <c r="AL34" s="707"/>
      <c r="AM34" s="602">
        <v>96708590.800000206</v>
      </c>
      <c r="AN34" s="707"/>
      <c r="AO34" s="602">
        <v>96115543.78000021</v>
      </c>
    </row>
    <row r="35" spans="1:41" ht="14.1" customHeight="1" x14ac:dyDescent="0.2">
      <c r="A35" s="252">
        <v>24</v>
      </c>
      <c r="B35" s="273"/>
      <c r="C35" s="269">
        <v>31542</v>
      </c>
      <c r="D35" s="252" t="s">
        <v>164</v>
      </c>
      <c r="F35" s="655">
        <v>6995819.8800000036</v>
      </c>
      <c r="G35" s="329"/>
      <c r="H35" s="655">
        <v>622711.92000000016</v>
      </c>
      <c r="I35" s="329"/>
      <c r="J35" s="655">
        <v>0</v>
      </c>
      <c r="K35" s="329"/>
      <c r="L35" s="655">
        <v>0</v>
      </c>
      <c r="M35" s="329"/>
      <c r="N35" s="655">
        <v>0</v>
      </c>
      <c r="O35" s="329"/>
      <c r="P35" s="655">
        <v>0</v>
      </c>
      <c r="Q35" s="329"/>
      <c r="R35" s="655">
        <v>7618531.8000000035</v>
      </c>
      <c r="S35" s="329"/>
      <c r="T35" s="655">
        <v>7307175.8400000045</v>
      </c>
      <c r="V35" s="252">
        <v>24</v>
      </c>
      <c r="W35" s="273"/>
      <c r="X35" s="704"/>
      <c r="AA35" s="602"/>
      <c r="AB35" s="602"/>
      <c r="AC35" s="602"/>
      <c r="AD35" s="602"/>
      <c r="AE35" s="602"/>
      <c r="AF35" s="602"/>
      <c r="AG35" s="602"/>
      <c r="AH35" s="602"/>
      <c r="AI35" s="602"/>
      <c r="AJ35" s="602"/>
      <c r="AK35" s="602"/>
      <c r="AL35" s="707"/>
      <c r="AM35" s="602"/>
      <c r="AN35" s="707"/>
      <c r="AO35" s="602"/>
    </row>
    <row r="36" spans="1:41" ht="14.1" customHeight="1" x14ac:dyDescent="0.2">
      <c r="A36" s="252">
        <v>25</v>
      </c>
      <c r="B36" s="273"/>
      <c r="C36" s="269">
        <v>31642</v>
      </c>
      <c r="D36" s="252" t="s">
        <v>165</v>
      </c>
      <c r="F36" s="655">
        <v>469004.34000000072</v>
      </c>
      <c r="G36" s="329"/>
      <c r="H36" s="655">
        <v>16408.560000000005</v>
      </c>
      <c r="I36" s="329"/>
      <c r="J36" s="655">
        <v>0</v>
      </c>
      <c r="K36" s="329"/>
      <c r="L36" s="655">
        <v>0</v>
      </c>
      <c r="M36" s="329"/>
      <c r="N36" s="655">
        <v>0</v>
      </c>
      <c r="O36" s="329"/>
      <c r="P36" s="655">
        <v>0</v>
      </c>
      <c r="Q36" s="329"/>
      <c r="R36" s="655">
        <v>485412.90000000072</v>
      </c>
      <c r="S36" s="329"/>
      <c r="T36" s="655">
        <v>477208.62000000069</v>
      </c>
      <c r="V36" s="252">
        <v>25</v>
      </c>
      <c r="W36" s="273"/>
      <c r="X36" s="704"/>
      <c r="Y36" s="279" t="s">
        <v>179</v>
      </c>
      <c r="AA36" s="281">
        <v>5699822.6100000013</v>
      </c>
      <c r="AC36" s="281">
        <v>236708.69000000003</v>
      </c>
      <c r="AD36" s="602"/>
      <c r="AE36" s="602">
        <v>0</v>
      </c>
      <c r="AF36" s="602"/>
      <c r="AG36" s="602">
        <v>0</v>
      </c>
      <c r="AH36" s="602"/>
      <c r="AI36" s="602">
        <v>0</v>
      </c>
      <c r="AJ36" s="602"/>
      <c r="AK36" s="281">
        <v>0</v>
      </c>
      <c r="AL36" s="707"/>
      <c r="AM36" s="281">
        <v>5936531.3000000017</v>
      </c>
      <c r="AN36" s="707"/>
      <c r="AO36" s="281">
        <v>5818176.9515384641</v>
      </c>
    </row>
    <row r="37" spans="1:41" ht="14.1" customHeight="1" x14ac:dyDescent="0.2">
      <c r="A37" s="252">
        <v>26</v>
      </c>
      <c r="B37" s="273"/>
      <c r="C37" s="269"/>
      <c r="D37" s="282" t="s">
        <v>180</v>
      </c>
      <c r="E37" s="282"/>
      <c r="F37" s="664">
        <v>63051554.569999985</v>
      </c>
      <c r="G37" s="602"/>
      <c r="H37" s="664">
        <v>5897598.3200000003</v>
      </c>
      <c r="I37" s="602"/>
      <c r="J37" s="664">
        <v>-219507.26000000004</v>
      </c>
      <c r="K37" s="602"/>
      <c r="L37" s="664">
        <v>-2171142.41</v>
      </c>
      <c r="M37" s="602"/>
      <c r="N37" s="664">
        <v>29233.849999999995</v>
      </c>
      <c r="O37" s="602"/>
      <c r="P37" s="664">
        <v>0</v>
      </c>
      <c r="Q37" s="602"/>
      <c r="R37" s="664">
        <v>66587737.069999993</v>
      </c>
      <c r="S37" s="602"/>
      <c r="T37" s="664">
        <v>65728483.917692296</v>
      </c>
      <c r="V37" s="252">
        <v>26</v>
      </c>
      <c r="W37" s="273"/>
      <c r="X37" s="269"/>
    </row>
    <row r="38" spans="1:41" ht="14.1" customHeight="1" x14ac:dyDescent="0.2">
      <c r="A38" s="252">
        <v>27</v>
      </c>
      <c r="B38" s="273"/>
      <c r="C38" s="269"/>
      <c r="D38" s="282"/>
      <c r="E38" s="282"/>
      <c r="F38" s="602"/>
      <c r="G38" s="602"/>
      <c r="H38" s="602"/>
      <c r="I38" s="602"/>
      <c r="J38" s="602"/>
      <c r="K38" s="602"/>
      <c r="L38" s="692"/>
      <c r="M38" s="602"/>
      <c r="N38" s="692"/>
      <c r="O38" s="602"/>
      <c r="P38" s="692"/>
      <c r="Q38" s="692"/>
      <c r="R38" s="602"/>
      <c r="S38" s="602"/>
      <c r="T38" s="602"/>
      <c r="V38" s="252">
        <v>27</v>
      </c>
      <c r="W38" s="273"/>
      <c r="X38" s="704"/>
      <c r="Y38" s="252" t="s">
        <v>183</v>
      </c>
      <c r="AA38" s="283">
        <v>4383.010000000002</v>
      </c>
      <c r="AC38" s="283">
        <v>0</v>
      </c>
      <c r="AE38" s="283">
        <v>0</v>
      </c>
      <c r="AG38" s="283">
        <v>0</v>
      </c>
      <c r="AI38" s="283">
        <v>0</v>
      </c>
      <c r="AK38" s="283">
        <v>0</v>
      </c>
      <c r="AM38" s="283">
        <v>4383.010000000002</v>
      </c>
      <c r="AO38" s="283">
        <v>4383.010000000002</v>
      </c>
    </row>
    <row r="39" spans="1:41" ht="14.1" customHeight="1" x14ac:dyDescent="0.2">
      <c r="A39" s="252">
        <v>28</v>
      </c>
      <c r="B39" s="273"/>
      <c r="C39" s="269"/>
      <c r="D39" s="282" t="s">
        <v>182</v>
      </c>
      <c r="E39" s="282"/>
      <c r="F39" s="602"/>
      <c r="G39" s="602"/>
      <c r="H39" s="602"/>
      <c r="I39" s="602"/>
      <c r="J39" s="602"/>
      <c r="K39" s="602"/>
      <c r="L39" s="692"/>
      <c r="M39" s="602"/>
      <c r="N39" s="692"/>
      <c r="O39" s="602"/>
      <c r="P39" s="692"/>
      <c r="Q39" s="692"/>
      <c r="R39" s="602"/>
      <c r="S39" s="602"/>
      <c r="T39" s="602"/>
      <c r="V39" s="252">
        <v>28</v>
      </c>
      <c r="W39" s="273"/>
      <c r="X39" s="704"/>
      <c r="Y39" s="252" t="s">
        <v>1362</v>
      </c>
      <c r="AA39" s="281">
        <v>17174195.239999995</v>
      </c>
      <c r="AC39" s="281">
        <v>5302697.3299999991</v>
      </c>
      <c r="AD39" s="602"/>
      <c r="AE39" s="602">
        <v>0</v>
      </c>
      <c r="AF39" s="602"/>
      <c r="AG39" s="602">
        <v>0</v>
      </c>
      <c r="AH39" s="602"/>
      <c r="AI39" s="602">
        <v>0</v>
      </c>
      <c r="AJ39" s="602"/>
      <c r="AK39" s="281">
        <v>0</v>
      </c>
      <c r="AL39" s="707"/>
      <c r="AM39" s="281">
        <v>22476892.569999997</v>
      </c>
      <c r="AN39" s="707"/>
      <c r="AO39" s="281">
        <v>19803273.028461535</v>
      </c>
    </row>
    <row r="40" spans="1:41" ht="14.1" customHeight="1" x14ac:dyDescent="0.2">
      <c r="A40" s="252">
        <v>29</v>
      </c>
      <c r="B40" s="273"/>
      <c r="C40" s="269">
        <v>31143</v>
      </c>
      <c r="D40" s="252" t="s">
        <v>161</v>
      </c>
      <c r="F40" s="655">
        <v>10046181.149999976</v>
      </c>
      <c r="G40" s="329"/>
      <c r="H40" s="655">
        <v>273708.10000000003</v>
      </c>
      <c r="I40" s="329"/>
      <c r="J40" s="655">
        <v>-130556.65</v>
      </c>
      <c r="K40" s="329"/>
      <c r="L40" s="655">
        <v>-101353.9</v>
      </c>
      <c r="M40" s="329"/>
      <c r="N40" s="655">
        <v>0</v>
      </c>
      <c r="O40" s="329"/>
      <c r="P40" s="655">
        <v>0</v>
      </c>
      <c r="Q40" s="329"/>
      <c r="R40" s="655">
        <v>10087978.699999975</v>
      </c>
      <c r="S40" s="329"/>
      <c r="T40" s="655">
        <v>9969046.7699999716</v>
      </c>
      <c r="V40" s="252">
        <v>29</v>
      </c>
      <c r="W40" s="273"/>
      <c r="X40" s="704"/>
    </row>
    <row r="41" spans="1:41" ht="14.1" customHeight="1" x14ac:dyDescent="0.2">
      <c r="A41" s="252">
        <v>30</v>
      </c>
      <c r="B41" s="273"/>
      <c r="C41" s="269">
        <v>31243</v>
      </c>
      <c r="D41" s="252" t="s">
        <v>162</v>
      </c>
      <c r="F41" s="655">
        <v>57370340.44000002</v>
      </c>
      <c r="G41" s="329"/>
      <c r="H41" s="655">
        <v>5734282.410000002</v>
      </c>
      <c r="I41" s="329"/>
      <c r="J41" s="655">
        <v>-699208.72000000009</v>
      </c>
      <c r="K41" s="329"/>
      <c r="L41" s="655">
        <v>640145.74</v>
      </c>
      <c r="M41" s="329"/>
      <c r="N41" s="655">
        <v>34972.94</v>
      </c>
      <c r="O41" s="329"/>
      <c r="P41" s="655">
        <v>0</v>
      </c>
      <c r="Q41" s="329"/>
      <c r="R41" s="655">
        <v>63080532.810000025</v>
      </c>
      <c r="S41" s="329"/>
      <c r="T41" s="655">
        <v>60121279.518461578</v>
      </c>
      <c r="V41" s="252">
        <v>30</v>
      </c>
      <c r="W41" s="273"/>
      <c r="X41" s="704"/>
      <c r="Y41" s="279" t="s">
        <v>311</v>
      </c>
      <c r="AA41" s="283">
        <v>0</v>
      </c>
      <c r="AC41" s="283">
        <v>0</v>
      </c>
      <c r="AE41" s="283">
        <v>0</v>
      </c>
      <c r="AG41" s="283">
        <v>0</v>
      </c>
      <c r="AI41" s="283">
        <v>0</v>
      </c>
      <c r="AK41" s="283">
        <v>0</v>
      </c>
      <c r="AM41" s="283">
        <v>0</v>
      </c>
      <c r="AO41" s="283">
        <v>0</v>
      </c>
    </row>
    <row r="42" spans="1:41" ht="14.1" customHeight="1" x14ac:dyDescent="0.2">
      <c r="A42" s="252">
        <v>31</v>
      </c>
      <c r="B42" s="273"/>
      <c r="C42" s="269">
        <v>31443</v>
      </c>
      <c r="D42" s="252" t="s">
        <v>163</v>
      </c>
      <c r="F42" s="655">
        <v>22630223.749999966</v>
      </c>
      <c r="G42" s="329"/>
      <c r="H42" s="655">
        <v>1737869.6199999999</v>
      </c>
      <c r="I42" s="329"/>
      <c r="J42" s="655">
        <v>-896517.69</v>
      </c>
      <c r="K42" s="329"/>
      <c r="L42" s="655">
        <v>-167077.61000000004</v>
      </c>
      <c r="M42" s="329"/>
      <c r="N42" s="655">
        <v>11981.23</v>
      </c>
      <c r="O42" s="329"/>
      <c r="P42" s="655">
        <v>0</v>
      </c>
      <c r="Q42" s="329"/>
      <c r="R42" s="655">
        <v>23316479.299999967</v>
      </c>
      <c r="S42" s="329"/>
      <c r="T42" s="655">
        <v>22563948.618461508</v>
      </c>
      <c r="V42" s="252">
        <v>31</v>
      </c>
      <c r="W42" s="273"/>
      <c r="X42" s="704"/>
      <c r="Y42" s="282"/>
      <c r="Z42" s="282"/>
      <c r="AA42" s="664"/>
      <c r="AB42" s="602"/>
      <c r="AC42" s="664"/>
      <c r="AD42" s="602"/>
      <c r="AE42" s="664"/>
      <c r="AF42" s="602"/>
      <c r="AG42" s="664"/>
      <c r="AH42" s="602"/>
      <c r="AI42" s="664"/>
      <c r="AJ42" s="602"/>
      <c r="AK42" s="664"/>
      <c r="AL42" s="602"/>
      <c r="AM42" s="664"/>
      <c r="AN42" s="602"/>
      <c r="AO42" s="664"/>
    </row>
    <row r="43" spans="1:41" ht="14.1" customHeight="1" thickBot="1" x14ac:dyDescent="0.25">
      <c r="A43" s="252">
        <v>32</v>
      </c>
      <c r="B43" s="273"/>
      <c r="C43" s="269">
        <v>31543</v>
      </c>
      <c r="D43" s="252" t="s">
        <v>164</v>
      </c>
      <c r="F43" s="655">
        <v>14670556.449999996</v>
      </c>
      <c r="G43" s="329"/>
      <c r="H43" s="655">
        <v>929753.87000000011</v>
      </c>
      <c r="I43" s="329"/>
      <c r="J43" s="655">
        <v>-190337.12</v>
      </c>
      <c r="K43" s="329"/>
      <c r="L43" s="655">
        <v>-101396.28</v>
      </c>
      <c r="M43" s="329"/>
      <c r="N43" s="655">
        <v>0</v>
      </c>
      <c r="O43" s="329"/>
      <c r="P43" s="655">
        <v>0</v>
      </c>
      <c r="Q43" s="329"/>
      <c r="R43" s="655">
        <v>15308576.919999998</v>
      </c>
      <c r="S43" s="329"/>
      <c r="T43" s="655">
        <v>15017054.251538455</v>
      </c>
      <c r="V43" s="252">
        <v>32</v>
      </c>
      <c r="W43" s="273"/>
      <c r="X43" s="704"/>
      <c r="Y43" s="278" t="s">
        <v>312</v>
      </c>
      <c r="Z43" s="282"/>
      <c r="AA43" s="670">
        <v>3188814062.8500004</v>
      </c>
      <c r="AB43" s="602"/>
      <c r="AC43" s="670">
        <v>343334416.05000001</v>
      </c>
      <c r="AD43" s="709"/>
      <c r="AE43" s="670">
        <v>-91077487.420000002</v>
      </c>
      <c r="AG43" s="670">
        <v>-58460243.550000004</v>
      </c>
      <c r="AI43" s="670">
        <v>3076487.47</v>
      </c>
      <c r="AK43" s="670">
        <v>3637057.5000000009</v>
      </c>
      <c r="AL43" s="709"/>
      <c r="AM43" s="670">
        <v>3389324292.9000015</v>
      </c>
      <c r="AN43" s="602"/>
      <c r="AO43" s="670">
        <v>3287157074.0907693</v>
      </c>
    </row>
    <row r="44" spans="1:41" ht="14.1" customHeight="1" thickTop="1" x14ac:dyDescent="0.2">
      <c r="A44" s="252">
        <v>33</v>
      </c>
      <c r="B44" s="273"/>
      <c r="C44" s="269">
        <v>31643</v>
      </c>
      <c r="D44" s="252" t="s">
        <v>165</v>
      </c>
      <c r="F44" s="655">
        <v>841326.02000000142</v>
      </c>
      <c r="G44" s="329"/>
      <c r="H44" s="655">
        <v>59647.55999999999</v>
      </c>
      <c r="I44" s="329"/>
      <c r="J44" s="655">
        <v>0</v>
      </c>
      <c r="K44" s="329"/>
      <c r="L44" s="655">
        <v>0</v>
      </c>
      <c r="M44" s="329"/>
      <c r="N44" s="655">
        <v>0</v>
      </c>
      <c r="O44" s="329"/>
      <c r="P44" s="655">
        <v>0</v>
      </c>
      <c r="Q44" s="329"/>
      <c r="R44" s="655">
        <v>900973.58000000136</v>
      </c>
      <c r="S44" s="329"/>
      <c r="T44" s="655">
        <v>871149.80000000156</v>
      </c>
      <c r="V44" s="252">
        <v>33</v>
      </c>
      <c r="W44" s="273"/>
      <c r="X44" s="704"/>
      <c r="Y44" s="282"/>
      <c r="Z44" s="282"/>
      <c r="AA44" s="710">
        <v>0</v>
      </c>
      <c r="AB44" s="710"/>
      <c r="AC44" s="710">
        <v>0</v>
      </c>
      <c r="AD44" s="710"/>
      <c r="AE44" s="710">
        <v>0</v>
      </c>
      <c r="AF44" s="710"/>
      <c r="AG44" s="710">
        <v>0</v>
      </c>
      <c r="AH44" s="710"/>
      <c r="AI44" s="710">
        <v>0</v>
      </c>
      <c r="AJ44" s="710"/>
      <c r="AK44" s="710">
        <v>0</v>
      </c>
      <c r="AL44" s="711"/>
      <c r="AM44" s="710">
        <v>0</v>
      </c>
      <c r="AN44" s="710"/>
      <c r="AO44" s="710">
        <v>0</v>
      </c>
    </row>
    <row r="45" spans="1:41" ht="14.1" customHeight="1" x14ac:dyDescent="0.2">
      <c r="A45" s="252">
        <v>34</v>
      </c>
      <c r="B45" s="273"/>
      <c r="C45" s="269"/>
      <c r="D45" s="282" t="s">
        <v>185</v>
      </c>
      <c r="E45" s="282"/>
      <c r="F45" s="664">
        <v>105558627.80999996</v>
      </c>
      <c r="G45" s="602"/>
      <c r="H45" s="664">
        <v>8735261.5600000024</v>
      </c>
      <c r="I45" s="602"/>
      <c r="J45" s="664">
        <v>-1916620.1800000002</v>
      </c>
      <c r="K45" s="602"/>
      <c r="L45" s="664">
        <v>270317.94999999995</v>
      </c>
      <c r="M45" s="602"/>
      <c r="N45" s="664">
        <v>46954.17</v>
      </c>
      <c r="O45" s="602"/>
      <c r="P45" s="664">
        <v>0</v>
      </c>
      <c r="Q45" s="602"/>
      <c r="R45" s="664">
        <v>112694541.30999997</v>
      </c>
      <c r="S45" s="602"/>
      <c r="T45" s="664">
        <v>108542478.95846151</v>
      </c>
      <c r="V45" s="252">
        <v>34</v>
      </c>
      <c r="W45" s="273"/>
      <c r="X45" s="704"/>
      <c r="Y45" s="282"/>
      <c r="Z45" s="282"/>
      <c r="AA45" s="602"/>
      <c r="AB45" s="602"/>
      <c r="AC45" s="602"/>
      <c r="AD45" s="602"/>
      <c r="AE45" s="602"/>
      <c r="AF45" s="602"/>
      <c r="AG45" s="602"/>
      <c r="AH45" s="602"/>
      <c r="AI45" s="602"/>
      <c r="AJ45" s="602"/>
      <c r="AK45" s="602"/>
      <c r="AL45" s="602"/>
      <c r="AM45" s="602"/>
      <c r="AN45" s="602"/>
      <c r="AO45" s="602"/>
    </row>
    <row r="46" spans="1:41" ht="14.1" customHeight="1" x14ac:dyDescent="0.2">
      <c r="A46" s="252">
        <v>35</v>
      </c>
      <c r="B46" s="273"/>
      <c r="C46" s="269"/>
      <c r="D46" s="282"/>
      <c r="E46" s="282"/>
      <c r="F46" s="602"/>
      <c r="G46" s="602"/>
      <c r="H46" s="602"/>
      <c r="I46" s="602"/>
      <c r="J46" s="602"/>
      <c r="K46" s="602"/>
      <c r="L46" s="602"/>
      <c r="M46" s="602"/>
      <c r="N46" s="602"/>
      <c r="O46" s="602"/>
      <c r="P46" s="602"/>
      <c r="Q46" s="602"/>
      <c r="R46" s="602"/>
      <c r="S46" s="602"/>
      <c r="T46" s="602"/>
      <c r="V46" s="252">
        <v>35</v>
      </c>
      <c r="W46" s="273"/>
      <c r="X46" s="704"/>
      <c r="Y46" s="282"/>
      <c r="Z46" s="282"/>
      <c r="AA46" s="602"/>
      <c r="AB46" s="602"/>
      <c r="AC46" s="602"/>
      <c r="AD46" s="602"/>
      <c r="AE46" s="602"/>
      <c r="AF46" s="602"/>
      <c r="AG46" s="602"/>
      <c r="AH46" s="602"/>
      <c r="AI46" s="602"/>
      <c r="AJ46" s="602"/>
      <c r="AK46" s="602"/>
      <c r="AL46" s="602"/>
      <c r="AM46" s="602"/>
      <c r="AN46" s="602"/>
      <c r="AO46" s="602"/>
    </row>
    <row r="47" spans="1:41" ht="14.1" customHeight="1" x14ac:dyDescent="0.2">
      <c r="A47" s="252">
        <v>36</v>
      </c>
      <c r="B47" s="273"/>
      <c r="C47" s="284"/>
      <c r="D47" s="282" t="s">
        <v>188</v>
      </c>
      <c r="E47" s="282"/>
      <c r="F47" s="602"/>
      <c r="G47" s="602"/>
      <c r="H47" s="602"/>
      <c r="I47" s="602"/>
      <c r="J47" s="602"/>
      <c r="K47" s="602"/>
      <c r="L47" s="692"/>
      <c r="M47" s="602"/>
      <c r="N47" s="692"/>
      <c r="O47" s="602"/>
      <c r="P47" s="692"/>
      <c r="Q47" s="692"/>
      <c r="R47" s="602"/>
      <c r="S47" s="602"/>
      <c r="T47" s="602"/>
      <c r="V47" s="252">
        <v>36</v>
      </c>
      <c r="W47" s="273"/>
      <c r="X47" s="704"/>
      <c r="Y47" s="282"/>
      <c r="Z47" s="282"/>
      <c r="AA47" s="602"/>
      <c r="AB47" s="602"/>
      <c r="AC47" s="602"/>
      <c r="AD47" s="602"/>
      <c r="AE47" s="602"/>
      <c r="AF47" s="602"/>
      <c r="AG47" s="602"/>
      <c r="AH47" s="602"/>
      <c r="AI47" s="602"/>
      <c r="AJ47" s="602"/>
      <c r="AK47" s="602"/>
      <c r="AL47" s="602"/>
      <c r="AM47" s="602"/>
      <c r="AN47" s="602"/>
      <c r="AO47" s="602"/>
    </row>
    <row r="48" spans="1:41" ht="14.1" customHeight="1" x14ac:dyDescent="0.2">
      <c r="A48" s="252">
        <v>37</v>
      </c>
      <c r="B48" s="273"/>
      <c r="C48" s="269">
        <v>31144</v>
      </c>
      <c r="D48" s="252" t="s">
        <v>161</v>
      </c>
      <c r="F48" s="655">
        <v>35084564.210000016</v>
      </c>
      <c r="G48" s="329"/>
      <c r="H48" s="655">
        <v>1161025.5900000003</v>
      </c>
      <c r="I48" s="329"/>
      <c r="J48" s="655">
        <v>-127108.59</v>
      </c>
      <c r="K48" s="329"/>
      <c r="L48" s="655">
        <v>-390610.39</v>
      </c>
      <c r="M48" s="329"/>
      <c r="N48" s="655">
        <v>0</v>
      </c>
      <c r="O48" s="329"/>
      <c r="P48" s="655">
        <v>0</v>
      </c>
      <c r="Q48" s="329"/>
      <c r="R48" s="655">
        <v>35727870.820000015</v>
      </c>
      <c r="S48" s="329"/>
      <c r="T48" s="655">
        <v>35403246.123076938</v>
      </c>
      <c r="V48" s="252">
        <v>37</v>
      </c>
      <c r="W48" s="712"/>
      <c r="X48" s="704"/>
      <c r="Y48" s="282"/>
      <c r="Z48" s="282"/>
      <c r="AA48" s="602"/>
      <c r="AB48" s="602"/>
      <c r="AC48" s="602"/>
      <c r="AD48" s="602"/>
      <c r="AE48" s="602"/>
      <c r="AF48" s="602"/>
      <c r="AG48" s="602"/>
      <c r="AH48" s="602"/>
      <c r="AI48" s="602"/>
      <c r="AJ48" s="602"/>
      <c r="AK48" s="602"/>
      <c r="AL48" s="602"/>
      <c r="AM48" s="602"/>
      <c r="AN48" s="602"/>
      <c r="AO48" s="602"/>
    </row>
    <row r="49" spans="1:41" ht="14.1" customHeight="1" x14ac:dyDescent="0.2">
      <c r="A49" s="252">
        <v>38</v>
      </c>
      <c r="B49" s="273"/>
      <c r="C49" s="269">
        <v>31244</v>
      </c>
      <c r="D49" s="252" t="s">
        <v>162</v>
      </c>
      <c r="F49" s="655">
        <v>107883134.4700001</v>
      </c>
      <c r="G49" s="329"/>
      <c r="H49" s="655">
        <v>8229861.7600000007</v>
      </c>
      <c r="I49" s="329"/>
      <c r="J49" s="655">
        <v>-16653346.49</v>
      </c>
      <c r="K49" s="329"/>
      <c r="L49" s="655">
        <v>-5814875.9699999997</v>
      </c>
      <c r="M49" s="329"/>
      <c r="N49" s="655">
        <v>65837.42</v>
      </c>
      <c r="O49" s="329"/>
      <c r="P49" s="655">
        <v>0</v>
      </c>
      <c r="Q49" s="329"/>
      <c r="R49" s="655">
        <v>93710611.190000117</v>
      </c>
      <c r="S49" s="329"/>
      <c r="T49" s="655">
        <v>97157163.841538563</v>
      </c>
      <c r="V49" s="252">
        <v>38</v>
      </c>
      <c r="W49" s="712"/>
      <c r="X49" s="704"/>
      <c r="Y49" s="282"/>
      <c r="Z49" s="282"/>
      <c r="AA49" s="602"/>
      <c r="AB49" s="602"/>
      <c r="AC49" s="602"/>
      <c r="AD49" s="602"/>
      <c r="AE49" s="602"/>
      <c r="AF49" s="602"/>
      <c r="AG49" s="692"/>
      <c r="AH49" s="602"/>
      <c r="AI49" s="692"/>
      <c r="AJ49" s="692"/>
      <c r="AK49" s="692"/>
      <c r="AL49" s="692"/>
      <c r="AM49" s="602"/>
      <c r="AN49" s="602"/>
      <c r="AO49" s="602"/>
    </row>
    <row r="50" spans="1:41" ht="14.1" customHeight="1" x14ac:dyDescent="0.2">
      <c r="A50" s="252">
        <v>39</v>
      </c>
      <c r="B50" s="273"/>
      <c r="C50" s="269">
        <v>31444</v>
      </c>
      <c r="D50" s="252" t="s">
        <v>163</v>
      </c>
      <c r="F50" s="655">
        <v>46820219.81000001</v>
      </c>
      <c r="G50" s="329"/>
      <c r="H50" s="655">
        <v>2909503.6799999997</v>
      </c>
      <c r="I50" s="329"/>
      <c r="J50" s="655">
        <v>-2873153.4599999995</v>
      </c>
      <c r="K50" s="329"/>
      <c r="L50" s="655">
        <v>-1801343.7999999998</v>
      </c>
      <c r="M50" s="329"/>
      <c r="N50" s="655">
        <v>25042.29</v>
      </c>
      <c r="O50" s="329"/>
      <c r="P50" s="655">
        <v>0</v>
      </c>
      <c r="Q50" s="329"/>
      <c r="R50" s="655">
        <v>45080268.520000011</v>
      </c>
      <c r="S50" s="329"/>
      <c r="T50" s="655">
        <v>45127637.307692297</v>
      </c>
      <c r="V50" s="252">
        <v>39</v>
      </c>
      <c r="W50" s="712"/>
      <c r="X50" s="704"/>
      <c r="Y50" s="282"/>
      <c r="Z50" s="282"/>
      <c r="AA50" s="602"/>
      <c r="AB50" s="602"/>
      <c r="AC50" s="602"/>
      <c r="AD50" s="602"/>
      <c r="AE50" s="602"/>
      <c r="AF50" s="602"/>
      <c r="AG50" s="692"/>
      <c r="AH50" s="602"/>
      <c r="AI50" s="692"/>
      <c r="AJ50" s="692"/>
      <c r="AK50" s="692"/>
      <c r="AL50" s="692"/>
      <c r="AM50" s="602"/>
      <c r="AN50" s="602"/>
      <c r="AO50" s="602"/>
    </row>
    <row r="51" spans="1:41" ht="14.1" customHeight="1" x14ac:dyDescent="0.2">
      <c r="A51" s="252">
        <v>40</v>
      </c>
      <c r="B51" s="273"/>
      <c r="C51" s="269">
        <v>31544</v>
      </c>
      <c r="D51" s="252" t="s">
        <v>164</v>
      </c>
      <c r="F51" s="655">
        <v>27972671.619999971</v>
      </c>
      <c r="G51" s="329"/>
      <c r="H51" s="655">
        <v>1551121.5700000005</v>
      </c>
      <c r="I51" s="329"/>
      <c r="J51" s="655">
        <v>-138831.19999999998</v>
      </c>
      <c r="K51" s="329"/>
      <c r="L51" s="655">
        <v>-16198.99</v>
      </c>
      <c r="M51" s="329"/>
      <c r="N51" s="655">
        <v>0</v>
      </c>
      <c r="O51" s="329"/>
      <c r="P51" s="655">
        <v>0</v>
      </c>
      <c r="Q51" s="329"/>
      <c r="R51" s="655">
        <v>29368762.999999974</v>
      </c>
      <c r="S51" s="329"/>
      <c r="T51" s="655">
        <v>28687210.599999968</v>
      </c>
      <c r="V51" s="252">
        <v>40</v>
      </c>
      <c r="W51" s="712"/>
      <c r="X51" s="704"/>
      <c r="Y51" s="282"/>
      <c r="Z51" s="282"/>
      <c r="AA51" s="602"/>
      <c r="AB51" s="602"/>
      <c r="AC51" s="602"/>
      <c r="AD51" s="602"/>
      <c r="AE51" s="602"/>
      <c r="AF51" s="602"/>
      <c r="AG51" s="692"/>
      <c r="AH51" s="602"/>
      <c r="AI51" s="692"/>
      <c r="AJ51" s="692"/>
      <c r="AK51" s="692"/>
      <c r="AL51" s="692"/>
      <c r="AM51" s="602"/>
      <c r="AN51" s="602"/>
      <c r="AO51" s="602"/>
    </row>
    <row r="52" spans="1:41" ht="14.1" customHeight="1" x14ac:dyDescent="0.2">
      <c r="A52" s="252">
        <v>41</v>
      </c>
      <c r="B52" s="273"/>
      <c r="C52" s="269">
        <v>31644</v>
      </c>
      <c r="D52" s="252" t="s">
        <v>165</v>
      </c>
      <c r="F52" s="655">
        <v>3789636.4299999964</v>
      </c>
      <c r="G52" s="329"/>
      <c r="H52" s="655">
        <v>146645.28</v>
      </c>
      <c r="I52" s="329"/>
      <c r="J52" s="655">
        <v>0</v>
      </c>
      <c r="K52" s="329"/>
      <c r="L52" s="655">
        <v>0</v>
      </c>
      <c r="M52" s="329"/>
      <c r="N52" s="655">
        <v>0</v>
      </c>
      <c r="O52" s="329"/>
      <c r="P52" s="655">
        <v>0</v>
      </c>
      <c r="Q52" s="329"/>
      <c r="R52" s="655">
        <v>3936281.7099999962</v>
      </c>
      <c r="S52" s="329"/>
      <c r="T52" s="655">
        <v>3862959.0699999956</v>
      </c>
      <c r="V52" s="252">
        <v>41</v>
      </c>
      <c r="W52" s="712"/>
      <c r="X52" s="704"/>
      <c r="Y52" s="282"/>
      <c r="Z52" s="282"/>
      <c r="AA52" s="602"/>
      <c r="AB52" s="602"/>
      <c r="AC52" s="602"/>
      <c r="AD52" s="602"/>
      <c r="AE52" s="602"/>
      <c r="AF52" s="602"/>
      <c r="AG52" s="692"/>
      <c r="AH52" s="602"/>
      <c r="AI52" s="692"/>
      <c r="AJ52" s="692"/>
      <c r="AK52" s="692"/>
      <c r="AL52" s="692"/>
      <c r="AM52" s="602"/>
      <c r="AN52" s="602"/>
      <c r="AO52" s="602"/>
    </row>
    <row r="53" spans="1:41" ht="14.1" customHeight="1" x14ac:dyDescent="0.2">
      <c r="A53" s="252">
        <v>42</v>
      </c>
      <c r="B53" s="273"/>
      <c r="D53" s="282" t="s">
        <v>189</v>
      </c>
      <c r="E53" s="282"/>
      <c r="F53" s="664">
        <v>221550226.54000011</v>
      </c>
      <c r="G53" s="602"/>
      <c r="H53" s="664">
        <v>13998157.880000001</v>
      </c>
      <c r="I53" s="602"/>
      <c r="J53" s="664">
        <v>-19792439.740000002</v>
      </c>
      <c r="K53" s="602"/>
      <c r="L53" s="664">
        <v>-8023029.1499999994</v>
      </c>
      <c r="M53" s="602"/>
      <c r="N53" s="664">
        <v>90879.709999999992</v>
      </c>
      <c r="O53" s="602"/>
      <c r="P53" s="664">
        <v>0</v>
      </c>
      <c r="Q53" s="602"/>
      <c r="R53" s="664">
        <v>207823795.24000013</v>
      </c>
      <c r="S53" s="602"/>
      <c r="T53" s="664">
        <v>210238216.94230774</v>
      </c>
      <c r="V53" s="252">
        <v>42</v>
      </c>
      <c r="W53" s="712"/>
      <c r="X53" s="704"/>
      <c r="Y53" s="282"/>
      <c r="Z53" s="282"/>
      <c r="AA53" s="602"/>
      <c r="AB53" s="602"/>
      <c r="AC53" s="602"/>
      <c r="AD53" s="602"/>
      <c r="AE53" s="602"/>
      <c r="AF53" s="602"/>
      <c r="AG53" s="692"/>
      <c r="AH53" s="602"/>
      <c r="AI53" s="692"/>
      <c r="AJ53" s="692"/>
      <c r="AK53" s="692"/>
      <c r="AL53" s="692"/>
      <c r="AM53" s="602"/>
      <c r="AN53" s="602"/>
      <c r="AO53" s="602"/>
    </row>
    <row r="54" spans="1:41" ht="14.1" customHeight="1" x14ac:dyDescent="0.2">
      <c r="A54" s="252">
        <v>43</v>
      </c>
      <c r="B54" s="273"/>
      <c r="C54" s="284"/>
      <c r="D54" s="282"/>
      <c r="E54" s="282"/>
      <c r="F54" s="602"/>
      <c r="G54" s="602"/>
      <c r="H54" s="602"/>
      <c r="I54" s="602"/>
      <c r="J54" s="602"/>
      <c r="K54" s="602"/>
      <c r="L54" s="692"/>
      <c r="M54" s="602"/>
      <c r="N54" s="692"/>
      <c r="O54" s="602"/>
      <c r="P54" s="692"/>
      <c r="Q54" s="692"/>
      <c r="R54" s="602"/>
      <c r="S54" s="602"/>
      <c r="T54" s="602"/>
      <c r="V54" s="252">
        <v>43</v>
      </c>
      <c r="W54" s="712"/>
      <c r="X54" s="704"/>
      <c r="Y54" s="282"/>
      <c r="Z54" s="282"/>
      <c r="AA54" s="602"/>
      <c r="AB54" s="602"/>
      <c r="AC54" s="602"/>
      <c r="AD54" s="602"/>
      <c r="AE54" s="602"/>
      <c r="AF54" s="602"/>
      <c r="AG54" s="692"/>
      <c r="AH54" s="602"/>
      <c r="AI54" s="692"/>
      <c r="AJ54" s="692"/>
      <c r="AK54" s="692"/>
      <c r="AL54" s="692"/>
      <c r="AM54" s="602"/>
      <c r="AN54" s="602"/>
      <c r="AO54" s="602"/>
    </row>
    <row r="55" spans="1:41" ht="14.1" customHeight="1" thickBot="1" x14ac:dyDescent="0.25">
      <c r="A55" s="252">
        <v>44</v>
      </c>
      <c r="B55" s="667" t="s">
        <v>186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V55" s="252">
        <v>44</v>
      </c>
      <c r="W55" s="667" t="s">
        <v>186</v>
      </c>
      <c r="X55" s="702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</row>
    <row r="56" spans="1:41" ht="14.1" customHeight="1" x14ac:dyDescent="0.2">
      <c r="A56" s="252" t="s">
        <v>60</v>
      </c>
      <c r="R56" s="261" t="s">
        <v>60</v>
      </c>
      <c r="V56" s="252" t="s">
        <v>60</v>
      </c>
      <c r="AM56" s="261" t="s">
        <v>60</v>
      </c>
    </row>
    <row r="57" spans="1:41" ht="14.1" customHeight="1" thickBot="1" x14ac:dyDescent="0.25">
      <c r="A57" s="264" t="s">
        <v>301</v>
      </c>
      <c r="B57" s="264"/>
      <c r="C57" s="264"/>
      <c r="D57" s="264"/>
      <c r="E57" s="264"/>
      <c r="F57" s="264" t="s">
        <v>302</v>
      </c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 t="s">
        <v>840</v>
      </c>
    </row>
    <row r="58" spans="1:41" ht="14.1" customHeight="1" x14ac:dyDescent="0.2">
      <c r="A58" s="252" t="s">
        <v>129</v>
      </c>
      <c r="B58" s="285"/>
      <c r="E58" s="260" t="s">
        <v>130</v>
      </c>
      <c r="F58" s="252" t="s">
        <v>303</v>
      </c>
      <c r="J58" s="286"/>
      <c r="K58" s="286"/>
      <c r="P58" s="286"/>
      <c r="Q58" s="286"/>
      <c r="R58" s="286" t="s">
        <v>132</v>
      </c>
      <c r="T58" s="261"/>
    </row>
    <row r="59" spans="1:41" ht="14.1" customHeight="1" x14ac:dyDescent="0.2">
      <c r="B59" s="285"/>
      <c r="F59" s="252" t="s">
        <v>1399</v>
      </c>
      <c r="J59" s="260"/>
      <c r="K59" s="261"/>
      <c r="P59" s="260"/>
      <c r="Q59" s="260" t="s">
        <v>123</v>
      </c>
      <c r="R59" s="261" t="s">
        <v>1407</v>
      </c>
      <c r="T59" s="260"/>
    </row>
    <row r="60" spans="1:41" ht="14.1" customHeight="1" x14ac:dyDescent="0.2">
      <c r="A60" s="252" t="s">
        <v>134</v>
      </c>
      <c r="B60" s="285"/>
      <c r="F60" s="252" t="s">
        <v>123</v>
      </c>
      <c r="J60" s="260"/>
      <c r="K60" s="261"/>
      <c r="L60" s="260"/>
      <c r="N60" s="260"/>
      <c r="Q60" s="260" t="s">
        <v>123</v>
      </c>
      <c r="R60" s="261"/>
      <c r="T60" s="260"/>
    </row>
    <row r="61" spans="1:41" ht="14.1" customHeight="1" x14ac:dyDescent="0.2">
      <c r="B61" s="285"/>
      <c r="F61" s="252" t="s">
        <v>123</v>
      </c>
      <c r="J61" s="260"/>
      <c r="K61" s="261"/>
      <c r="L61" s="260"/>
      <c r="N61" s="260"/>
      <c r="Q61" s="260" t="s">
        <v>123</v>
      </c>
      <c r="R61" s="261"/>
      <c r="T61" s="260"/>
    </row>
    <row r="62" spans="1:41" ht="14.1" customHeight="1" thickBot="1" x14ac:dyDescent="0.25">
      <c r="A62" s="264" t="s">
        <v>135</v>
      </c>
      <c r="B62" s="287"/>
      <c r="C62" s="264"/>
      <c r="D62" s="264"/>
      <c r="E62" s="264"/>
      <c r="F62" s="264" t="s">
        <v>123</v>
      </c>
      <c r="G62" s="264"/>
      <c r="H62" s="266"/>
      <c r="I62" s="264"/>
      <c r="J62" s="264"/>
      <c r="K62" s="264"/>
      <c r="L62" s="264"/>
      <c r="M62" s="264"/>
      <c r="N62" s="264"/>
      <c r="O62" s="264"/>
      <c r="P62" s="264"/>
      <c r="Q62" s="264"/>
      <c r="R62" s="288"/>
      <c r="S62" s="264"/>
      <c r="T62" s="264"/>
    </row>
    <row r="63" spans="1:41" ht="14.1" customHeight="1" x14ac:dyDescent="0.2"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</row>
    <row r="64" spans="1:41" ht="14.1" customHeight="1" x14ac:dyDescent="0.2">
      <c r="C64" s="267" t="s">
        <v>136</v>
      </c>
      <c r="D64" s="267" t="s">
        <v>137</v>
      </c>
      <c r="E64" s="267"/>
      <c r="F64" s="267" t="s">
        <v>138</v>
      </c>
      <c r="G64" s="267"/>
      <c r="H64" s="267" t="s">
        <v>139</v>
      </c>
      <c r="I64" s="267"/>
      <c r="J64" s="269" t="s">
        <v>140</v>
      </c>
      <c r="L64" s="267" t="s">
        <v>141</v>
      </c>
      <c r="M64" s="267"/>
      <c r="N64" s="267" t="s">
        <v>142</v>
      </c>
      <c r="O64" s="267"/>
      <c r="P64" s="267" t="s">
        <v>143</v>
      </c>
      <c r="Q64" s="267"/>
      <c r="R64" s="267" t="s">
        <v>144</v>
      </c>
      <c r="S64" s="267"/>
      <c r="T64" s="267" t="s">
        <v>305</v>
      </c>
    </row>
    <row r="65" spans="1:20" ht="14.1" customHeight="1" x14ac:dyDescent="0.2">
      <c r="C65" s="269" t="s">
        <v>145</v>
      </c>
      <c r="D65" s="269" t="s">
        <v>145</v>
      </c>
      <c r="F65" s="267" t="s">
        <v>41</v>
      </c>
      <c r="G65" s="269"/>
      <c r="H65" s="267" t="s">
        <v>40</v>
      </c>
      <c r="I65" s="269"/>
      <c r="J65" s="267"/>
      <c r="K65" s="269"/>
      <c r="L65" s="269"/>
      <c r="M65" s="269"/>
      <c r="N65" s="269"/>
      <c r="O65" s="269"/>
      <c r="P65" s="269"/>
      <c r="Q65" s="269"/>
      <c r="R65" s="269" t="s">
        <v>41</v>
      </c>
      <c r="T65" s="269"/>
    </row>
    <row r="66" spans="1:20" ht="14.1" customHeight="1" x14ac:dyDescent="0.2">
      <c r="A66" s="252" t="s">
        <v>146</v>
      </c>
      <c r="B66" s="269"/>
      <c r="C66" s="269" t="s">
        <v>147</v>
      </c>
      <c r="D66" s="269" t="s">
        <v>147</v>
      </c>
      <c r="E66" s="267"/>
      <c r="F66" s="269" t="s">
        <v>6</v>
      </c>
      <c r="G66" s="269"/>
      <c r="H66" s="269" t="s">
        <v>6</v>
      </c>
      <c r="I66" s="269"/>
      <c r="J66" s="269"/>
      <c r="K66" s="267"/>
      <c r="L66" s="269" t="s">
        <v>306</v>
      </c>
      <c r="M66" s="269"/>
      <c r="N66" s="269" t="s">
        <v>306</v>
      </c>
      <c r="O66" s="269"/>
      <c r="P66" s="269" t="s">
        <v>150</v>
      </c>
      <c r="Q66" s="267"/>
      <c r="R66" s="267" t="s">
        <v>6</v>
      </c>
      <c r="S66" s="267"/>
      <c r="T66" s="269" t="s">
        <v>151</v>
      </c>
    </row>
    <row r="67" spans="1:20" ht="14.1" customHeight="1" thickBot="1" x14ac:dyDescent="0.25">
      <c r="A67" s="264" t="s">
        <v>152</v>
      </c>
      <c r="B67" s="266"/>
      <c r="C67" s="266" t="s">
        <v>52</v>
      </c>
      <c r="D67" s="266" t="s">
        <v>153</v>
      </c>
      <c r="E67" s="266"/>
      <c r="F67" s="270" t="s">
        <v>154</v>
      </c>
      <c r="G67" s="270"/>
      <c r="H67" s="270" t="s">
        <v>307</v>
      </c>
      <c r="I67" s="271"/>
      <c r="J67" s="270" t="s">
        <v>18</v>
      </c>
      <c r="K67" s="271"/>
      <c r="L67" s="270" t="s">
        <v>19</v>
      </c>
      <c r="M67" s="271"/>
      <c r="N67" s="270" t="s">
        <v>54</v>
      </c>
      <c r="O67" s="271"/>
      <c r="P67" s="272" t="s">
        <v>157</v>
      </c>
      <c r="Q67" s="272"/>
      <c r="R67" s="272" t="s">
        <v>158</v>
      </c>
      <c r="S67" s="272"/>
      <c r="T67" s="272" t="s">
        <v>3</v>
      </c>
    </row>
    <row r="68" spans="1:20" ht="14.1" customHeight="1" x14ac:dyDescent="0.2">
      <c r="A68" s="252">
        <v>1</v>
      </c>
    </row>
    <row r="69" spans="1:20" ht="14.1" customHeight="1" x14ac:dyDescent="0.2">
      <c r="A69" s="252">
        <v>2</v>
      </c>
      <c r="B69" s="273"/>
      <c r="D69" s="278" t="s">
        <v>190</v>
      </c>
      <c r="E69" s="282"/>
      <c r="F69" s="282"/>
      <c r="G69" s="282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</row>
    <row r="70" spans="1:20" ht="14.1" customHeight="1" x14ac:dyDescent="0.2">
      <c r="A70" s="252">
        <v>3</v>
      </c>
      <c r="B70" s="273"/>
      <c r="C70" s="269">
        <v>31145</v>
      </c>
      <c r="D70" s="252" t="s">
        <v>161</v>
      </c>
      <c r="F70" s="655">
        <v>12429312.470000004</v>
      </c>
      <c r="G70" s="329"/>
      <c r="H70" s="655">
        <v>488541.34000000008</v>
      </c>
      <c r="I70" s="329"/>
      <c r="J70" s="655">
        <v>1468.76</v>
      </c>
      <c r="K70" s="329"/>
      <c r="L70" s="655">
        <v>-136786.79999999999</v>
      </c>
      <c r="M70" s="329"/>
      <c r="N70" s="655">
        <v>0</v>
      </c>
      <c r="O70" s="329"/>
      <c r="P70" s="655">
        <v>0</v>
      </c>
      <c r="Q70" s="329"/>
      <c r="R70" s="655">
        <v>12782535.770000003</v>
      </c>
      <c r="S70" s="329"/>
      <c r="T70" s="655">
        <v>12557514.090000005</v>
      </c>
    </row>
    <row r="71" spans="1:20" ht="14.1" customHeight="1" x14ac:dyDescent="0.2">
      <c r="A71" s="252">
        <v>4</v>
      </c>
      <c r="B71" s="273"/>
      <c r="C71" s="269">
        <v>31245</v>
      </c>
      <c r="D71" s="252" t="s">
        <v>162</v>
      </c>
      <c r="F71" s="655">
        <v>59943107.790000051</v>
      </c>
      <c r="G71" s="329"/>
      <c r="H71" s="655">
        <v>4025992.42</v>
      </c>
      <c r="I71" s="329"/>
      <c r="J71" s="655">
        <v>-594433.39</v>
      </c>
      <c r="K71" s="329"/>
      <c r="L71" s="655">
        <v>-844119.41</v>
      </c>
      <c r="M71" s="329"/>
      <c r="N71" s="655">
        <v>34132.770000000004</v>
      </c>
      <c r="O71" s="329"/>
      <c r="P71" s="655">
        <v>0</v>
      </c>
      <c r="Q71" s="329"/>
      <c r="R71" s="655">
        <v>62564680.180000059</v>
      </c>
      <c r="S71" s="329"/>
      <c r="T71" s="655">
        <v>61082319.523846194</v>
      </c>
    </row>
    <row r="72" spans="1:20" ht="14.1" customHeight="1" x14ac:dyDescent="0.2">
      <c r="A72" s="252">
        <v>5</v>
      </c>
      <c r="B72" s="273"/>
      <c r="C72" s="269">
        <v>31545</v>
      </c>
      <c r="D72" s="252" t="s">
        <v>164</v>
      </c>
      <c r="F72" s="655">
        <v>15730990.37999999</v>
      </c>
      <c r="G72" s="329"/>
      <c r="H72" s="655">
        <v>806413.17</v>
      </c>
      <c r="I72" s="329"/>
      <c r="J72" s="655">
        <v>-1219289.47</v>
      </c>
      <c r="K72" s="329"/>
      <c r="L72" s="655">
        <v>-137920.01</v>
      </c>
      <c r="M72" s="329"/>
      <c r="N72" s="655">
        <v>0</v>
      </c>
      <c r="O72" s="329"/>
      <c r="P72" s="655">
        <v>0</v>
      </c>
      <c r="Q72" s="329"/>
      <c r="R72" s="655">
        <v>15180194.069999989</v>
      </c>
      <c r="S72" s="329"/>
      <c r="T72" s="655">
        <v>15146506.807692302</v>
      </c>
    </row>
    <row r="73" spans="1:20" ht="14.1" customHeight="1" x14ac:dyDescent="0.2">
      <c r="A73" s="252">
        <v>6</v>
      </c>
      <c r="B73" s="273"/>
      <c r="C73" s="269">
        <v>31645</v>
      </c>
      <c r="D73" s="252" t="s">
        <v>165</v>
      </c>
      <c r="F73" s="655">
        <v>611169.49000000081</v>
      </c>
      <c r="G73" s="329"/>
      <c r="H73" s="655">
        <v>21709.279999999999</v>
      </c>
      <c r="I73" s="329"/>
      <c r="J73" s="655">
        <v>-16500.22</v>
      </c>
      <c r="K73" s="329"/>
      <c r="L73" s="655">
        <v>-26464.34</v>
      </c>
      <c r="M73" s="329"/>
      <c r="N73" s="655">
        <v>0</v>
      </c>
      <c r="O73" s="329"/>
      <c r="P73" s="655">
        <v>0</v>
      </c>
      <c r="Q73" s="329"/>
      <c r="R73" s="655">
        <v>589914.21000000089</v>
      </c>
      <c r="S73" s="329"/>
      <c r="T73" s="655">
        <v>594062.12846153893</v>
      </c>
    </row>
    <row r="74" spans="1:20" ht="14.1" customHeight="1" x14ac:dyDescent="0.2">
      <c r="A74" s="252">
        <v>7</v>
      </c>
      <c r="C74" s="269"/>
      <c r="D74" s="278" t="s">
        <v>191</v>
      </c>
      <c r="E74" s="282"/>
      <c r="F74" s="664">
        <v>88714580.13000004</v>
      </c>
      <c r="G74" s="602"/>
      <c r="H74" s="664">
        <v>5342656.21</v>
      </c>
      <c r="I74" s="602"/>
      <c r="J74" s="664">
        <v>-1828754.32</v>
      </c>
      <c r="K74" s="602"/>
      <c r="L74" s="664">
        <v>-1145290.56</v>
      </c>
      <c r="M74" s="602"/>
      <c r="N74" s="664">
        <v>34132.770000000004</v>
      </c>
      <c r="O74" s="602"/>
      <c r="P74" s="664">
        <v>0</v>
      </c>
      <c r="Q74" s="602"/>
      <c r="R74" s="664">
        <v>91117324.230000049</v>
      </c>
      <c r="S74" s="602"/>
      <c r="T74" s="664">
        <v>89380402.550000042</v>
      </c>
    </row>
    <row r="75" spans="1:20" ht="14.1" customHeight="1" x14ac:dyDescent="0.2">
      <c r="A75" s="252">
        <v>8</v>
      </c>
    </row>
    <row r="76" spans="1:20" ht="14.1" customHeight="1" x14ac:dyDescent="0.2">
      <c r="A76" s="252">
        <v>9</v>
      </c>
      <c r="B76" s="273"/>
    </row>
    <row r="77" spans="1:20" ht="14.1" customHeight="1" x14ac:dyDescent="0.2">
      <c r="A77" s="252">
        <v>10</v>
      </c>
      <c r="B77" s="273"/>
      <c r="C77" s="269"/>
      <c r="D77" s="282" t="s">
        <v>192</v>
      </c>
      <c r="E77" s="282"/>
      <c r="F77" s="708"/>
      <c r="G77" s="708"/>
      <c r="H77" s="602"/>
      <c r="I77" s="602"/>
      <c r="J77" s="602"/>
      <c r="K77" s="602"/>
      <c r="L77" s="602"/>
      <c r="M77" s="602"/>
      <c r="N77" s="602"/>
      <c r="O77" s="602"/>
      <c r="P77" s="602"/>
      <c r="Q77" s="602"/>
      <c r="R77" s="602"/>
      <c r="S77" s="602"/>
      <c r="T77" s="602"/>
    </row>
    <row r="78" spans="1:20" ht="14.1" customHeight="1" x14ac:dyDescent="0.2">
      <c r="A78" s="252">
        <v>11</v>
      </c>
      <c r="B78" s="273"/>
      <c r="C78" s="269">
        <v>31146</v>
      </c>
      <c r="D78" s="252" t="s">
        <v>161</v>
      </c>
      <c r="F78" s="655">
        <v>6963735.620000001</v>
      </c>
      <c r="G78" s="329"/>
      <c r="H78" s="655">
        <v>368467.62000000005</v>
      </c>
      <c r="I78" s="329"/>
      <c r="J78" s="655">
        <v>-77894.39</v>
      </c>
      <c r="K78" s="329"/>
      <c r="L78" s="655">
        <v>-12046.83</v>
      </c>
      <c r="M78" s="329"/>
      <c r="N78" s="655">
        <v>0</v>
      </c>
      <c r="O78" s="329"/>
      <c r="P78" s="655">
        <v>0</v>
      </c>
      <c r="Q78" s="329"/>
      <c r="R78" s="655">
        <v>7242262.0200000014</v>
      </c>
      <c r="S78" s="329"/>
      <c r="T78" s="655">
        <v>7137587.9146153871</v>
      </c>
    </row>
    <row r="79" spans="1:20" ht="14.1" customHeight="1" x14ac:dyDescent="0.2">
      <c r="A79" s="252">
        <v>12</v>
      </c>
      <c r="B79" s="273"/>
      <c r="C79" s="269">
        <v>31246</v>
      </c>
      <c r="D79" s="252" t="s">
        <v>162</v>
      </c>
      <c r="F79" s="655">
        <v>17563767.020000029</v>
      </c>
      <c r="G79" s="329"/>
      <c r="H79" s="655">
        <v>1811204.46</v>
      </c>
      <c r="I79" s="329"/>
      <c r="J79" s="655">
        <v>-35797.64</v>
      </c>
      <c r="K79" s="329"/>
      <c r="L79" s="655">
        <v>-27922.690000000031</v>
      </c>
      <c r="M79" s="329"/>
      <c r="N79" s="655">
        <v>11534.43</v>
      </c>
      <c r="O79" s="329"/>
      <c r="P79" s="655">
        <v>0</v>
      </c>
      <c r="Q79" s="329"/>
      <c r="R79" s="655">
        <v>19322785.580000028</v>
      </c>
      <c r="S79" s="329"/>
      <c r="T79" s="655">
        <v>18434994.984615408</v>
      </c>
    </row>
    <row r="80" spans="1:20" ht="14.1" customHeight="1" x14ac:dyDescent="0.2">
      <c r="A80" s="252">
        <v>13</v>
      </c>
      <c r="B80" s="273"/>
      <c r="C80" s="269">
        <v>31546</v>
      </c>
      <c r="D80" s="252" t="s">
        <v>164</v>
      </c>
      <c r="F80" s="655">
        <v>4472632.2700000023</v>
      </c>
      <c r="G80" s="329"/>
      <c r="H80" s="655">
        <v>350998.98999999993</v>
      </c>
      <c r="I80" s="329"/>
      <c r="J80" s="655">
        <v>0</v>
      </c>
      <c r="K80" s="329"/>
      <c r="L80" s="655">
        <v>0</v>
      </c>
      <c r="M80" s="329"/>
      <c r="N80" s="655">
        <v>0</v>
      </c>
      <c r="O80" s="329"/>
      <c r="P80" s="655">
        <v>0</v>
      </c>
      <c r="Q80" s="329"/>
      <c r="R80" s="655">
        <v>4823631.2600000026</v>
      </c>
      <c r="S80" s="329"/>
      <c r="T80" s="655">
        <v>4646639.7715384634</v>
      </c>
    </row>
    <row r="81" spans="1:20" ht="14.1" customHeight="1" x14ac:dyDescent="0.2">
      <c r="A81" s="252">
        <v>14</v>
      </c>
      <c r="B81" s="273"/>
      <c r="C81" s="269">
        <v>31646</v>
      </c>
      <c r="D81" s="252" t="s">
        <v>165</v>
      </c>
      <c r="F81" s="655">
        <v>940785.32999999903</v>
      </c>
      <c r="G81" s="329"/>
      <c r="H81" s="655">
        <v>50039.399999999987</v>
      </c>
      <c r="I81" s="329"/>
      <c r="J81" s="655">
        <v>0</v>
      </c>
      <c r="K81" s="329"/>
      <c r="L81" s="655">
        <v>0</v>
      </c>
      <c r="M81" s="329"/>
      <c r="N81" s="655">
        <v>0</v>
      </c>
      <c r="O81" s="329"/>
      <c r="P81" s="655">
        <v>0</v>
      </c>
      <c r="Q81" s="329"/>
      <c r="R81" s="655">
        <v>990824.72999999905</v>
      </c>
      <c r="S81" s="329"/>
      <c r="T81" s="655">
        <v>965805.02999999875</v>
      </c>
    </row>
    <row r="82" spans="1:20" ht="14.1" customHeight="1" x14ac:dyDescent="0.2">
      <c r="A82" s="252">
        <v>15</v>
      </c>
      <c r="B82" s="273"/>
      <c r="C82" s="269"/>
      <c r="D82" s="282" t="s">
        <v>193</v>
      </c>
      <c r="E82" s="282"/>
      <c r="F82" s="664">
        <v>29940920.240000032</v>
      </c>
      <c r="G82" s="602"/>
      <c r="H82" s="664">
        <v>2580710.4699999997</v>
      </c>
      <c r="I82" s="602"/>
      <c r="J82" s="664">
        <v>-113692.03</v>
      </c>
      <c r="K82" s="602"/>
      <c r="L82" s="664">
        <v>-39969.520000000033</v>
      </c>
      <c r="M82" s="602"/>
      <c r="N82" s="664">
        <v>11534.43</v>
      </c>
      <c r="O82" s="602"/>
      <c r="P82" s="664">
        <v>0</v>
      </c>
      <c r="Q82" s="602"/>
      <c r="R82" s="664">
        <v>32379503.590000033</v>
      </c>
      <c r="S82" s="602"/>
      <c r="T82" s="664">
        <v>31185027.700769253</v>
      </c>
    </row>
    <row r="83" spans="1:20" ht="14.1" customHeight="1" x14ac:dyDescent="0.2">
      <c r="A83" s="252">
        <v>16</v>
      </c>
      <c r="B83" s="273"/>
    </row>
    <row r="84" spans="1:20" ht="14.1" customHeight="1" x14ac:dyDescent="0.2">
      <c r="A84" s="252">
        <v>17</v>
      </c>
      <c r="B84" s="273"/>
    </row>
    <row r="85" spans="1:20" ht="14.1" customHeight="1" x14ac:dyDescent="0.2">
      <c r="A85" s="252">
        <v>18</v>
      </c>
      <c r="B85" s="273"/>
      <c r="C85" s="289"/>
      <c r="D85" s="278" t="s">
        <v>194</v>
      </c>
      <c r="F85" s="713"/>
      <c r="G85" s="708"/>
      <c r="H85" s="713"/>
      <c r="I85" s="713"/>
      <c r="J85" s="713"/>
      <c r="K85" s="713"/>
      <c r="L85" s="713"/>
      <c r="M85" s="713"/>
      <c r="N85" s="713"/>
      <c r="O85" s="713"/>
      <c r="P85" s="713"/>
      <c r="Q85" s="713"/>
      <c r="R85" s="713"/>
      <c r="S85" s="713"/>
      <c r="T85" s="713"/>
    </row>
    <row r="86" spans="1:20" ht="14.1" customHeight="1" x14ac:dyDescent="0.2">
      <c r="A86" s="252">
        <v>19</v>
      </c>
      <c r="B86" s="273"/>
      <c r="C86" s="269">
        <v>31151</v>
      </c>
      <c r="D86" s="252" t="s">
        <v>161</v>
      </c>
      <c r="F86" s="655">
        <v>9010951.9599999972</v>
      </c>
      <c r="G86" s="329"/>
      <c r="H86" s="655">
        <v>948601.56</v>
      </c>
      <c r="I86" s="329"/>
      <c r="J86" s="655">
        <v>0</v>
      </c>
      <c r="K86" s="329"/>
      <c r="L86" s="655">
        <v>0</v>
      </c>
      <c r="M86" s="329"/>
      <c r="N86" s="655">
        <v>0</v>
      </c>
      <c r="O86" s="329"/>
      <c r="P86" s="655">
        <v>0</v>
      </c>
      <c r="Q86" s="329"/>
      <c r="R86" s="655">
        <v>9959553.5199999977</v>
      </c>
      <c r="S86" s="329"/>
      <c r="T86" s="655">
        <v>9485252.7400000021</v>
      </c>
    </row>
    <row r="87" spans="1:20" ht="14.1" customHeight="1" x14ac:dyDescent="0.2">
      <c r="A87" s="252">
        <v>20</v>
      </c>
      <c r="B87" s="273"/>
      <c r="C87" s="269">
        <v>31251</v>
      </c>
      <c r="D87" s="252" t="s">
        <v>162</v>
      </c>
      <c r="F87" s="655">
        <v>20192629.330000002</v>
      </c>
      <c r="G87" s="329"/>
      <c r="H87" s="655">
        <v>2020359</v>
      </c>
      <c r="I87" s="329"/>
      <c r="J87" s="655">
        <v>0</v>
      </c>
      <c r="K87" s="329"/>
      <c r="L87" s="655">
        <v>0</v>
      </c>
      <c r="M87" s="329"/>
      <c r="N87" s="655">
        <v>0</v>
      </c>
      <c r="O87" s="329"/>
      <c r="P87" s="655">
        <v>0</v>
      </c>
      <c r="Q87" s="329"/>
      <c r="R87" s="655">
        <v>22212988.330000002</v>
      </c>
      <c r="S87" s="329"/>
      <c r="T87" s="655">
        <v>21202808.830000006</v>
      </c>
    </row>
    <row r="88" spans="1:20" ht="14.1" customHeight="1" x14ac:dyDescent="0.2">
      <c r="A88" s="252">
        <v>21</v>
      </c>
      <c r="B88" s="273"/>
      <c r="C88" s="269">
        <v>31551</v>
      </c>
      <c r="D88" s="252" t="s">
        <v>164</v>
      </c>
      <c r="F88" s="655">
        <v>6626055.4300000099</v>
      </c>
      <c r="G88" s="329"/>
      <c r="H88" s="655">
        <v>699649.44</v>
      </c>
      <c r="I88" s="329"/>
      <c r="J88" s="655">
        <v>0</v>
      </c>
      <c r="K88" s="329"/>
      <c r="L88" s="655">
        <v>0</v>
      </c>
      <c r="M88" s="329"/>
      <c r="N88" s="655">
        <v>0</v>
      </c>
      <c r="O88" s="329"/>
      <c r="P88" s="655">
        <v>0</v>
      </c>
      <c r="Q88" s="329"/>
      <c r="R88" s="655">
        <v>7325704.8700000104</v>
      </c>
      <c r="S88" s="329"/>
      <c r="T88" s="655">
        <v>6975880.1500000097</v>
      </c>
    </row>
    <row r="89" spans="1:20" ht="14.1" customHeight="1" x14ac:dyDescent="0.2">
      <c r="A89" s="252">
        <v>22</v>
      </c>
      <c r="B89" s="273"/>
      <c r="C89" s="269">
        <v>31651</v>
      </c>
      <c r="D89" s="252" t="s">
        <v>195</v>
      </c>
      <c r="F89" s="655">
        <v>347891.76000000071</v>
      </c>
      <c r="G89" s="329"/>
      <c r="H89" s="655">
        <v>36072.359999999993</v>
      </c>
      <c r="I89" s="329"/>
      <c r="J89" s="655">
        <v>0</v>
      </c>
      <c r="K89" s="329"/>
      <c r="L89" s="655">
        <v>0</v>
      </c>
      <c r="M89" s="329"/>
      <c r="N89" s="655">
        <v>0</v>
      </c>
      <c r="O89" s="329"/>
      <c r="P89" s="655">
        <v>0</v>
      </c>
      <c r="Q89" s="329"/>
      <c r="R89" s="655">
        <v>383964.12000000069</v>
      </c>
      <c r="S89" s="329"/>
      <c r="T89" s="655">
        <v>365927.94000000093</v>
      </c>
    </row>
    <row r="90" spans="1:20" ht="14.1" customHeight="1" x14ac:dyDescent="0.2">
      <c r="A90" s="252">
        <v>23</v>
      </c>
      <c r="B90" s="273"/>
      <c r="C90" s="269"/>
      <c r="D90" s="279" t="s">
        <v>196</v>
      </c>
      <c r="F90" s="664">
        <v>36177528.480000004</v>
      </c>
      <c r="G90" s="602"/>
      <c r="H90" s="664">
        <v>3704682.36</v>
      </c>
      <c r="I90" s="602"/>
      <c r="J90" s="664">
        <v>0</v>
      </c>
      <c r="K90" s="602"/>
      <c r="L90" s="664">
        <v>0</v>
      </c>
      <c r="M90" s="602"/>
      <c r="N90" s="664">
        <v>0</v>
      </c>
      <c r="O90" s="602"/>
      <c r="P90" s="664">
        <v>0</v>
      </c>
      <c r="Q90" s="602"/>
      <c r="R90" s="664">
        <v>39882210.840000011</v>
      </c>
      <c r="S90" s="602"/>
      <c r="T90" s="664">
        <v>38029869.660000011</v>
      </c>
    </row>
    <row r="91" spans="1:20" ht="14.1" customHeight="1" x14ac:dyDescent="0.2">
      <c r="A91" s="252">
        <v>24</v>
      </c>
      <c r="B91" s="273"/>
    </row>
    <row r="92" spans="1:20" ht="14.1" customHeight="1" x14ac:dyDescent="0.2">
      <c r="A92" s="252">
        <v>25</v>
      </c>
      <c r="B92" s="273"/>
    </row>
    <row r="93" spans="1:20" ht="14.1" customHeight="1" x14ac:dyDescent="0.2">
      <c r="A93" s="252">
        <v>26</v>
      </c>
      <c r="B93" s="273"/>
      <c r="C93" s="289"/>
      <c r="D93" s="278" t="s">
        <v>197</v>
      </c>
      <c r="E93" s="282"/>
      <c r="F93" s="602"/>
      <c r="G93" s="602"/>
      <c r="H93" s="602"/>
      <c r="I93" s="602"/>
      <c r="J93" s="602"/>
      <c r="K93" s="602"/>
      <c r="L93" s="692"/>
      <c r="M93" s="602"/>
      <c r="N93" s="692"/>
      <c r="O93" s="602"/>
      <c r="P93" s="692"/>
      <c r="Q93" s="692"/>
      <c r="R93" s="602"/>
      <c r="S93" s="602"/>
      <c r="T93" s="602"/>
    </row>
    <row r="94" spans="1:20" ht="14.1" customHeight="1" x14ac:dyDescent="0.2">
      <c r="A94" s="252">
        <v>27</v>
      </c>
      <c r="B94" s="273"/>
      <c r="C94" s="269">
        <v>31152</v>
      </c>
      <c r="D94" s="252" t="s">
        <v>161</v>
      </c>
      <c r="F94" s="655">
        <v>9263616.1200000085</v>
      </c>
      <c r="G94" s="329"/>
      <c r="H94" s="655">
        <v>882310.32</v>
      </c>
      <c r="I94" s="329"/>
      <c r="J94" s="655">
        <v>0</v>
      </c>
      <c r="K94" s="329"/>
      <c r="L94" s="655">
        <v>0</v>
      </c>
      <c r="M94" s="329"/>
      <c r="N94" s="655">
        <v>0</v>
      </c>
      <c r="O94" s="329"/>
      <c r="P94" s="655">
        <v>0</v>
      </c>
      <c r="Q94" s="329"/>
      <c r="R94" s="655">
        <v>10145926.440000009</v>
      </c>
      <c r="S94" s="329"/>
      <c r="T94" s="655">
        <v>9704771.2800000031</v>
      </c>
    </row>
    <row r="95" spans="1:20" ht="14.1" customHeight="1" x14ac:dyDescent="0.2">
      <c r="A95" s="252">
        <v>28</v>
      </c>
      <c r="B95" s="273"/>
      <c r="C95" s="269">
        <v>31252</v>
      </c>
      <c r="D95" s="252" t="s">
        <v>162</v>
      </c>
      <c r="F95" s="655">
        <v>18330971.169999987</v>
      </c>
      <c r="G95" s="329"/>
      <c r="H95" s="655">
        <v>2050411.5599999996</v>
      </c>
      <c r="I95" s="329"/>
      <c r="J95" s="655">
        <v>0</v>
      </c>
      <c r="K95" s="329"/>
      <c r="L95" s="655">
        <v>0</v>
      </c>
      <c r="M95" s="329"/>
      <c r="N95" s="655">
        <v>0</v>
      </c>
      <c r="O95" s="329"/>
      <c r="P95" s="655">
        <v>0</v>
      </c>
      <c r="Q95" s="329"/>
      <c r="R95" s="655">
        <v>20381382.729999986</v>
      </c>
      <c r="S95" s="329"/>
      <c r="T95" s="655">
        <v>19356176.949999981</v>
      </c>
    </row>
    <row r="96" spans="1:20" ht="14.1" customHeight="1" x14ac:dyDescent="0.2">
      <c r="A96" s="252">
        <v>29</v>
      </c>
      <c r="B96" s="273"/>
      <c r="C96" s="269">
        <v>31552</v>
      </c>
      <c r="D96" s="252" t="s">
        <v>164</v>
      </c>
      <c r="F96" s="655">
        <v>6776733.629999998</v>
      </c>
      <c r="G96" s="329"/>
      <c r="H96" s="655">
        <v>653994</v>
      </c>
      <c r="I96" s="329"/>
      <c r="J96" s="655">
        <v>0</v>
      </c>
      <c r="K96" s="329"/>
      <c r="L96" s="655">
        <v>0</v>
      </c>
      <c r="M96" s="329"/>
      <c r="N96" s="655">
        <v>0</v>
      </c>
      <c r="O96" s="329"/>
      <c r="P96" s="655">
        <v>0</v>
      </c>
      <c r="Q96" s="329"/>
      <c r="R96" s="655">
        <v>7430727.629999998</v>
      </c>
      <c r="S96" s="329"/>
      <c r="T96" s="655">
        <v>7103730.6299999962</v>
      </c>
    </row>
    <row r="97" spans="1:20" ht="14.1" customHeight="1" x14ac:dyDescent="0.2">
      <c r="A97" s="252">
        <v>30</v>
      </c>
      <c r="B97" s="273"/>
      <c r="C97" s="269">
        <v>31652</v>
      </c>
      <c r="D97" s="252" t="s">
        <v>165</v>
      </c>
      <c r="F97" s="655">
        <v>371463.15999999974</v>
      </c>
      <c r="G97" s="329"/>
      <c r="H97" s="655">
        <v>35468.76</v>
      </c>
      <c r="I97" s="329"/>
      <c r="J97" s="655">
        <v>0</v>
      </c>
      <c r="K97" s="329"/>
      <c r="L97" s="655">
        <v>0</v>
      </c>
      <c r="M97" s="329"/>
      <c r="N97" s="655">
        <v>0</v>
      </c>
      <c r="O97" s="329"/>
      <c r="P97" s="655">
        <v>0</v>
      </c>
      <c r="Q97" s="329"/>
      <c r="R97" s="655">
        <v>406931.91999999975</v>
      </c>
      <c r="S97" s="329"/>
      <c r="T97" s="655">
        <v>389197.53999999969</v>
      </c>
    </row>
    <row r="98" spans="1:20" ht="14.1" customHeight="1" x14ac:dyDescent="0.2">
      <c r="A98" s="252">
        <v>31</v>
      </c>
      <c r="B98" s="273"/>
      <c r="D98" s="278" t="s">
        <v>198</v>
      </c>
      <c r="E98" s="282"/>
      <c r="F98" s="664">
        <v>34742784.079999991</v>
      </c>
      <c r="G98" s="602"/>
      <c r="H98" s="664">
        <v>3622184.6399999992</v>
      </c>
      <c r="I98" s="602"/>
      <c r="J98" s="664">
        <v>0</v>
      </c>
      <c r="K98" s="602"/>
      <c r="L98" s="664">
        <v>0</v>
      </c>
      <c r="M98" s="602"/>
      <c r="N98" s="664">
        <v>0</v>
      </c>
      <c r="O98" s="602"/>
      <c r="P98" s="664">
        <v>0</v>
      </c>
      <c r="Q98" s="602"/>
      <c r="R98" s="664">
        <v>38364968.719999991</v>
      </c>
      <c r="S98" s="602"/>
      <c r="T98" s="664">
        <v>36553876.399999976</v>
      </c>
    </row>
    <row r="99" spans="1:20" ht="14.1" customHeight="1" x14ac:dyDescent="0.2">
      <c r="A99" s="252">
        <v>32</v>
      </c>
      <c r="B99" s="273"/>
    </row>
    <row r="100" spans="1:20" ht="14.1" customHeight="1" x14ac:dyDescent="0.2">
      <c r="A100" s="252">
        <v>33</v>
      </c>
      <c r="B100" s="273"/>
      <c r="D100" s="282"/>
      <c r="E100" s="28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02"/>
      <c r="R100" s="602"/>
      <c r="S100" s="602"/>
      <c r="T100" s="602"/>
    </row>
    <row r="101" spans="1:20" ht="14.1" customHeight="1" x14ac:dyDescent="0.2">
      <c r="A101" s="252">
        <v>34</v>
      </c>
      <c r="B101" s="273"/>
      <c r="C101" s="289"/>
      <c r="D101" s="278" t="s">
        <v>199</v>
      </c>
      <c r="E101" s="282"/>
      <c r="F101" s="282"/>
      <c r="G101" s="282"/>
      <c r="H101" s="706"/>
      <c r="I101" s="706"/>
      <c r="J101" s="706"/>
      <c r="K101" s="706"/>
      <c r="L101" s="706"/>
      <c r="M101" s="706"/>
      <c r="N101" s="706"/>
      <c r="O101" s="706"/>
      <c r="P101" s="706"/>
      <c r="Q101" s="706"/>
      <c r="R101" s="706"/>
      <c r="S101" s="706"/>
      <c r="T101" s="706"/>
    </row>
    <row r="102" spans="1:20" ht="14.1" customHeight="1" x14ac:dyDescent="0.2">
      <c r="A102" s="252">
        <v>35</v>
      </c>
      <c r="B102" s="273"/>
      <c r="C102" s="269">
        <v>31153</v>
      </c>
      <c r="D102" s="252" t="s">
        <v>161</v>
      </c>
      <c r="F102" s="655">
        <v>7727824.9199999794</v>
      </c>
      <c r="G102" s="329"/>
      <c r="H102" s="655">
        <v>672372.12</v>
      </c>
      <c r="I102" s="329"/>
      <c r="J102" s="655">
        <v>0</v>
      </c>
      <c r="K102" s="329"/>
      <c r="L102" s="655">
        <v>0</v>
      </c>
      <c r="M102" s="329"/>
      <c r="N102" s="655">
        <v>0</v>
      </c>
      <c r="O102" s="329"/>
      <c r="P102" s="655">
        <v>0</v>
      </c>
      <c r="Q102" s="329"/>
      <c r="R102" s="655">
        <v>8400197.0399999786</v>
      </c>
      <c r="S102" s="329"/>
      <c r="T102" s="655">
        <v>8064010.9799999781</v>
      </c>
    </row>
    <row r="103" spans="1:20" ht="14.1" customHeight="1" x14ac:dyDescent="0.2">
      <c r="A103" s="252">
        <v>36</v>
      </c>
      <c r="B103" s="273"/>
      <c r="C103" s="269">
        <v>31253</v>
      </c>
      <c r="D103" s="252" t="s">
        <v>162</v>
      </c>
      <c r="F103" s="655">
        <v>17922907.82999998</v>
      </c>
      <c r="G103" s="329"/>
      <c r="H103" s="655">
        <v>1717566.24</v>
      </c>
      <c r="I103" s="329"/>
      <c r="J103" s="655">
        <v>0</v>
      </c>
      <c r="K103" s="329"/>
      <c r="L103" s="655">
        <v>0</v>
      </c>
      <c r="M103" s="329"/>
      <c r="N103" s="655">
        <v>0</v>
      </c>
      <c r="O103" s="329"/>
      <c r="P103" s="655">
        <v>0</v>
      </c>
      <c r="Q103" s="329"/>
      <c r="R103" s="655">
        <v>19640474.069999978</v>
      </c>
      <c r="S103" s="329"/>
      <c r="T103" s="655">
        <v>18781690.949999973</v>
      </c>
    </row>
    <row r="104" spans="1:20" ht="14.1" customHeight="1" x14ac:dyDescent="0.2">
      <c r="A104" s="252">
        <v>37</v>
      </c>
      <c r="B104" s="273"/>
      <c r="C104" s="269">
        <v>31553</v>
      </c>
      <c r="D104" s="252" t="s">
        <v>164</v>
      </c>
      <c r="F104" s="655">
        <v>6245604.2900000038</v>
      </c>
      <c r="G104" s="329"/>
      <c r="H104" s="655">
        <v>550456.92000000016</v>
      </c>
      <c r="I104" s="329"/>
      <c r="J104" s="655">
        <v>0</v>
      </c>
      <c r="K104" s="329"/>
      <c r="L104" s="655">
        <v>0</v>
      </c>
      <c r="M104" s="329"/>
      <c r="N104" s="655">
        <v>0</v>
      </c>
      <c r="O104" s="329"/>
      <c r="P104" s="655">
        <v>0</v>
      </c>
      <c r="Q104" s="329"/>
      <c r="R104" s="655">
        <v>6796061.2100000037</v>
      </c>
      <c r="S104" s="329"/>
      <c r="T104" s="655">
        <v>6520832.7500000056</v>
      </c>
    </row>
    <row r="105" spans="1:20" ht="14.1" customHeight="1" x14ac:dyDescent="0.2">
      <c r="A105" s="252">
        <v>38</v>
      </c>
      <c r="B105" s="273"/>
      <c r="C105" s="269">
        <v>31653</v>
      </c>
      <c r="D105" s="252" t="s">
        <v>165</v>
      </c>
      <c r="F105" s="655">
        <v>323345.11999999889</v>
      </c>
      <c r="G105" s="329"/>
      <c r="H105" s="655">
        <v>28039.320000000003</v>
      </c>
      <c r="I105" s="329"/>
      <c r="J105" s="655">
        <v>0</v>
      </c>
      <c r="K105" s="329"/>
      <c r="L105" s="655">
        <v>0</v>
      </c>
      <c r="M105" s="329"/>
      <c r="N105" s="655">
        <v>0</v>
      </c>
      <c r="O105" s="329"/>
      <c r="P105" s="655">
        <v>0</v>
      </c>
      <c r="Q105" s="329"/>
      <c r="R105" s="655">
        <v>351384.4399999989</v>
      </c>
      <c r="S105" s="329"/>
      <c r="T105" s="655">
        <v>337364.77999999881</v>
      </c>
    </row>
    <row r="106" spans="1:20" ht="14.1" customHeight="1" x14ac:dyDescent="0.2">
      <c r="A106" s="252">
        <v>39</v>
      </c>
      <c r="B106" s="273"/>
      <c r="C106" s="269"/>
      <c r="D106" s="278" t="s">
        <v>200</v>
      </c>
      <c r="E106" s="282"/>
      <c r="F106" s="664">
        <v>32219682.159999959</v>
      </c>
      <c r="G106" s="602"/>
      <c r="H106" s="664">
        <v>2968434.6</v>
      </c>
      <c r="I106" s="602"/>
      <c r="J106" s="664">
        <v>0</v>
      </c>
      <c r="K106" s="602"/>
      <c r="L106" s="664">
        <v>0</v>
      </c>
      <c r="M106" s="602"/>
      <c r="N106" s="664">
        <v>0</v>
      </c>
      <c r="O106" s="602"/>
      <c r="P106" s="664">
        <v>0</v>
      </c>
      <c r="Q106" s="602"/>
      <c r="R106" s="664">
        <v>35188116.759999953</v>
      </c>
      <c r="S106" s="602"/>
      <c r="T106" s="664">
        <v>33703899.459999956</v>
      </c>
    </row>
    <row r="107" spans="1:20" ht="14.1" customHeight="1" x14ac:dyDescent="0.2">
      <c r="A107" s="252">
        <v>40</v>
      </c>
      <c r="B107" s="273"/>
    </row>
    <row r="108" spans="1:20" ht="14.1" customHeight="1" x14ac:dyDescent="0.2">
      <c r="A108" s="252">
        <v>41</v>
      </c>
      <c r="B108" s="273"/>
    </row>
    <row r="109" spans="1:20" ht="14.1" customHeight="1" x14ac:dyDescent="0.2">
      <c r="A109" s="252">
        <v>42</v>
      </c>
      <c r="B109" s="273"/>
    </row>
    <row r="110" spans="1:20" ht="14.1" customHeight="1" x14ac:dyDescent="0.2">
      <c r="A110" s="252">
        <v>43</v>
      </c>
      <c r="B110" s="273"/>
    </row>
    <row r="111" spans="1:20" ht="14.1" customHeight="1" thickBot="1" x14ac:dyDescent="0.25">
      <c r="A111" s="252">
        <v>44</v>
      </c>
      <c r="B111" s="667" t="s">
        <v>186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</row>
    <row r="112" spans="1:20" ht="14.1" customHeight="1" x14ac:dyDescent="0.2">
      <c r="A112" s="252" t="s">
        <v>60</v>
      </c>
    </row>
    <row r="113" spans="1:20" ht="14.1" customHeight="1" thickBot="1" x14ac:dyDescent="0.25">
      <c r="A113" s="264" t="s">
        <v>301</v>
      </c>
      <c r="B113" s="264"/>
      <c r="C113" s="264"/>
      <c r="D113" s="264"/>
      <c r="E113" s="264"/>
      <c r="F113" s="264" t="s">
        <v>302</v>
      </c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 t="s">
        <v>325</v>
      </c>
    </row>
    <row r="114" spans="1:20" ht="14.1" customHeight="1" x14ac:dyDescent="0.2">
      <c r="A114" s="252" t="s">
        <v>129</v>
      </c>
      <c r="B114" s="285"/>
      <c r="E114" s="260" t="s">
        <v>130</v>
      </c>
      <c r="F114" s="252" t="s">
        <v>303</v>
      </c>
      <c r="J114" s="286"/>
      <c r="K114" s="286"/>
      <c r="P114" s="286"/>
      <c r="Q114" s="286"/>
      <c r="R114" s="286" t="s">
        <v>132</v>
      </c>
      <c r="T114" s="261"/>
    </row>
    <row r="115" spans="1:20" ht="14.1" customHeight="1" x14ac:dyDescent="0.2">
      <c r="B115" s="285"/>
      <c r="F115" s="252" t="s">
        <v>1399</v>
      </c>
      <c r="J115" s="260"/>
      <c r="K115" s="261"/>
      <c r="P115" s="260"/>
      <c r="Q115" s="260" t="s">
        <v>123</v>
      </c>
      <c r="R115" s="261" t="s">
        <v>1407</v>
      </c>
      <c r="T115" s="260"/>
    </row>
    <row r="116" spans="1:20" ht="14.1" customHeight="1" x14ac:dyDescent="0.2">
      <c r="A116" s="252" t="s">
        <v>134</v>
      </c>
      <c r="B116" s="285"/>
      <c r="F116" s="252" t="s">
        <v>123</v>
      </c>
      <c r="J116" s="260"/>
      <c r="K116" s="261"/>
      <c r="L116" s="260"/>
      <c r="N116" s="260"/>
      <c r="Q116" s="260" t="s">
        <v>123</v>
      </c>
      <c r="R116" s="261">
        <v>0</v>
      </c>
      <c r="T116" s="260"/>
    </row>
    <row r="117" spans="1:20" ht="14.1" customHeight="1" x14ac:dyDescent="0.2">
      <c r="B117" s="285"/>
      <c r="F117" s="252" t="s">
        <v>123</v>
      </c>
      <c r="J117" s="260"/>
      <c r="K117" s="261"/>
      <c r="L117" s="260"/>
      <c r="N117" s="260"/>
      <c r="Q117" s="260" t="s">
        <v>123</v>
      </c>
      <c r="R117" s="261"/>
      <c r="T117" s="260"/>
    </row>
    <row r="118" spans="1:20" ht="14.1" customHeight="1" thickBot="1" x14ac:dyDescent="0.25">
      <c r="A118" s="264" t="s">
        <v>135</v>
      </c>
      <c r="B118" s="287"/>
      <c r="C118" s="264"/>
      <c r="D118" s="264"/>
      <c r="E118" s="264"/>
      <c r="F118" s="264" t="s">
        <v>123</v>
      </c>
      <c r="G118" s="264"/>
      <c r="H118" s="266"/>
      <c r="I118" s="264"/>
      <c r="J118" s="264"/>
      <c r="K118" s="264"/>
      <c r="L118" s="264"/>
      <c r="M118" s="264"/>
      <c r="N118" s="264"/>
      <c r="O118" s="264"/>
      <c r="P118" s="264"/>
      <c r="Q118" s="264"/>
      <c r="R118" s="288"/>
      <c r="S118" s="264"/>
      <c r="T118" s="264"/>
    </row>
    <row r="119" spans="1:20" ht="14.1" customHeight="1" x14ac:dyDescent="0.2"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</row>
    <row r="120" spans="1:20" ht="14.1" customHeight="1" x14ac:dyDescent="0.2">
      <c r="C120" s="267" t="s">
        <v>136</v>
      </c>
      <c r="D120" s="267" t="s">
        <v>137</v>
      </c>
      <c r="E120" s="267"/>
      <c r="F120" s="267" t="s">
        <v>138</v>
      </c>
      <c r="G120" s="267"/>
      <c r="H120" s="267" t="s">
        <v>139</v>
      </c>
      <c r="I120" s="267"/>
      <c r="J120" s="269" t="s">
        <v>140</v>
      </c>
      <c r="L120" s="267" t="s">
        <v>141</v>
      </c>
      <c r="M120" s="267"/>
      <c r="N120" s="267" t="s">
        <v>142</v>
      </c>
      <c r="O120" s="267"/>
      <c r="P120" s="267" t="s">
        <v>143</v>
      </c>
      <c r="Q120" s="267"/>
      <c r="R120" s="267" t="s">
        <v>144</v>
      </c>
      <c r="S120" s="267"/>
      <c r="T120" s="267" t="s">
        <v>305</v>
      </c>
    </row>
    <row r="121" spans="1:20" ht="14.1" customHeight="1" x14ac:dyDescent="0.2">
      <c r="C121" s="269" t="s">
        <v>145</v>
      </c>
      <c r="D121" s="269" t="s">
        <v>145</v>
      </c>
      <c r="F121" s="267" t="s">
        <v>41</v>
      </c>
      <c r="G121" s="269"/>
      <c r="H121" s="267" t="s">
        <v>40</v>
      </c>
      <c r="I121" s="269"/>
      <c r="J121" s="267"/>
      <c r="K121" s="269"/>
      <c r="L121" s="269"/>
      <c r="M121" s="269"/>
      <c r="N121" s="269"/>
      <c r="O121" s="269"/>
      <c r="P121" s="269"/>
      <c r="Q121" s="269"/>
      <c r="R121" s="269" t="s">
        <v>41</v>
      </c>
      <c r="T121" s="269"/>
    </row>
    <row r="122" spans="1:20" ht="14.1" customHeight="1" x14ac:dyDescent="0.2">
      <c r="A122" s="252" t="s">
        <v>146</v>
      </c>
      <c r="B122" s="269"/>
      <c r="C122" s="269" t="s">
        <v>147</v>
      </c>
      <c r="D122" s="269" t="s">
        <v>147</v>
      </c>
      <c r="E122" s="267"/>
      <c r="F122" s="269" t="s">
        <v>6</v>
      </c>
      <c r="G122" s="269"/>
      <c r="H122" s="269" t="s">
        <v>6</v>
      </c>
      <c r="I122" s="269"/>
      <c r="J122" s="269"/>
      <c r="K122" s="267"/>
      <c r="L122" s="269" t="s">
        <v>306</v>
      </c>
      <c r="M122" s="269"/>
      <c r="N122" s="269" t="s">
        <v>306</v>
      </c>
      <c r="O122" s="269"/>
      <c r="P122" s="269" t="s">
        <v>150</v>
      </c>
      <c r="Q122" s="267"/>
      <c r="R122" s="267" t="s">
        <v>6</v>
      </c>
      <c r="S122" s="267"/>
      <c r="T122" s="269" t="s">
        <v>151</v>
      </c>
    </row>
    <row r="123" spans="1:20" ht="14.1" customHeight="1" thickBot="1" x14ac:dyDescent="0.25">
      <c r="A123" s="264" t="s">
        <v>152</v>
      </c>
      <c r="B123" s="266"/>
      <c r="C123" s="266" t="s">
        <v>52</v>
      </c>
      <c r="D123" s="266" t="s">
        <v>153</v>
      </c>
      <c r="E123" s="266"/>
      <c r="F123" s="270" t="s">
        <v>154</v>
      </c>
      <c r="G123" s="270"/>
      <c r="H123" s="270" t="s">
        <v>307</v>
      </c>
      <c r="I123" s="271"/>
      <c r="J123" s="270" t="s">
        <v>18</v>
      </c>
      <c r="K123" s="271"/>
      <c r="L123" s="270" t="s">
        <v>19</v>
      </c>
      <c r="M123" s="271"/>
      <c r="N123" s="270" t="s">
        <v>54</v>
      </c>
      <c r="O123" s="271"/>
      <c r="P123" s="272" t="s">
        <v>157</v>
      </c>
      <c r="Q123" s="272"/>
      <c r="R123" s="272" t="s">
        <v>158</v>
      </c>
      <c r="S123" s="272"/>
      <c r="T123" s="272" t="s">
        <v>3</v>
      </c>
    </row>
    <row r="124" spans="1:20" ht="14.1" customHeight="1" x14ac:dyDescent="0.2">
      <c r="A124" s="252">
        <v>1</v>
      </c>
    </row>
    <row r="125" spans="1:20" ht="14.1" customHeight="1" x14ac:dyDescent="0.2">
      <c r="A125" s="252">
        <v>2</v>
      </c>
      <c r="B125" s="273"/>
      <c r="C125" s="289"/>
      <c r="D125" s="278" t="s">
        <v>201</v>
      </c>
      <c r="E125" s="282"/>
      <c r="F125" s="708"/>
      <c r="G125" s="708"/>
      <c r="H125" s="602"/>
      <c r="I125" s="602"/>
      <c r="J125" s="602"/>
      <c r="K125" s="602"/>
      <c r="L125" s="602"/>
      <c r="M125" s="602"/>
      <c r="N125" s="602"/>
      <c r="O125" s="602"/>
      <c r="P125" s="602"/>
      <c r="Q125" s="602"/>
      <c r="R125" s="602"/>
      <c r="S125" s="602"/>
      <c r="T125" s="602"/>
    </row>
    <row r="126" spans="1:20" ht="14.1" customHeight="1" x14ac:dyDescent="0.2">
      <c r="A126" s="252">
        <v>3</v>
      </c>
      <c r="B126" s="273"/>
      <c r="C126" s="269">
        <v>31154</v>
      </c>
      <c r="D126" s="252" t="s">
        <v>161</v>
      </c>
      <c r="F126" s="655">
        <v>5065029</v>
      </c>
      <c r="G126" s="329"/>
      <c r="H126" s="655">
        <v>404574</v>
      </c>
      <c r="I126" s="329"/>
      <c r="J126" s="655">
        <v>0</v>
      </c>
      <c r="K126" s="329"/>
      <c r="L126" s="655">
        <v>0</v>
      </c>
      <c r="M126" s="329"/>
      <c r="N126" s="655">
        <v>0</v>
      </c>
      <c r="O126" s="329"/>
      <c r="P126" s="655">
        <v>0</v>
      </c>
      <c r="Q126" s="329"/>
      <c r="R126" s="655">
        <v>5469603</v>
      </c>
      <c r="S126" s="329"/>
      <c r="T126" s="655">
        <v>5267316</v>
      </c>
    </row>
    <row r="127" spans="1:20" ht="14.1" customHeight="1" x14ac:dyDescent="0.2">
      <c r="A127" s="252">
        <v>4</v>
      </c>
      <c r="B127" s="273"/>
      <c r="C127" s="269">
        <v>31254</v>
      </c>
      <c r="D127" s="252" t="s">
        <v>162</v>
      </c>
      <c r="F127" s="655">
        <v>8103249.1199999927</v>
      </c>
      <c r="G127" s="329"/>
      <c r="H127" s="655">
        <v>1154181.24</v>
      </c>
      <c r="I127" s="329"/>
      <c r="J127" s="655">
        <v>0</v>
      </c>
      <c r="K127" s="329"/>
      <c r="L127" s="655">
        <v>-13438.74</v>
      </c>
      <c r="M127" s="329"/>
      <c r="N127" s="655">
        <v>0</v>
      </c>
      <c r="O127" s="329"/>
      <c r="P127" s="655">
        <v>0</v>
      </c>
      <c r="Q127" s="329"/>
      <c r="R127" s="655">
        <v>9243991.6199999917</v>
      </c>
      <c r="S127" s="329"/>
      <c r="T127" s="655">
        <v>8667934.7492307592</v>
      </c>
    </row>
    <row r="128" spans="1:20" ht="14.1" customHeight="1" x14ac:dyDescent="0.2">
      <c r="A128" s="252">
        <v>5</v>
      </c>
      <c r="B128" s="273"/>
      <c r="C128" s="269">
        <v>31554</v>
      </c>
      <c r="D128" s="252" t="s">
        <v>164</v>
      </c>
      <c r="F128" s="655">
        <v>5196277.2799999872</v>
      </c>
      <c r="G128" s="329"/>
      <c r="H128" s="655">
        <v>415039.07999999984</v>
      </c>
      <c r="I128" s="329"/>
      <c r="J128" s="655">
        <v>0</v>
      </c>
      <c r="K128" s="329"/>
      <c r="L128" s="655">
        <v>0</v>
      </c>
      <c r="M128" s="329"/>
      <c r="N128" s="655">
        <v>0</v>
      </c>
      <c r="O128" s="329"/>
      <c r="P128" s="655">
        <v>0</v>
      </c>
      <c r="Q128" s="329"/>
      <c r="R128" s="655">
        <v>5611316.3599999873</v>
      </c>
      <c r="S128" s="329"/>
      <c r="T128" s="655">
        <v>5403796.8199999873</v>
      </c>
    </row>
    <row r="129" spans="1:20" ht="14.1" customHeight="1" x14ac:dyDescent="0.2">
      <c r="A129" s="252">
        <v>6</v>
      </c>
      <c r="B129" s="273"/>
      <c r="C129" s="269">
        <v>31654</v>
      </c>
      <c r="D129" s="252" t="s">
        <v>165</v>
      </c>
      <c r="F129" s="655">
        <v>282593.44000000064</v>
      </c>
      <c r="G129" s="329"/>
      <c r="H129" s="655">
        <v>22701.84</v>
      </c>
      <c r="I129" s="329"/>
      <c r="J129" s="655">
        <v>0</v>
      </c>
      <c r="K129" s="329"/>
      <c r="L129" s="655">
        <v>0</v>
      </c>
      <c r="M129" s="329"/>
      <c r="N129" s="655">
        <v>0</v>
      </c>
      <c r="O129" s="329"/>
      <c r="P129" s="655">
        <v>0</v>
      </c>
      <c r="Q129" s="329"/>
      <c r="R129" s="655">
        <v>305295.28000000067</v>
      </c>
      <c r="S129" s="329"/>
      <c r="T129" s="655">
        <v>293944.36000000068</v>
      </c>
    </row>
    <row r="130" spans="1:20" ht="14.1" customHeight="1" x14ac:dyDescent="0.2">
      <c r="A130" s="252">
        <v>7</v>
      </c>
      <c r="C130" s="269"/>
      <c r="D130" s="278" t="s">
        <v>202</v>
      </c>
      <c r="E130" s="282"/>
      <c r="F130" s="664">
        <v>18647148.839999981</v>
      </c>
      <c r="G130" s="602"/>
      <c r="H130" s="664">
        <v>1996496.16</v>
      </c>
      <c r="I130" s="602"/>
      <c r="J130" s="664">
        <v>0</v>
      </c>
      <c r="K130" s="602"/>
      <c r="L130" s="664">
        <v>-13438.74</v>
      </c>
      <c r="M130" s="602"/>
      <c r="N130" s="664">
        <v>0</v>
      </c>
      <c r="O130" s="602"/>
      <c r="P130" s="664">
        <v>0</v>
      </c>
      <c r="Q130" s="602"/>
      <c r="R130" s="664">
        <v>20630206.259999979</v>
      </c>
      <c r="S130" s="602"/>
      <c r="T130" s="664">
        <v>19632991.929230746</v>
      </c>
    </row>
    <row r="131" spans="1:20" ht="14.1" customHeight="1" x14ac:dyDescent="0.2">
      <c r="A131" s="252">
        <v>8</v>
      </c>
    </row>
    <row r="132" spans="1:20" ht="14.1" customHeight="1" x14ac:dyDescent="0.2">
      <c r="A132" s="252">
        <v>9</v>
      </c>
      <c r="B132" s="273"/>
      <c r="C132" s="714">
        <v>31247</v>
      </c>
      <c r="D132" s="715" t="s">
        <v>203</v>
      </c>
      <c r="F132" s="281">
        <v>18159300.239999998</v>
      </c>
      <c r="G132" s="281"/>
      <c r="H132" s="281">
        <v>3370164.0299999993</v>
      </c>
      <c r="I132" s="281"/>
      <c r="J132" s="281">
        <v>-86335.23000000001</v>
      </c>
      <c r="K132" s="281"/>
      <c r="L132" s="281">
        <v>-9897.14</v>
      </c>
      <c r="M132" s="281"/>
      <c r="N132" s="281">
        <v>0</v>
      </c>
      <c r="O132" s="281"/>
      <c r="P132" s="281">
        <v>0</v>
      </c>
      <c r="Q132" s="281"/>
      <c r="R132" s="281">
        <v>21433231.899999995</v>
      </c>
      <c r="S132" s="281"/>
      <c r="T132" s="281">
        <v>20141738.300000004</v>
      </c>
    </row>
    <row r="133" spans="1:20" ht="14.1" customHeight="1" x14ac:dyDescent="0.2">
      <c r="A133" s="252">
        <v>10</v>
      </c>
      <c r="B133" s="273"/>
    </row>
    <row r="134" spans="1:20" ht="14.1" customHeight="1" x14ac:dyDescent="0.2">
      <c r="A134" s="252">
        <v>11</v>
      </c>
      <c r="B134" s="273"/>
      <c r="C134" s="267">
        <v>31647</v>
      </c>
      <c r="D134" s="252" t="s">
        <v>204</v>
      </c>
      <c r="F134" s="655">
        <v>828678.70000000182</v>
      </c>
      <c r="G134" s="329"/>
      <c r="H134" s="655">
        <v>159259.63</v>
      </c>
      <c r="I134" s="329"/>
      <c r="J134" s="655">
        <v>-298861.26</v>
      </c>
      <c r="K134" s="329"/>
      <c r="L134" s="655">
        <v>0</v>
      </c>
      <c r="M134" s="329"/>
      <c r="N134" s="655">
        <v>0</v>
      </c>
      <c r="O134" s="329"/>
      <c r="P134" s="655">
        <v>0</v>
      </c>
      <c r="Q134" s="329"/>
      <c r="R134" s="655">
        <v>689077.07000000181</v>
      </c>
      <c r="S134" s="329"/>
      <c r="T134" s="281">
        <v>727122.17923077114</v>
      </c>
    </row>
    <row r="135" spans="1:20" ht="14.1" customHeight="1" x14ac:dyDescent="0.2">
      <c r="A135" s="252">
        <v>12</v>
      </c>
      <c r="B135" s="273"/>
      <c r="C135" s="269"/>
      <c r="F135" s="716"/>
      <c r="G135" s="708"/>
      <c r="H135" s="716"/>
      <c r="I135" s="602"/>
      <c r="J135" s="716"/>
      <c r="K135" s="602"/>
      <c r="L135" s="716"/>
      <c r="M135" s="602"/>
      <c r="N135" s="716"/>
      <c r="O135" s="602"/>
      <c r="P135" s="716"/>
      <c r="Q135" s="602"/>
      <c r="R135" s="716"/>
      <c r="S135" s="602"/>
      <c r="T135" s="716"/>
    </row>
    <row r="136" spans="1:20" ht="14.1" customHeight="1" thickBot="1" x14ac:dyDescent="0.25">
      <c r="A136" s="252">
        <v>13</v>
      </c>
      <c r="B136" s="273"/>
      <c r="C136" s="269"/>
      <c r="D136" s="279" t="s">
        <v>205</v>
      </c>
      <c r="F136" s="670">
        <v>798266046.0400002</v>
      </c>
      <c r="G136" s="260"/>
      <c r="H136" s="670">
        <v>74807718.75999999</v>
      </c>
      <c r="I136" s="661"/>
      <c r="J136" s="670">
        <v>-25586031.610000007</v>
      </c>
      <c r="K136" s="661"/>
      <c r="L136" s="670">
        <v>-24822126.069999997</v>
      </c>
      <c r="M136" s="661"/>
      <c r="N136" s="670">
        <v>401425.4200000001</v>
      </c>
      <c r="O136" s="661"/>
      <c r="P136" s="670">
        <v>0</v>
      </c>
      <c r="Q136" s="661"/>
      <c r="R136" s="670">
        <v>823067032.5400002</v>
      </c>
      <c r="S136" s="708"/>
      <c r="T136" s="670">
        <v>807180350.79615378</v>
      </c>
    </row>
    <row r="137" spans="1:20" ht="14.1" customHeight="1" thickTop="1" x14ac:dyDescent="0.2">
      <c r="A137" s="252">
        <v>14</v>
      </c>
      <c r="B137" s="273"/>
      <c r="C137" s="269"/>
      <c r="D137" s="279"/>
      <c r="F137" s="664"/>
      <c r="G137" s="708"/>
      <c r="H137" s="664"/>
      <c r="I137" s="708"/>
      <c r="J137" s="664"/>
      <c r="K137" s="708"/>
      <c r="L137" s="664"/>
      <c r="M137" s="708"/>
      <c r="N137" s="664"/>
      <c r="O137" s="708"/>
      <c r="P137" s="664"/>
      <c r="Q137" s="708"/>
      <c r="R137" s="664"/>
      <c r="S137" s="708"/>
      <c r="T137" s="664"/>
    </row>
    <row r="138" spans="1:20" ht="14.1" customHeight="1" thickBot="1" x14ac:dyDescent="0.25">
      <c r="A138" s="252">
        <v>15</v>
      </c>
      <c r="B138" s="273"/>
      <c r="C138" s="269"/>
      <c r="D138" s="83" t="s">
        <v>68</v>
      </c>
      <c r="F138" s="665">
        <v>798266046.0400002</v>
      </c>
      <c r="G138" s="257"/>
      <c r="H138" s="665">
        <v>74807718.75999999</v>
      </c>
      <c r="I138" s="674"/>
      <c r="J138" s="665">
        <v>-25586031.610000007</v>
      </c>
      <c r="K138" s="674"/>
      <c r="L138" s="665">
        <v>-24822126.069999997</v>
      </c>
      <c r="M138" s="674"/>
      <c r="N138" s="665">
        <v>401425.4200000001</v>
      </c>
      <c r="O138" s="674"/>
      <c r="P138" s="665">
        <v>0</v>
      </c>
      <c r="Q138" s="674"/>
      <c r="R138" s="665">
        <v>823067032.5400002</v>
      </c>
      <c r="S138" s="666"/>
      <c r="T138" s="665">
        <v>807180350.79615378</v>
      </c>
    </row>
    <row r="139" spans="1:20" ht="14.1" customHeight="1" thickTop="1" x14ac:dyDescent="0.2">
      <c r="A139" s="252">
        <v>16</v>
      </c>
      <c r="B139" s="273"/>
      <c r="C139" s="269"/>
    </row>
    <row r="140" spans="1:20" ht="14.1" customHeight="1" x14ac:dyDescent="0.2">
      <c r="A140" s="252">
        <v>17</v>
      </c>
      <c r="B140" s="273"/>
      <c r="D140" s="83" t="s">
        <v>63</v>
      </c>
    </row>
    <row r="141" spans="1:20" ht="14.1" customHeight="1" x14ac:dyDescent="0.2">
      <c r="A141" s="252">
        <v>18</v>
      </c>
      <c r="B141" s="273"/>
      <c r="C141" s="269"/>
      <c r="D141" s="252" t="s">
        <v>159</v>
      </c>
      <c r="F141" s="276"/>
      <c r="G141" s="602"/>
      <c r="H141" s="706"/>
      <c r="I141" s="602"/>
      <c r="J141" s="706"/>
      <c r="K141" s="602"/>
      <c r="L141" s="706"/>
      <c r="M141" s="602"/>
      <c r="N141" s="706"/>
      <c r="O141" s="602"/>
      <c r="P141" s="706"/>
      <c r="Q141" s="602"/>
      <c r="R141" s="706"/>
      <c r="S141" s="602"/>
      <c r="T141" s="706"/>
    </row>
    <row r="142" spans="1:20" ht="14.1" customHeight="1" x14ac:dyDescent="0.2">
      <c r="A142" s="252">
        <v>19</v>
      </c>
      <c r="B142" s="273"/>
      <c r="C142" s="269"/>
      <c r="D142" s="252" t="s">
        <v>208</v>
      </c>
      <c r="G142" s="602"/>
      <c r="I142" s="602"/>
      <c r="K142" s="602"/>
      <c r="M142" s="602"/>
      <c r="O142" s="602"/>
      <c r="Q142" s="602"/>
      <c r="S142" s="602"/>
    </row>
    <row r="143" spans="1:20" ht="14.1" customHeight="1" x14ac:dyDescent="0.2">
      <c r="A143" s="252">
        <v>20</v>
      </c>
      <c r="B143" s="273"/>
      <c r="C143" s="269">
        <v>34144</v>
      </c>
      <c r="D143" s="252" t="s">
        <v>161</v>
      </c>
      <c r="F143" s="655">
        <v>519030.98000000045</v>
      </c>
      <c r="G143" s="329"/>
      <c r="H143" s="655">
        <v>86088.239999999991</v>
      </c>
      <c r="I143" s="329"/>
      <c r="J143" s="655">
        <v>0</v>
      </c>
      <c r="K143" s="329"/>
      <c r="L143" s="655">
        <v>0</v>
      </c>
      <c r="M143" s="329"/>
      <c r="N143" s="655">
        <v>0</v>
      </c>
      <c r="O143" s="329"/>
      <c r="P143" s="655">
        <v>0</v>
      </c>
      <c r="Q143" s="329"/>
      <c r="R143" s="655">
        <v>605119.22000000044</v>
      </c>
      <c r="S143" s="329"/>
      <c r="T143" s="655">
        <v>562075.10000000044</v>
      </c>
    </row>
    <row r="144" spans="1:20" ht="14.1" customHeight="1" x14ac:dyDescent="0.2">
      <c r="A144" s="252">
        <v>21</v>
      </c>
      <c r="B144" s="273"/>
      <c r="C144" s="269">
        <v>34244</v>
      </c>
      <c r="D144" s="252" t="s">
        <v>162</v>
      </c>
      <c r="F144" s="655">
        <v>666344.74000000127</v>
      </c>
      <c r="G144" s="329"/>
      <c r="H144" s="655">
        <v>84714.60000000002</v>
      </c>
      <c r="I144" s="329"/>
      <c r="J144" s="655">
        <v>0</v>
      </c>
      <c r="K144" s="329"/>
      <c r="L144" s="655">
        <v>-2796.73</v>
      </c>
      <c r="M144" s="329"/>
      <c r="N144" s="655">
        <v>491.86</v>
      </c>
      <c r="O144" s="329"/>
      <c r="P144" s="655">
        <v>0</v>
      </c>
      <c r="Q144" s="329"/>
      <c r="R144" s="655">
        <v>748754.47000000125</v>
      </c>
      <c r="S144" s="329"/>
      <c r="T144" s="655">
        <v>707057.66615384794</v>
      </c>
    </row>
    <row r="145" spans="1:20" ht="14.1" customHeight="1" x14ac:dyDescent="0.2">
      <c r="A145" s="252">
        <v>22</v>
      </c>
      <c r="B145" s="273"/>
      <c r="C145" s="269">
        <v>34344</v>
      </c>
      <c r="D145" s="252" t="s">
        <v>163</v>
      </c>
      <c r="F145" s="655">
        <v>8162526.4000000078</v>
      </c>
      <c r="G145" s="329"/>
      <c r="H145" s="655">
        <v>790859.4800000001</v>
      </c>
      <c r="I145" s="329"/>
      <c r="J145" s="655">
        <v>-32766.55</v>
      </c>
      <c r="K145" s="329"/>
      <c r="L145" s="655">
        <v>-23714.289999999997</v>
      </c>
      <c r="M145" s="329"/>
      <c r="N145" s="655">
        <v>4153.9799999999987</v>
      </c>
      <c r="O145" s="329"/>
      <c r="P145" s="655">
        <v>0</v>
      </c>
      <c r="Q145" s="329"/>
      <c r="R145" s="655">
        <v>8901059.0200000089</v>
      </c>
      <c r="S145" s="329"/>
      <c r="T145" s="655">
        <v>8531187.5292307772</v>
      </c>
    </row>
    <row r="146" spans="1:20" ht="14.1" customHeight="1" x14ac:dyDescent="0.2">
      <c r="A146" s="252">
        <v>23</v>
      </c>
      <c r="B146" s="273"/>
      <c r="C146" s="269">
        <v>34544</v>
      </c>
      <c r="D146" s="252" t="s">
        <v>164</v>
      </c>
      <c r="F146" s="655">
        <v>5227798.9499999955</v>
      </c>
      <c r="G146" s="329"/>
      <c r="H146" s="655">
        <v>596736</v>
      </c>
      <c r="I146" s="329"/>
      <c r="J146" s="655">
        <v>0</v>
      </c>
      <c r="K146" s="329"/>
      <c r="L146" s="655">
        <v>0</v>
      </c>
      <c r="M146" s="329"/>
      <c r="N146" s="655">
        <v>0</v>
      </c>
      <c r="O146" s="329"/>
      <c r="P146" s="655">
        <v>0</v>
      </c>
      <c r="Q146" s="329"/>
      <c r="R146" s="655">
        <v>5824534.9499999955</v>
      </c>
      <c r="S146" s="329"/>
      <c r="T146" s="655">
        <v>5526166.9499999946</v>
      </c>
    </row>
    <row r="147" spans="1:20" ht="14.1" customHeight="1" x14ac:dyDescent="0.2">
      <c r="A147" s="252">
        <v>24</v>
      </c>
      <c r="B147" s="273"/>
      <c r="C147" s="269">
        <v>34644</v>
      </c>
      <c r="D147" s="252" t="s">
        <v>165</v>
      </c>
      <c r="F147" s="655">
        <v>167705.78000000009</v>
      </c>
      <c r="G147" s="329"/>
      <c r="H147" s="655">
        <v>20426.519999999993</v>
      </c>
      <c r="I147" s="329"/>
      <c r="J147" s="655">
        <v>0</v>
      </c>
      <c r="K147" s="329"/>
      <c r="L147" s="655">
        <v>0</v>
      </c>
      <c r="M147" s="329"/>
      <c r="N147" s="655">
        <v>0</v>
      </c>
      <c r="O147" s="329"/>
      <c r="P147" s="655">
        <v>0</v>
      </c>
      <c r="Q147" s="329"/>
      <c r="R147" s="655">
        <v>188132.30000000008</v>
      </c>
      <c r="S147" s="329"/>
      <c r="T147" s="655">
        <v>177919.04</v>
      </c>
    </row>
    <row r="148" spans="1:20" ht="14.1" customHeight="1" x14ac:dyDescent="0.2">
      <c r="A148" s="252">
        <v>25</v>
      </c>
      <c r="B148" s="273"/>
      <c r="D148" s="252" t="s">
        <v>209</v>
      </c>
      <c r="F148" s="664">
        <v>14743406.850000003</v>
      </c>
      <c r="G148" s="602"/>
      <c r="H148" s="664">
        <v>1578824.84</v>
      </c>
      <c r="I148" s="602"/>
      <c r="J148" s="664">
        <v>-32766.55</v>
      </c>
      <c r="K148" s="602"/>
      <c r="L148" s="664">
        <v>-26511.019999999997</v>
      </c>
      <c r="M148" s="602"/>
      <c r="N148" s="664">
        <v>4645.8399999999983</v>
      </c>
      <c r="O148" s="602"/>
      <c r="P148" s="664">
        <v>0</v>
      </c>
      <c r="Q148" s="602"/>
      <c r="R148" s="664">
        <v>16267599.960000006</v>
      </c>
      <c r="S148" s="602"/>
      <c r="T148" s="664">
        <v>15504406.285384618</v>
      </c>
    </row>
    <row r="149" spans="1:20" ht="14.1" customHeight="1" x14ac:dyDescent="0.2">
      <c r="A149" s="252">
        <v>26</v>
      </c>
      <c r="B149" s="273"/>
      <c r="H149" s="307"/>
    </row>
    <row r="150" spans="1:20" ht="14.1" customHeight="1" x14ac:dyDescent="0.2">
      <c r="A150" s="252">
        <v>27</v>
      </c>
      <c r="B150" s="273"/>
      <c r="D150" s="252" t="s">
        <v>1365</v>
      </c>
      <c r="G150" s="602"/>
      <c r="I150" s="602"/>
      <c r="K150" s="602"/>
      <c r="M150" s="602"/>
      <c r="O150" s="602"/>
      <c r="Q150" s="602"/>
      <c r="S150" s="602"/>
    </row>
    <row r="151" spans="1:20" ht="14.1" customHeight="1" x14ac:dyDescent="0.2">
      <c r="A151" s="252">
        <v>28</v>
      </c>
      <c r="B151" s="273"/>
      <c r="C151" s="269">
        <v>34345</v>
      </c>
      <c r="D151" s="283" t="s">
        <v>1366</v>
      </c>
      <c r="F151" s="655">
        <v>0</v>
      </c>
      <c r="G151" s="329"/>
      <c r="H151" s="655">
        <v>0</v>
      </c>
      <c r="I151" s="329"/>
      <c r="J151" s="655">
        <v>0</v>
      </c>
      <c r="K151" s="329"/>
      <c r="L151" s="655">
        <v>0</v>
      </c>
      <c r="M151" s="329"/>
      <c r="N151" s="655">
        <v>0</v>
      </c>
      <c r="O151" s="329"/>
      <c r="P151" s="655">
        <v>0</v>
      </c>
      <c r="Q151" s="329"/>
      <c r="R151" s="655">
        <v>0</v>
      </c>
      <c r="S151" s="329"/>
      <c r="T151" s="655">
        <v>0</v>
      </c>
    </row>
    <row r="152" spans="1:20" ht="14.1" customHeight="1" x14ac:dyDescent="0.2">
      <c r="A152" s="252">
        <v>29</v>
      </c>
      <c r="B152" s="273"/>
      <c r="C152" s="269"/>
      <c r="D152" s="279" t="s">
        <v>1367</v>
      </c>
      <c r="F152" s="658">
        <v>0</v>
      </c>
      <c r="G152" s="329"/>
      <c r="H152" s="658">
        <v>0</v>
      </c>
      <c r="I152" s="329"/>
      <c r="J152" s="658">
        <v>0</v>
      </c>
      <c r="K152" s="329"/>
      <c r="L152" s="658">
        <v>0</v>
      </c>
      <c r="M152" s="329"/>
      <c r="N152" s="658">
        <v>0</v>
      </c>
      <c r="O152" s="329"/>
      <c r="P152" s="658">
        <v>0</v>
      </c>
      <c r="Q152" s="329"/>
      <c r="R152" s="658">
        <v>0</v>
      </c>
      <c r="S152" s="329"/>
      <c r="T152" s="658">
        <v>0</v>
      </c>
    </row>
    <row r="153" spans="1:20" ht="14.1" customHeight="1" x14ac:dyDescent="0.2">
      <c r="A153" s="252">
        <v>30</v>
      </c>
      <c r="B153" s="273"/>
      <c r="C153" s="269"/>
      <c r="F153" s="655"/>
      <c r="G153" s="329"/>
      <c r="H153" s="655"/>
      <c r="I153" s="329"/>
      <c r="J153" s="655"/>
      <c r="K153" s="329"/>
      <c r="L153" s="655"/>
      <c r="M153" s="329"/>
      <c r="N153" s="655"/>
      <c r="O153" s="329"/>
      <c r="P153" s="655"/>
      <c r="Q153" s="329"/>
      <c r="R153" s="655"/>
      <c r="S153" s="329"/>
      <c r="T153" s="655"/>
    </row>
    <row r="154" spans="1:20" ht="14.1" customHeight="1" x14ac:dyDescent="0.2">
      <c r="A154" s="252">
        <v>31</v>
      </c>
      <c r="B154" s="273"/>
      <c r="C154" s="269"/>
      <c r="D154" s="252" t="s">
        <v>1368</v>
      </c>
    </row>
    <row r="155" spans="1:20" ht="14.1" customHeight="1" x14ac:dyDescent="0.2">
      <c r="A155" s="252">
        <v>32</v>
      </c>
      <c r="B155" s="273"/>
      <c r="C155" s="269">
        <v>34346</v>
      </c>
      <c r="D155" s="283" t="s">
        <v>1369</v>
      </c>
      <c r="F155" s="655">
        <v>0</v>
      </c>
      <c r="G155" s="329"/>
      <c r="H155" s="655">
        <v>0</v>
      </c>
      <c r="I155" s="329"/>
      <c r="J155" s="655">
        <v>0</v>
      </c>
      <c r="K155" s="329"/>
      <c r="L155" s="655">
        <v>0</v>
      </c>
      <c r="M155" s="329"/>
      <c r="N155" s="655">
        <v>0</v>
      </c>
      <c r="O155" s="329"/>
      <c r="P155" s="655">
        <v>0</v>
      </c>
      <c r="Q155" s="329"/>
      <c r="R155" s="655">
        <v>0</v>
      </c>
      <c r="S155" s="329"/>
      <c r="T155" s="655">
        <v>0</v>
      </c>
    </row>
    <row r="156" spans="1:20" ht="14.1" customHeight="1" x14ac:dyDescent="0.2">
      <c r="A156" s="252">
        <v>33</v>
      </c>
      <c r="B156" s="273"/>
      <c r="C156" s="269"/>
      <c r="D156" s="279" t="s">
        <v>1370</v>
      </c>
      <c r="F156" s="658">
        <v>0</v>
      </c>
      <c r="H156" s="658">
        <v>0</v>
      </c>
      <c r="J156" s="658">
        <v>0</v>
      </c>
      <c r="L156" s="658">
        <v>0</v>
      </c>
      <c r="N156" s="658">
        <v>0</v>
      </c>
      <c r="P156" s="658">
        <v>0</v>
      </c>
      <c r="R156" s="658">
        <v>0</v>
      </c>
      <c r="T156" s="658">
        <v>0</v>
      </c>
    </row>
    <row r="157" spans="1:20" ht="14.1" customHeight="1" x14ac:dyDescent="0.2">
      <c r="A157" s="252">
        <v>34</v>
      </c>
      <c r="B157" s="273"/>
      <c r="C157" s="269"/>
    </row>
    <row r="158" spans="1:20" ht="14.1" customHeight="1" x14ac:dyDescent="0.2">
      <c r="A158" s="252">
        <v>35</v>
      </c>
      <c r="B158" s="273"/>
      <c r="C158" s="269"/>
      <c r="D158" s="252" t="s">
        <v>1371</v>
      </c>
    </row>
    <row r="159" spans="1:20" ht="14.1" customHeight="1" x14ac:dyDescent="0.2">
      <c r="A159" s="252">
        <v>36</v>
      </c>
      <c r="B159" s="273"/>
      <c r="C159" s="269">
        <v>34343</v>
      </c>
      <c r="D159" s="283" t="s">
        <v>1372</v>
      </c>
      <c r="F159" s="655">
        <v>0</v>
      </c>
      <c r="G159" s="329"/>
      <c r="H159" s="655">
        <v>0</v>
      </c>
      <c r="I159" s="329"/>
      <c r="J159" s="655">
        <v>0</v>
      </c>
      <c r="K159" s="329"/>
      <c r="L159" s="655">
        <v>0</v>
      </c>
      <c r="M159" s="329"/>
      <c r="N159" s="655">
        <v>0</v>
      </c>
      <c r="O159" s="329"/>
      <c r="P159" s="655">
        <v>0</v>
      </c>
      <c r="Q159" s="329"/>
      <c r="R159" s="655">
        <v>0</v>
      </c>
      <c r="S159" s="329"/>
      <c r="T159" s="655">
        <v>0</v>
      </c>
    </row>
    <row r="160" spans="1:20" ht="14.1" customHeight="1" x14ac:dyDescent="0.2">
      <c r="A160" s="252">
        <v>37</v>
      </c>
      <c r="B160" s="273"/>
      <c r="C160" s="269"/>
      <c r="D160" s="279" t="s">
        <v>1373</v>
      </c>
      <c r="F160" s="658">
        <v>0</v>
      </c>
      <c r="H160" s="658">
        <v>0</v>
      </c>
      <c r="J160" s="658">
        <v>0</v>
      </c>
      <c r="L160" s="658">
        <v>0</v>
      </c>
      <c r="N160" s="658">
        <v>0</v>
      </c>
      <c r="P160" s="658">
        <v>0</v>
      </c>
      <c r="R160" s="658">
        <v>0</v>
      </c>
      <c r="T160" s="658">
        <v>0</v>
      </c>
    </row>
    <row r="161" spans="1:20" ht="14.1" customHeight="1" x14ac:dyDescent="0.2">
      <c r="A161" s="252">
        <v>38</v>
      </c>
      <c r="B161" s="273"/>
    </row>
    <row r="162" spans="1:20" ht="14.1" customHeight="1" x14ac:dyDescent="0.2">
      <c r="A162" s="252">
        <v>39</v>
      </c>
      <c r="B162" s="273"/>
    </row>
    <row r="163" spans="1:20" ht="14.1" customHeight="1" x14ac:dyDescent="0.2">
      <c r="A163" s="252">
        <v>40</v>
      </c>
      <c r="B163" s="273"/>
    </row>
    <row r="164" spans="1:20" ht="14.1" customHeight="1" x14ac:dyDescent="0.2">
      <c r="A164" s="252">
        <v>41</v>
      </c>
      <c r="B164" s="273"/>
    </row>
    <row r="165" spans="1:20" ht="14.1" customHeight="1" thickBot="1" x14ac:dyDescent="0.25">
      <c r="A165" s="252">
        <v>42</v>
      </c>
      <c r="B165" s="273"/>
      <c r="D165" s="83" t="s">
        <v>205</v>
      </c>
      <c r="E165" s="83"/>
      <c r="F165" s="665">
        <v>14743406.850000003</v>
      </c>
      <c r="G165" s="666"/>
      <c r="H165" s="665">
        <v>1578824.84</v>
      </c>
      <c r="I165" s="666"/>
      <c r="J165" s="665">
        <v>-32766.55</v>
      </c>
      <c r="K165" s="666"/>
      <c r="L165" s="665">
        <v>-26511.019999999997</v>
      </c>
      <c r="M165" s="666"/>
      <c r="N165" s="665">
        <v>4645.8399999999983</v>
      </c>
      <c r="O165" s="666"/>
      <c r="P165" s="665">
        <v>0</v>
      </c>
      <c r="Q165" s="666"/>
      <c r="R165" s="665">
        <v>16267599.960000006</v>
      </c>
      <c r="S165" s="666"/>
      <c r="T165" s="665">
        <v>15504406.285384618</v>
      </c>
    </row>
    <row r="166" spans="1:20" ht="14.1" customHeight="1" thickTop="1" x14ac:dyDescent="0.2">
      <c r="A166" s="252">
        <v>43</v>
      </c>
      <c r="B166" s="273"/>
    </row>
    <row r="167" spans="1:20" ht="14.1" customHeight="1" thickBot="1" x14ac:dyDescent="0.25">
      <c r="A167" s="252">
        <v>44</v>
      </c>
      <c r="B167" s="667" t="s">
        <v>186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</row>
    <row r="169" spans="1:20" ht="14.1" customHeight="1" thickBot="1" x14ac:dyDescent="0.25">
      <c r="A169" s="264" t="s">
        <v>301</v>
      </c>
      <c r="B169" s="264"/>
      <c r="C169" s="264"/>
      <c r="D169" s="264"/>
      <c r="E169" s="264"/>
      <c r="F169" s="264" t="s">
        <v>302</v>
      </c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 t="s">
        <v>326</v>
      </c>
    </row>
    <row r="170" spans="1:20" ht="14.1" customHeight="1" x14ac:dyDescent="0.2">
      <c r="A170" s="252" t="s">
        <v>129</v>
      </c>
      <c r="B170" s="285"/>
      <c r="E170" s="260" t="s">
        <v>130</v>
      </c>
      <c r="F170" s="252" t="s">
        <v>303</v>
      </c>
      <c r="J170" s="286"/>
      <c r="K170" s="286"/>
      <c r="P170" s="286"/>
      <c r="Q170" s="286"/>
      <c r="R170" s="286" t="s">
        <v>132</v>
      </c>
      <c r="T170" s="261"/>
    </row>
    <row r="171" spans="1:20" ht="14.1" customHeight="1" x14ac:dyDescent="0.2">
      <c r="B171" s="285"/>
      <c r="F171" s="252" t="s">
        <v>1399</v>
      </c>
      <c r="J171" s="260"/>
      <c r="K171" s="261"/>
      <c r="P171" s="260"/>
      <c r="Q171" s="260" t="s">
        <v>123</v>
      </c>
      <c r="R171" s="261" t="s">
        <v>1407</v>
      </c>
      <c r="T171" s="260"/>
    </row>
    <row r="172" spans="1:20" ht="14.1" customHeight="1" x14ac:dyDescent="0.2">
      <c r="A172" s="252" t="s">
        <v>134</v>
      </c>
      <c r="B172" s="285"/>
      <c r="F172" s="252" t="s">
        <v>123</v>
      </c>
      <c r="J172" s="260"/>
      <c r="K172" s="261"/>
      <c r="L172" s="260"/>
      <c r="N172" s="260"/>
      <c r="Q172" s="260" t="s">
        <v>123</v>
      </c>
      <c r="R172" s="261">
        <v>0</v>
      </c>
      <c r="T172" s="260"/>
    </row>
    <row r="173" spans="1:20" ht="14.1" customHeight="1" x14ac:dyDescent="0.2">
      <c r="B173" s="285"/>
      <c r="F173" s="252" t="s">
        <v>123</v>
      </c>
      <c r="J173" s="260"/>
      <c r="K173" s="261"/>
      <c r="L173" s="260"/>
      <c r="N173" s="260"/>
      <c r="Q173" s="260" t="s">
        <v>123</v>
      </c>
      <c r="R173" s="261"/>
      <c r="T173" s="260"/>
    </row>
    <row r="174" spans="1:20" ht="14.1" customHeight="1" thickBot="1" x14ac:dyDescent="0.25">
      <c r="A174" s="264" t="s">
        <v>135</v>
      </c>
      <c r="B174" s="287"/>
      <c r="C174" s="264"/>
      <c r="D174" s="264"/>
      <c r="E174" s="264"/>
      <c r="F174" s="264" t="s">
        <v>123</v>
      </c>
      <c r="G174" s="264"/>
      <c r="H174" s="266"/>
      <c r="I174" s="264"/>
      <c r="J174" s="264"/>
      <c r="K174" s="264"/>
      <c r="L174" s="264"/>
      <c r="M174" s="264"/>
      <c r="N174" s="264"/>
      <c r="O174" s="264"/>
      <c r="P174" s="264"/>
      <c r="Q174" s="264"/>
      <c r="R174" s="288"/>
      <c r="S174" s="264"/>
      <c r="T174" s="264"/>
    </row>
    <row r="175" spans="1:20" ht="14.1" customHeight="1" x14ac:dyDescent="0.2"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</row>
    <row r="176" spans="1:20" ht="14.1" customHeight="1" x14ac:dyDescent="0.2">
      <c r="C176" s="267" t="s">
        <v>136</v>
      </c>
      <c r="D176" s="267" t="s">
        <v>137</v>
      </c>
      <c r="E176" s="267"/>
      <c r="F176" s="267" t="s">
        <v>138</v>
      </c>
      <c r="G176" s="267"/>
      <c r="H176" s="267" t="s">
        <v>139</v>
      </c>
      <c r="I176" s="267"/>
      <c r="J176" s="269" t="s">
        <v>140</v>
      </c>
      <c r="L176" s="267" t="s">
        <v>141</v>
      </c>
      <c r="M176" s="267"/>
      <c r="N176" s="267" t="s">
        <v>142</v>
      </c>
      <c r="O176" s="267"/>
      <c r="P176" s="267" t="s">
        <v>143</v>
      </c>
      <c r="Q176" s="267"/>
      <c r="R176" s="267" t="s">
        <v>144</v>
      </c>
      <c r="S176" s="267"/>
      <c r="T176" s="267" t="s">
        <v>305</v>
      </c>
    </row>
    <row r="177" spans="1:20" ht="14.1" customHeight="1" x14ac:dyDescent="0.2">
      <c r="C177" s="269" t="s">
        <v>145</v>
      </c>
      <c r="D177" s="269" t="s">
        <v>145</v>
      </c>
      <c r="F177" s="267" t="s">
        <v>41</v>
      </c>
      <c r="G177" s="269"/>
      <c r="H177" s="267" t="s">
        <v>40</v>
      </c>
      <c r="I177" s="269"/>
      <c r="J177" s="267"/>
      <c r="K177" s="269"/>
      <c r="L177" s="269"/>
      <c r="M177" s="269"/>
      <c r="N177" s="269"/>
      <c r="O177" s="269"/>
      <c r="P177" s="269"/>
      <c r="Q177" s="269"/>
      <c r="R177" s="269" t="s">
        <v>41</v>
      </c>
      <c r="T177" s="269"/>
    </row>
    <row r="178" spans="1:20" ht="14.1" customHeight="1" x14ac:dyDescent="0.2">
      <c r="A178" s="252" t="s">
        <v>146</v>
      </c>
      <c r="B178" s="269"/>
      <c r="C178" s="269" t="s">
        <v>147</v>
      </c>
      <c r="D178" s="269" t="s">
        <v>147</v>
      </c>
      <c r="E178" s="267"/>
      <c r="F178" s="269" t="s">
        <v>6</v>
      </c>
      <c r="G178" s="269"/>
      <c r="H178" s="269" t="s">
        <v>6</v>
      </c>
      <c r="I178" s="269"/>
      <c r="J178" s="269"/>
      <c r="K178" s="267"/>
      <c r="L178" s="269" t="s">
        <v>306</v>
      </c>
      <c r="M178" s="269"/>
      <c r="N178" s="269" t="s">
        <v>306</v>
      </c>
      <c r="O178" s="269"/>
      <c r="P178" s="269" t="s">
        <v>150</v>
      </c>
      <c r="Q178" s="267"/>
      <c r="R178" s="267" t="s">
        <v>6</v>
      </c>
      <c r="S178" s="267"/>
      <c r="T178" s="269" t="s">
        <v>151</v>
      </c>
    </row>
    <row r="179" spans="1:20" ht="14.1" customHeight="1" thickBot="1" x14ac:dyDescent="0.25">
      <c r="A179" s="264" t="s">
        <v>152</v>
      </c>
      <c r="B179" s="266"/>
      <c r="C179" s="266" t="s">
        <v>52</v>
      </c>
      <c r="D179" s="266" t="s">
        <v>153</v>
      </c>
      <c r="E179" s="266"/>
      <c r="F179" s="270" t="s">
        <v>154</v>
      </c>
      <c r="G179" s="270"/>
      <c r="H179" s="270" t="s">
        <v>307</v>
      </c>
      <c r="I179" s="271"/>
      <c r="J179" s="270" t="s">
        <v>18</v>
      </c>
      <c r="K179" s="271"/>
      <c r="L179" s="270" t="s">
        <v>19</v>
      </c>
      <c r="M179" s="271"/>
      <c r="N179" s="270" t="s">
        <v>54</v>
      </c>
      <c r="O179" s="271"/>
      <c r="P179" s="272" t="s">
        <v>157</v>
      </c>
      <c r="Q179" s="272"/>
      <c r="R179" s="272" t="s">
        <v>158</v>
      </c>
      <c r="S179" s="272"/>
      <c r="T179" s="272" t="s">
        <v>3</v>
      </c>
    </row>
    <row r="180" spans="1:20" ht="14.1" customHeight="1" x14ac:dyDescent="0.2">
      <c r="A180" s="252">
        <v>1</v>
      </c>
      <c r="B180" s="273"/>
    </row>
    <row r="181" spans="1:20" ht="14.1" customHeight="1" x14ac:dyDescent="0.2">
      <c r="A181" s="252">
        <v>2</v>
      </c>
      <c r="B181" s="273"/>
      <c r="D181" s="83" t="s">
        <v>64</v>
      </c>
    </row>
    <row r="182" spans="1:20" ht="14.1" customHeight="1" x14ac:dyDescent="0.2">
      <c r="A182" s="252">
        <v>3</v>
      </c>
      <c r="B182" s="273"/>
      <c r="C182" s="269"/>
      <c r="D182" s="252" t="s">
        <v>210</v>
      </c>
      <c r="F182" s="717"/>
      <c r="G182" s="602"/>
      <c r="H182" s="290"/>
      <c r="I182" s="602"/>
      <c r="J182" s="290"/>
      <c r="K182" s="602"/>
      <c r="L182" s="290"/>
      <c r="M182" s="602"/>
      <c r="N182" s="290"/>
      <c r="O182" s="602"/>
      <c r="P182" s="290"/>
      <c r="Q182" s="602"/>
      <c r="R182" s="717"/>
      <c r="S182" s="602"/>
      <c r="T182" s="717"/>
    </row>
    <row r="183" spans="1:20" ht="14.1" customHeight="1" x14ac:dyDescent="0.2">
      <c r="A183" s="252">
        <v>4</v>
      </c>
      <c r="C183" s="267">
        <v>34180</v>
      </c>
      <c r="D183" s="252" t="s">
        <v>161</v>
      </c>
      <c r="F183" s="655">
        <v>41576855.01000002</v>
      </c>
      <c r="G183" s="329"/>
      <c r="H183" s="655">
        <v>4183649.2199999993</v>
      </c>
      <c r="I183" s="329"/>
      <c r="J183" s="655">
        <v>-118209.21999999999</v>
      </c>
      <c r="K183" s="329"/>
      <c r="L183" s="655">
        <v>-16997.88</v>
      </c>
      <c r="M183" s="329"/>
      <c r="N183" s="655">
        <v>0</v>
      </c>
      <c r="O183" s="329"/>
      <c r="P183" s="655">
        <v>0</v>
      </c>
      <c r="Q183" s="329"/>
      <c r="R183" s="655">
        <v>45625297.130000018</v>
      </c>
      <c r="S183" s="329"/>
      <c r="T183" s="655">
        <v>43581710.848461561</v>
      </c>
    </row>
    <row r="184" spans="1:20" ht="14.1" customHeight="1" x14ac:dyDescent="0.2">
      <c r="A184" s="252">
        <v>5</v>
      </c>
      <c r="C184" s="267">
        <v>34280</v>
      </c>
      <c r="D184" s="252" t="s">
        <v>206</v>
      </c>
      <c r="F184" s="655">
        <v>3199498.8699999992</v>
      </c>
      <c r="G184" s="329"/>
      <c r="H184" s="655">
        <v>348347.03999999992</v>
      </c>
      <c r="I184" s="329"/>
      <c r="J184" s="655">
        <v>0</v>
      </c>
      <c r="K184" s="329"/>
      <c r="L184" s="655">
        <v>-12092.519999999997</v>
      </c>
      <c r="M184" s="329"/>
      <c r="N184" s="655">
        <v>1861.7799999999997</v>
      </c>
      <c r="O184" s="329"/>
      <c r="P184" s="655">
        <v>-184668.75</v>
      </c>
      <c r="Q184" s="329"/>
      <c r="R184" s="655">
        <v>3352946.419999999</v>
      </c>
      <c r="S184" s="329"/>
      <c r="T184" s="655">
        <v>3236594.5707692304</v>
      </c>
    </row>
    <row r="185" spans="1:20" ht="14.1" customHeight="1" x14ac:dyDescent="0.2">
      <c r="A185" s="252">
        <v>6</v>
      </c>
      <c r="C185" s="267">
        <v>34380</v>
      </c>
      <c r="D185" s="252" t="s">
        <v>207</v>
      </c>
      <c r="F185" s="655">
        <v>1646064.0099999995</v>
      </c>
      <c r="G185" s="329"/>
      <c r="H185" s="655">
        <v>228737.03999999998</v>
      </c>
      <c r="I185" s="329"/>
      <c r="J185" s="655">
        <v>-54227.4</v>
      </c>
      <c r="K185" s="329"/>
      <c r="L185" s="655">
        <v>-14550.66</v>
      </c>
      <c r="M185" s="329"/>
      <c r="N185" s="655">
        <v>2157.9500000000003</v>
      </c>
      <c r="O185" s="329"/>
      <c r="P185" s="655">
        <v>0</v>
      </c>
      <c r="Q185" s="329"/>
      <c r="R185" s="655">
        <v>1808180.9399999997</v>
      </c>
      <c r="S185" s="329"/>
      <c r="T185" s="655">
        <v>1718648.6176923064</v>
      </c>
    </row>
    <row r="186" spans="1:20" ht="14.1" customHeight="1" x14ac:dyDescent="0.2">
      <c r="A186" s="252">
        <v>7</v>
      </c>
      <c r="C186" s="267">
        <v>34580</v>
      </c>
      <c r="D186" s="252" t="s">
        <v>164</v>
      </c>
      <c r="F186" s="655">
        <v>2012287.910000002</v>
      </c>
      <c r="G186" s="329"/>
      <c r="H186" s="655">
        <v>403220.28</v>
      </c>
      <c r="I186" s="329"/>
      <c r="J186" s="655">
        <v>0</v>
      </c>
      <c r="K186" s="329"/>
      <c r="L186" s="655">
        <v>0</v>
      </c>
      <c r="M186" s="329"/>
      <c r="N186" s="655">
        <v>0</v>
      </c>
      <c r="O186" s="329"/>
      <c r="P186" s="655">
        <v>0</v>
      </c>
      <c r="Q186" s="329"/>
      <c r="R186" s="655">
        <v>2415508.1900000023</v>
      </c>
      <c r="S186" s="329"/>
      <c r="T186" s="655">
        <v>2213898.0500000017</v>
      </c>
    </row>
    <row r="187" spans="1:20" ht="14.1" customHeight="1" x14ac:dyDescent="0.2">
      <c r="A187" s="252">
        <v>8</v>
      </c>
      <c r="C187" s="267">
        <v>34680</v>
      </c>
      <c r="D187" s="252" t="s">
        <v>165</v>
      </c>
      <c r="F187" s="655">
        <v>-131377.57000000044</v>
      </c>
      <c r="G187" s="329"/>
      <c r="H187" s="655">
        <v>20415.240000000002</v>
      </c>
      <c r="I187" s="329"/>
      <c r="J187" s="655">
        <v>0</v>
      </c>
      <c r="K187" s="329"/>
      <c r="L187" s="655">
        <v>0</v>
      </c>
      <c r="M187" s="329"/>
      <c r="N187" s="655">
        <v>0</v>
      </c>
      <c r="O187" s="329"/>
      <c r="P187" s="655">
        <v>0</v>
      </c>
      <c r="Q187" s="329"/>
      <c r="R187" s="655">
        <v>-110962.33000000044</v>
      </c>
      <c r="S187" s="329"/>
      <c r="T187" s="655">
        <v>-121169.9500000004</v>
      </c>
    </row>
    <row r="188" spans="1:20" ht="14.1" customHeight="1" x14ac:dyDescent="0.2">
      <c r="A188" s="252">
        <v>9</v>
      </c>
      <c r="B188" s="273"/>
      <c r="C188" s="269"/>
      <c r="D188" s="252" t="s">
        <v>211</v>
      </c>
      <c r="F188" s="664">
        <v>48303328.230000019</v>
      </c>
      <c r="G188" s="602"/>
      <c r="H188" s="664">
        <v>5184368.8199999994</v>
      </c>
      <c r="I188" s="602"/>
      <c r="J188" s="664">
        <v>-172436.62</v>
      </c>
      <c r="K188" s="602"/>
      <c r="L188" s="664">
        <v>-43641.06</v>
      </c>
      <c r="M188" s="602"/>
      <c r="N188" s="664">
        <v>4019.73</v>
      </c>
      <c r="O188" s="602"/>
      <c r="P188" s="664">
        <v>-184668.75</v>
      </c>
      <c r="Q188" s="602"/>
      <c r="R188" s="664">
        <v>53090970.350000024</v>
      </c>
      <c r="S188" s="602"/>
      <c r="T188" s="664">
        <v>50629682.136923097</v>
      </c>
    </row>
    <row r="189" spans="1:20" ht="14.1" customHeight="1" x14ac:dyDescent="0.2">
      <c r="A189" s="252">
        <v>10</v>
      </c>
      <c r="B189" s="273"/>
    </row>
    <row r="190" spans="1:20" ht="14.1" customHeight="1" x14ac:dyDescent="0.2">
      <c r="A190" s="252">
        <v>11</v>
      </c>
      <c r="B190" s="273"/>
      <c r="D190" s="279" t="s">
        <v>212</v>
      </c>
      <c r="F190" s="329"/>
      <c r="G190" s="602"/>
      <c r="H190" s="602"/>
      <c r="I190" s="602"/>
      <c r="J190" s="602"/>
      <c r="K190" s="602"/>
      <c r="L190" s="602"/>
      <c r="M190" s="602"/>
      <c r="N190" s="602"/>
      <c r="O190" s="602"/>
      <c r="P190" s="602"/>
      <c r="Q190" s="602"/>
      <c r="R190" s="602"/>
      <c r="S190" s="602"/>
      <c r="T190" s="602"/>
    </row>
    <row r="191" spans="1:20" ht="14.1" customHeight="1" x14ac:dyDescent="0.2">
      <c r="A191" s="252">
        <v>12</v>
      </c>
      <c r="B191" s="273"/>
      <c r="C191" s="267">
        <v>34181</v>
      </c>
      <c r="D191" s="252" t="s">
        <v>161</v>
      </c>
      <c r="F191" s="655">
        <v>22146504.769999985</v>
      </c>
      <c r="G191" s="329"/>
      <c r="H191" s="655">
        <v>1243884.8</v>
      </c>
      <c r="I191" s="329"/>
      <c r="J191" s="655">
        <v>-501466.56</v>
      </c>
      <c r="K191" s="329"/>
      <c r="L191" s="655">
        <v>-78770.680000000008</v>
      </c>
      <c r="M191" s="329"/>
      <c r="N191" s="655">
        <v>0</v>
      </c>
      <c r="O191" s="329"/>
      <c r="P191" s="655">
        <v>0</v>
      </c>
      <c r="Q191" s="329"/>
      <c r="R191" s="655">
        <v>22810152.329999987</v>
      </c>
      <c r="S191" s="329"/>
      <c r="T191" s="655">
        <v>22593404.338461518</v>
      </c>
    </row>
    <row r="192" spans="1:20" ht="14.1" customHeight="1" x14ac:dyDescent="0.2">
      <c r="A192" s="252">
        <v>13</v>
      </c>
      <c r="B192" s="273"/>
      <c r="C192" s="267">
        <v>34281</v>
      </c>
      <c r="D192" s="252" t="s">
        <v>206</v>
      </c>
      <c r="F192" s="655">
        <v>108967419.53999996</v>
      </c>
      <c r="G192" s="329"/>
      <c r="H192" s="655">
        <v>8306444.7200000016</v>
      </c>
      <c r="I192" s="329"/>
      <c r="J192" s="655">
        <v>-182811.22</v>
      </c>
      <c r="K192" s="329"/>
      <c r="L192" s="655">
        <v>-516419.31999999995</v>
      </c>
      <c r="M192" s="329"/>
      <c r="N192" s="655">
        <v>51275.25</v>
      </c>
      <c r="O192" s="329"/>
      <c r="P192" s="655">
        <v>198946.97</v>
      </c>
      <c r="Q192" s="329"/>
      <c r="R192" s="655">
        <v>116824855.93999997</v>
      </c>
      <c r="S192" s="329"/>
      <c r="T192" s="655">
        <v>112872913.79846145</v>
      </c>
    </row>
    <row r="193" spans="1:20" ht="14.1" customHeight="1" x14ac:dyDescent="0.2">
      <c r="A193" s="252">
        <v>14</v>
      </c>
      <c r="B193" s="273"/>
      <c r="C193" s="267">
        <v>34381</v>
      </c>
      <c r="D193" s="252" t="s">
        <v>207</v>
      </c>
      <c r="F193" s="655">
        <v>68907372.479999974</v>
      </c>
      <c r="G193" s="329"/>
      <c r="H193" s="655">
        <v>6581424.2800000003</v>
      </c>
      <c r="I193" s="329"/>
      <c r="J193" s="655">
        <v>-159235.70000000001</v>
      </c>
      <c r="K193" s="329"/>
      <c r="L193" s="655">
        <v>-261256.93000000008</v>
      </c>
      <c r="M193" s="329"/>
      <c r="N193" s="655">
        <v>30771.21</v>
      </c>
      <c r="O193" s="329"/>
      <c r="P193" s="655">
        <v>0</v>
      </c>
      <c r="Q193" s="329"/>
      <c r="R193" s="655">
        <v>75099075.339999959</v>
      </c>
      <c r="S193" s="329"/>
      <c r="T193" s="655">
        <v>72020092.269230753</v>
      </c>
    </row>
    <row r="194" spans="1:20" ht="14.1" customHeight="1" x14ac:dyDescent="0.2">
      <c r="A194" s="252">
        <v>15</v>
      </c>
      <c r="B194" s="273"/>
      <c r="C194" s="267">
        <v>34581</v>
      </c>
      <c r="D194" s="252" t="s">
        <v>164</v>
      </c>
      <c r="F194" s="655">
        <v>35972829.41999995</v>
      </c>
      <c r="G194" s="329"/>
      <c r="H194" s="655">
        <v>1912573.3199999996</v>
      </c>
      <c r="I194" s="329"/>
      <c r="J194" s="655">
        <v>-18579.300000000003</v>
      </c>
      <c r="K194" s="329"/>
      <c r="L194" s="655">
        <v>0</v>
      </c>
      <c r="M194" s="329"/>
      <c r="N194" s="655">
        <v>0</v>
      </c>
      <c r="O194" s="329"/>
      <c r="P194" s="655">
        <v>0</v>
      </c>
      <c r="Q194" s="329"/>
      <c r="R194" s="655">
        <v>37866823.439999953</v>
      </c>
      <c r="S194" s="329"/>
      <c r="T194" s="655">
        <v>36924018.407692261</v>
      </c>
    </row>
    <row r="195" spans="1:20" ht="14.1" customHeight="1" x14ac:dyDescent="0.2">
      <c r="A195" s="252">
        <v>16</v>
      </c>
      <c r="B195" s="273"/>
      <c r="C195" s="267">
        <v>34681</v>
      </c>
      <c r="D195" s="252" t="s">
        <v>165</v>
      </c>
      <c r="F195" s="655">
        <v>2192421.7899999991</v>
      </c>
      <c r="G195" s="329"/>
      <c r="H195" s="655">
        <v>187884.12000000002</v>
      </c>
      <c r="I195" s="329"/>
      <c r="J195" s="655">
        <v>0</v>
      </c>
      <c r="K195" s="329"/>
      <c r="L195" s="655">
        <v>0</v>
      </c>
      <c r="M195" s="329"/>
      <c r="N195" s="655">
        <v>0</v>
      </c>
      <c r="O195" s="329"/>
      <c r="P195" s="655">
        <v>0</v>
      </c>
      <c r="Q195" s="329"/>
      <c r="R195" s="655">
        <v>2380305.9099999992</v>
      </c>
      <c r="S195" s="329"/>
      <c r="T195" s="655">
        <v>2286363.8499999973</v>
      </c>
    </row>
    <row r="196" spans="1:20" ht="14.1" customHeight="1" x14ac:dyDescent="0.2">
      <c r="A196" s="252">
        <v>17</v>
      </c>
      <c r="B196" s="273"/>
      <c r="C196" s="269"/>
      <c r="D196" s="279" t="s">
        <v>213</v>
      </c>
      <c r="F196" s="664">
        <v>238186547.99999985</v>
      </c>
      <c r="G196" s="602"/>
      <c r="H196" s="664">
        <v>18232211.240000002</v>
      </c>
      <c r="I196" s="602"/>
      <c r="J196" s="664">
        <v>-862092.78</v>
      </c>
      <c r="K196" s="602"/>
      <c r="L196" s="664">
        <v>-856446.93</v>
      </c>
      <c r="M196" s="602"/>
      <c r="N196" s="664">
        <v>82046.459999999992</v>
      </c>
      <c r="O196" s="602"/>
      <c r="P196" s="664">
        <v>198946.97</v>
      </c>
      <c r="Q196" s="602"/>
      <c r="R196" s="664">
        <v>254981212.95999983</v>
      </c>
      <c r="S196" s="602"/>
      <c r="T196" s="664">
        <v>246696792.66384596</v>
      </c>
    </row>
    <row r="197" spans="1:20" ht="14.1" customHeight="1" x14ac:dyDescent="0.2">
      <c r="A197" s="252">
        <v>18</v>
      </c>
      <c r="B197" s="273"/>
      <c r="G197" s="602"/>
      <c r="I197" s="602"/>
      <c r="K197" s="602"/>
      <c r="M197" s="602"/>
      <c r="O197" s="602"/>
      <c r="Q197" s="602"/>
      <c r="S197" s="602"/>
    </row>
    <row r="198" spans="1:20" ht="14.1" customHeight="1" x14ac:dyDescent="0.2">
      <c r="A198" s="252">
        <v>19</v>
      </c>
      <c r="B198" s="273"/>
      <c r="C198" s="269"/>
      <c r="D198" s="279" t="s">
        <v>214</v>
      </c>
      <c r="F198" s="276"/>
      <c r="G198" s="602"/>
      <c r="H198" s="706"/>
      <c r="I198" s="602"/>
      <c r="J198" s="706"/>
      <c r="K198" s="602"/>
      <c r="L198" s="706"/>
      <c r="M198" s="602"/>
      <c r="N198" s="706"/>
      <c r="O198" s="602"/>
      <c r="P198" s="706"/>
      <c r="Q198" s="602"/>
      <c r="R198" s="706"/>
      <c r="S198" s="602"/>
      <c r="T198" s="706"/>
    </row>
    <row r="199" spans="1:20" ht="14.1" customHeight="1" x14ac:dyDescent="0.2">
      <c r="A199" s="252">
        <v>20</v>
      </c>
      <c r="B199" s="273"/>
      <c r="C199" s="267">
        <v>34182</v>
      </c>
      <c r="D199" s="252" t="s">
        <v>161</v>
      </c>
      <c r="F199" s="655">
        <v>1089208.860000002</v>
      </c>
      <c r="G199" s="329"/>
      <c r="H199" s="655">
        <v>58258.040000000023</v>
      </c>
      <c r="I199" s="329"/>
      <c r="J199" s="655">
        <v>-9647.41</v>
      </c>
      <c r="K199" s="329"/>
      <c r="L199" s="655">
        <v>0</v>
      </c>
      <c r="M199" s="329"/>
      <c r="N199" s="655">
        <v>0</v>
      </c>
      <c r="O199" s="329"/>
      <c r="P199" s="655">
        <v>0</v>
      </c>
      <c r="Q199" s="329"/>
      <c r="R199" s="655">
        <v>1137819.4900000021</v>
      </c>
      <c r="S199" s="329"/>
      <c r="T199" s="655">
        <v>1112381.8430769253</v>
      </c>
    </row>
    <row r="200" spans="1:20" ht="14.1" customHeight="1" x14ac:dyDescent="0.2">
      <c r="A200" s="252">
        <v>21</v>
      </c>
      <c r="B200" s="273"/>
      <c r="C200" s="267">
        <v>34282</v>
      </c>
      <c r="D200" s="252" t="s">
        <v>206</v>
      </c>
      <c r="F200" s="655">
        <v>445193.45000000106</v>
      </c>
      <c r="G200" s="329"/>
      <c r="H200" s="655">
        <v>67037.790000000008</v>
      </c>
      <c r="I200" s="329"/>
      <c r="J200" s="655">
        <v>-4470.51</v>
      </c>
      <c r="K200" s="329"/>
      <c r="L200" s="655">
        <v>-24077.090000000004</v>
      </c>
      <c r="M200" s="329"/>
      <c r="N200" s="655">
        <v>431.36999999999989</v>
      </c>
      <c r="O200" s="329"/>
      <c r="P200" s="655">
        <v>-14278.22</v>
      </c>
      <c r="Q200" s="329"/>
      <c r="R200" s="655">
        <v>469836.79000000103</v>
      </c>
      <c r="S200" s="329"/>
      <c r="T200" s="655">
        <v>462040.02000000107</v>
      </c>
    </row>
    <row r="201" spans="1:20" ht="14.1" customHeight="1" x14ac:dyDescent="0.2">
      <c r="A201" s="252">
        <v>22</v>
      </c>
      <c r="B201" s="273"/>
      <c r="C201" s="267">
        <v>34382</v>
      </c>
      <c r="D201" s="252" t="s">
        <v>207</v>
      </c>
      <c r="F201" s="655">
        <v>7991874.4700000361</v>
      </c>
      <c r="G201" s="329"/>
      <c r="H201" s="655">
        <v>1104187.3</v>
      </c>
      <c r="I201" s="329"/>
      <c r="J201" s="655">
        <v>-4066504.7600000002</v>
      </c>
      <c r="K201" s="329"/>
      <c r="L201" s="655">
        <v>-758723.9</v>
      </c>
      <c r="M201" s="329"/>
      <c r="N201" s="655">
        <v>5664.77</v>
      </c>
      <c r="O201" s="329"/>
      <c r="P201" s="655">
        <v>0</v>
      </c>
      <c r="Q201" s="329"/>
      <c r="R201" s="655">
        <v>4276497.8800000362</v>
      </c>
      <c r="S201" s="329"/>
      <c r="T201" s="655">
        <v>8082472.140000036</v>
      </c>
    </row>
    <row r="202" spans="1:20" ht="14.1" customHeight="1" x14ac:dyDescent="0.2">
      <c r="A202" s="252">
        <v>23</v>
      </c>
      <c r="B202" s="273"/>
      <c r="C202" s="267">
        <v>34582</v>
      </c>
      <c r="D202" s="252" t="s">
        <v>164</v>
      </c>
      <c r="F202" s="655">
        <v>8288323.7400000049</v>
      </c>
      <c r="G202" s="329"/>
      <c r="H202" s="655">
        <v>486150.09</v>
      </c>
      <c r="I202" s="329"/>
      <c r="J202" s="655">
        <v>0</v>
      </c>
      <c r="K202" s="329"/>
      <c r="L202" s="655">
        <v>0</v>
      </c>
      <c r="M202" s="329"/>
      <c r="N202" s="655">
        <v>0</v>
      </c>
      <c r="O202" s="329"/>
      <c r="P202" s="655">
        <v>0</v>
      </c>
      <c r="Q202" s="329"/>
      <c r="R202" s="655">
        <v>8774473.8300000057</v>
      </c>
      <c r="S202" s="329"/>
      <c r="T202" s="655">
        <v>8530918.0569230802</v>
      </c>
    </row>
    <row r="203" spans="1:20" ht="14.1" customHeight="1" x14ac:dyDescent="0.2">
      <c r="A203" s="252">
        <v>24</v>
      </c>
      <c r="B203" s="273"/>
      <c r="C203" s="267">
        <v>34682</v>
      </c>
      <c r="D203" s="252" t="s">
        <v>165</v>
      </c>
      <c r="F203" s="655">
        <v>117745.15000000026</v>
      </c>
      <c r="G203" s="329"/>
      <c r="H203" s="655">
        <v>6062.2799999999988</v>
      </c>
      <c r="I203" s="329"/>
      <c r="J203" s="655">
        <v>0</v>
      </c>
      <c r="K203" s="329"/>
      <c r="L203" s="655">
        <v>0</v>
      </c>
      <c r="M203" s="329"/>
      <c r="N203" s="655">
        <v>0</v>
      </c>
      <c r="O203" s="329"/>
      <c r="P203" s="655">
        <v>0</v>
      </c>
      <c r="Q203" s="329"/>
      <c r="R203" s="655">
        <v>123807.43000000025</v>
      </c>
      <c r="S203" s="329"/>
      <c r="T203" s="655">
        <v>120776.29000000026</v>
      </c>
    </row>
    <row r="204" spans="1:20" ht="14.1" customHeight="1" x14ac:dyDescent="0.2">
      <c r="A204" s="252">
        <v>25</v>
      </c>
      <c r="B204" s="273"/>
      <c r="C204" s="269"/>
      <c r="D204" s="279" t="s">
        <v>215</v>
      </c>
      <c r="F204" s="664">
        <v>17932345.670000043</v>
      </c>
      <c r="G204" s="602"/>
      <c r="H204" s="664">
        <v>1721695.5000000002</v>
      </c>
      <c r="I204" s="602"/>
      <c r="J204" s="664">
        <v>-4080622.68</v>
      </c>
      <c r="K204" s="602"/>
      <c r="L204" s="664">
        <v>-782800.99</v>
      </c>
      <c r="M204" s="602"/>
      <c r="N204" s="664">
        <v>6096.14</v>
      </c>
      <c r="O204" s="602"/>
      <c r="P204" s="664">
        <v>-14278.22</v>
      </c>
      <c r="Q204" s="602"/>
      <c r="R204" s="664">
        <v>14782435.420000045</v>
      </c>
      <c r="S204" s="602"/>
      <c r="T204" s="664">
        <v>18308588.350000042</v>
      </c>
    </row>
    <row r="205" spans="1:20" ht="14.1" customHeight="1" x14ac:dyDescent="0.2">
      <c r="A205" s="252">
        <v>26</v>
      </c>
      <c r="B205" s="273"/>
    </row>
    <row r="206" spans="1:20" ht="14.1" customHeight="1" x14ac:dyDescent="0.2">
      <c r="A206" s="252">
        <v>27</v>
      </c>
      <c r="B206" s="273"/>
      <c r="C206" s="269"/>
      <c r="D206" s="279" t="s">
        <v>216</v>
      </c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2"/>
      <c r="R206" s="602"/>
      <c r="S206" s="602"/>
      <c r="T206" s="602"/>
    </row>
    <row r="207" spans="1:20" ht="14.1" customHeight="1" x14ac:dyDescent="0.2">
      <c r="A207" s="252">
        <v>28</v>
      </c>
      <c r="B207" s="273"/>
      <c r="C207" s="267">
        <v>34183</v>
      </c>
      <c r="D207" s="252" t="s">
        <v>161</v>
      </c>
      <c r="F207" s="655">
        <v>4635169.3499999987</v>
      </c>
      <c r="G207" s="329"/>
      <c r="H207" s="655">
        <v>273866.28000000003</v>
      </c>
      <c r="I207" s="329"/>
      <c r="J207" s="655">
        <v>0</v>
      </c>
      <c r="K207" s="329"/>
      <c r="L207" s="655">
        <v>0</v>
      </c>
      <c r="M207" s="329"/>
      <c r="N207" s="655">
        <v>0</v>
      </c>
      <c r="O207" s="329"/>
      <c r="P207" s="655">
        <v>0</v>
      </c>
      <c r="Q207" s="329"/>
      <c r="R207" s="655">
        <v>4909035.629999999</v>
      </c>
      <c r="S207" s="329"/>
      <c r="T207" s="655">
        <v>4772102.4900000012</v>
      </c>
    </row>
    <row r="208" spans="1:20" ht="14.1" customHeight="1" x14ac:dyDescent="0.2">
      <c r="A208" s="252">
        <v>29</v>
      </c>
      <c r="B208" s="273"/>
      <c r="C208" s="267">
        <v>34283</v>
      </c>
      <c r="D208" s="252" t="s">
        <v>206</v>
      </c>
      <c r="F208" s="655">
        <v>519231.91999999783</v>
      </c>
      <c r="G208" s="329"/>
      <c r="H208" s="655">
        <v>38552.460000000006</v>
      </c>
      <c r="I208" s="329"/>
      <c r="J208" s="655">
        <v>-49639.590000000004</v>
      </c>
      <c r="K208" s="329"/>
      <c r="L208" s="655">
        <v>-1861.8199999999995</v>
      </c>
      <c r="M208" s="329"/>
      <c r="N208" s="655">
        <v>263.94000000000005</v>
      </c>
      <c r="O208" s="329"/>
      <c r="P208" s="655">
        <v>0</v>
      </c>
      <c r="Q208" s="329"/>
      <c r="R208" s="655">
        <v>506546.90999999776</v>
      </c>
      <c r="S208" s="329"/>
      <c r="T208" s="655">
        <v>510917.19769230537</v>
      </c>
    </row>
    <row r="209" spans="1:20" ht="14.1" customHeight="1" x14ac:dyDescent="0.2">
      <c r="A209" s="252">
        <v>30</v>
      </c>
      <c r="B209" s="273"/>
      <c r="C209" s="267">
        <v>34383</v>
      </c>
      <c r="D209" s="252" t="s">
        <v>207</v>
      </c>
      <c r="F209" s="655">
        <v>16650475.469999962</v>
      </c>
      <c r="G209" s="329"/>
      <c r="H209" s="655">
        <v>1500013.9800000002</v>
      </c>
      <c r="I209" s="329"/>
      <c r="J209" s="655">
        <v>0</v>
      </c>
      <c r="K209" s="329"/>
      <c r="L209" s="655">
        <v>-49654.119999999995</v>
      </c>
      <c r="M209" s="329"/>
      <c r="N209" s="655">
        <v>6829.7599999999984</v>
      </c>
      <c r="O209" s="329"/>
      <c r="P209" s="655">
        <v>0</v>
      </c>
      <c r="Q209" s="329"/>
      <c r="R209" s="655">
        <v>18107665.089999963</v>
      </c>
      <c r="S209" s="329"/>
      <c r="T209" s="655">
        <v>17373303.816153806</v>
      </c>
    </row>
    <row r="210" spans="1:20" ht="14.1" customHeight="1" x14ac:dyDescent="0.2">
      <c r="A210" s="252">
        <v>31</v>
      </c>
      <c r="B210" s="273"/>
      <c r="C210" s="267">
        <v>34583</v>
      </c>
      <c r="D210" s="252" t="s">
        <v>164</v>
      </c>
      <c r="F210" s="655">
        <v>4461661.110000005</v>
      </c>
      <c r="G210" s="329"/>
      <c r="H210" s="655">
        <v>272843.54000000004</v>
      </c>
      <c r="I210" s="329"/>
      <c r="J210" s="655">
        <v>0</v>
      </c>
      <c r="K210" s="329"/>
      <c r="L210" s="655">
        <v>0</v>
      </c>
      <c r="M210" s="329"/>
      <c r="N210" s="655">
        <v>0</v>
      </c>
      <c r="O210" s="329"/>
      <c r="P210" s="655">
        <v>0</v>
      </c>
      <c r="Q210" s="329"/>
      <c r="R210" s="655">
        <v>4734504.650000005</v>
      </c>
      <c r="S210" s="329"/>
      <c r="T210" s="655">
        <v>4598038.2115384648</v>
      </c>
    </row>
    <row r="211" spans="1:20" ht="14.1" customHeight="1" x14ac:dyDescent="0.2">
      <c r="A211" s="252">
        <v>32</v>
      </c>
      <c r="B211" s="273"/>
      <c r="C211" s="267">
        <v>34683</v>
      </c>
      <c r="D211" s="252" t="s">
        <v>165</v>
      </c>
      <c r="F211" s="655">
        <v>228284.12000000046</v>
      </c>
      <c r="G211" s="329"/>
      <c r="H211" s="655">
        <v>13420.200000000003</v>
      </c>
      <c r="I211" s="329"/>
      <c r="J211" s="655">
        <v>0</v>
      </c>
      <c r="K211" s="329"/>
      <c r="L211" s="655">
        <v>0</v>
      </c>
      <c r="M211" s="329"/>
      <c r="N211" s="655">
        <v>0</v>
      </c>
      <c r="O211" s="329"/>
      <c r="P211" s="655">
        <v>0</v>
      </c>
      <c r="Q211" s="329"/>
      <c r="R211" s="655">
        <v>241704.32000000047</v>
      </c>
      <c r="S211" s="329"/>
      <c r="T211" s="655">
        <v>234994.22000000053</v>
      </c>
    </row>
    <row r="212" spans="1:20" ht="14.1" customHeight="1" x14ac:dyDescent="0.2">
      <c r="A212" s="252">
        <v>33</v>
      </c>
      <c r="B212" s="273"/>
      <c r="C212" s="269"/>
      <c r="D212" s="279" t="s">
        <v>217</v>
      </c>
      <c r="F212" s="664">
        <v>26494821.969999965</v>
      </c>
      <c r="G212" s="602"/>
      <c r="H212" s="664">
        <v>2098696.4600000004</v>
      </c>
      <c r="I212" s="602"/>
      <c r="J212" s="664">
        <v>-49639.590000000004</v>
      </c>
      <c r="K212" s="602"/>
      <c r="L212" s="664">
        <v>-51515.939999999995</v>
      </c>
      <c r="M212" s="602"/>
      <c r="N212" s="664">
        <v>7093.6999999999989</v>
      </c>
      <c r="O212" s="602"/>
      <c r="P212" s="664">
        <v>0</v>
      </c>
      <c r="Q212" s="602"/>
      <c r="R212" s="664">
        <v>28499456.599999964</v>
      </c>
      <c r="S212" s="602"/>
      <c r="T212" s="664">
        <v>27489355.935384575</v>
      </c>
    </row>
    <row r="213" spans="1:20" ht="14.1" customHeight="1" x14ac:dyDescent="0.2">
      <c r="A213" s="252">
        <v>34</v>
      </c>
      <c r="B213" s="273"/>
      <c r="G213" s="602"/>
      <c r="I213" s="602"/>
      <c r="K213" s="602"/>
      <c r="M213" s="602"/>
      <c r="O213" s="602"/>
      <c r="Q213" s="602"/>
      <c r="S213" s="602"/>
    </row>
    <row r="214" spans="1:20" ht="14.1" customHeight="1" x14ac:dyDescent="0.2">
      <c r="A214" s="252">
        <v>35</v>
      </c>
      <c r="B214" s="273"/>
      <c r="C214" s="269"/>
      <c r="D214" s="279" t="s">
        <v>218</v>
      </c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2"/>
      <c r="R214" s="602"/>
      <c r="S214" s="602"/>
      <c r="T214" s="602"/>
    </row>
    <row r="215" spans="1:20" ht="14.1" customHeight="1" x14ac:dyDescent="0.2">
      <c r="A215" s="252">
        <v>36</v>
      </c>
      <c r="B215" s="273"/>
      <c r="C215" s="267">
        <v>34184</v>
      </c>
      <c r="D215" s="252" t="s">
        <v>161</v>
      </c>
      <c r="F215" s="655">
        <v>1679892.0999999971</v>
      </c>
      <c r="G215" s="329"/>
      <c r="H215" s="655">
        <v>139476.48000000004</v>
      </c>
      <c r="I215" s="329"/>
      <c r="J215" s="655">
        <v>0</v>
      </c>
      <c r="K215" s="329"/>
      <c r="L215" s="655">
        <v>0</v>
      </c>
      <c r="M215" s="329"/>
      <c r="N215" s="655">
        <v>0</v>
      </c>
      <c r="O215" s="329"/>
      <c r="P215" s="655">
        <v>0</v>
      </c>
      <c r="Q215" s="329"/>
      <c r="R215" s="655">
        <v>1819368.579999997</v>
      </c>
      <c r="S215" s="329"/>
      <c r="T215" s="655">
        <v>1749630.3399999975</v>
      </c>
    </row>
    <row r="216" spans="1:20" ht="14.1" customHeight="1" x14ac:dyDescent="0.2">
      <c r="A216" s="252">
        <v>37</v>
      </c>
      <c r="B216" s="273"/>
      <c r="C216" s="267">
        <v>34284</v>
      </c>
      <c r="D216" s="252" t="s">
        <v>206</v>
      </c>
      <c r="F216" s="655">
        <v>306065.8099999993</v>
      </c>
      <c r="G216" s="329"/>
      <c r="H216" s="655">
        <v>69357.719999999987</v>
      </c>
      <c r="I216" s="329"/>
      <c r="J216" s="655">
        <v>0</v>
      </c>
      <c r="K216" s="329"/>
      <c r="L216" s="655">
        <v>-2683.6899999999991</v>
      </c>
      <c r="M216" s="329"/>
      <c r="N216" s="655">
        <v>453.03</v>
      </c>
      <c r="O216" s="329"/>
      <c r="P216" s="655">
        <v>0</v>
      </c>
      <c r="Q216" s="329"/>
      <c r="R216" s="655">
        <v>373192.8699999993</v>
      </c>
      <c r="S216" s="329"/>
      <c r="T216" s="655">
        <v>339221.85769230692</v>
      </c>
    </row>
    <row r="217" spans="1:20" ht="14.1" customHeight="1" x14ac:dyDescent="0.2">
      <c r="A217" s="252">
        <v>38</v>
      </c>
      <c r="B217" s="273"/>
      <c r="C217" s="267">
        <v>34384</v>
      </c>
      <c r="D217" s="252" t="s">
        <v>207</v>
      </c>
      <c r="F217" s="655">
        <v>2876498.29</v>
      </c>
      <c r="G217" s="329"/>
      <c r="H217" s="655">
        <v>905112.01</v>
      </c>
      <c r="I217" s="329"/>
      <c r="J217" s="655">
        <v>0</v>
      </c>
      <c r="K217" s="329"/>
      <c r="L217" s="655">
        <v>-27913.199999999997</v>
      </c>
      <c r="M217" s="329"/>
      <c r="N217" s="655">
        <v>4672.2800000000007</v>
      </c>
      <c r="O217" s="329"/>
      <c r="P217" s="655">
        <v>0</v>
      </c>
      <c r="Q217" s="329"/>
      <c r="R217" s="655">
        <v>3758369.3799999994</v>
      </c>
      <c r="S217" s="329"/>
      <c r="T217" s="655">
        <v>3312799.1546153855</v>
      </c>
    </row>
    <row r="218" spans="1:20" ht="14.1" customHeight="1" x14ac:dyDescent="0.2">
      <c r="A218" s="252">
        <v>39</v>
      </c>
      <c r="B218" s="273"/>
      <c r="C218" s="267">
        <v>34584</v>
      </c>
      <c r="D218" s="252" t="s">
        <v>164</v>
      </c>
      <c r="F218" s="655">
        <v>2584906.3699999987</v>
      </c>
      <c r="G218" s="329"/>
      <c r="H218" s="655">
        <v>216957.36</v>
      </c>
      <c r="I218" s="329"/>
      <c r="J218" s="655">
        <v>0</v>
      </c>
      <c r="K218" s="329"/>
      <c r="L218" s="655">
        <v>0</v>
      </c>
      <c r="M218" s="329"/>
      <c r="N218" s="655">
        <v>0</v>
      </c>
      <c r="O218" s="329"/>
      <c r="P218" s="655">
        <v>0</v>
      </c>
      <c r="Q218" s="329"/>
      <c r="R218" s="655">
        <v>2801863.7299999986</v>
      </c>
      <c r="S218" s="329"/>
      <c r="T218" s="655">
        <v>2693385.0499999975</v>
      </c>
    </row>
    <row r="219" spans="1:20" ht="14.1" customHeight="1" x14ac:dyDescent="0.2">
      <c r="A219" s="252">
        <v>40</v>
      </c>
      <c r="B219" s="273"/>
      <c r="C219" s="267">
        <v>34684</v>
      </c>
      <c r="D219" s="252" t="s">
        <v>165</v>
      </c>
      <c r="F219" s="655">
        <v>7.503331289626658E-12</v>
      </c>
      <c r="G219" s="329"/>
      <c r="H219" s="655">
        <v>0</v>
      </c>
      <c r="I219" s="329"/>
      <c r="J219" s="655">
        <v>0</v>
      </c>
      <c r="K219" s="329"/>
      <c r="L219" s="655">
        <v>0</v>
      </c>
      <c r="M219" s="329"/>
      <c r="N219" s="655">
        <v>0</v>
      </c>
      <c r="O219" s="329"/>
      <c r="P219" s="655">
        <v>0</v>
      </c>
      <c r="Q219" s="329"/>
      <c r="R219" s="655">
        <v>7.503331289626658E-12</v>
      </c>
      <c r="S219" s="329"/>
      <c r="T219" s="655">
        <v>7.503331289626658E-12</v>
      </c>
    </row>
    <row r="220" spans="1:20" ht="14.1" customHeight="1" x14ac:dyDescent="0.2">
      <c r="A220" s="252">
        <v>41</v>
      </c>
      <c r="B220" s="273"/>
      <c r="C220" s="269"/>
      <c r="D220" s="279" t="s">
        <v>219</v>
      </c>
      <c r="F220" s="664">
        <v>7447362.5699999947</v>
      </c>
      <c r="G220" s="602"/>
      <c r="H220" s="664">
        <v>1330903.5699999998</v>
      </c>
      <c r="I220" s="602"/>
      <c r="J220" s="664">
        <v>0</v>
      </c>
      <c r="K220" s="602"/>
      <c r="L220" s="664">
        <v>-30596.889999999996</v>
      </c>
      <c r="M220" s="602"/>
      <c r="N220" s="664">
        <v>5125.3100000000004</v>
      </c>
      <c r="O220" s="602"/>
      <c r="P220" s="664">
        <v>0</v>
      </c>
      <c r="Q220" s="602"/>
      <c r="R220" s="664">
        <v>8752794.5599999949</v>
      </c>
      <c r="S220" s="602"/>
      <c r="T220" s="664">
        <v>8095036.4023076873</v>
      </c>
    </row>
    <row r="221" spans="1:20" ht="14.1" customHeight="1" x14ac:dyDescent="0.2">
      <c r="A221" s="252">
        <v>42</v>
      </c>
      <c r="B221" s="273"/>
      <c r="C221" s="284"/>
      <c r="F221" s="291"/>
      <c r="G221" s="602"/>
      <c r="H221" s="291"/>
      <c r="I221" s="602"/>
      <c r="J221" s="291"/>
      <c r="K221" s="602"/>
      <c r="L221" s="291"/>
      <c r="M221" s="602"/>
      <c r="N221" s="291"/>
      <c r="O221" s="602"/>
      <c r="P221" s="291"/>
      <c r="Q221" s="602"/>
      <c r="R221" s="291"/>
      <c r="S221" s="602"/>
      <c r="T221" s="291"/>
    </row>
    <row r="222" spans="1:20" ht="14.1" customHeight="1" x14ac:dyDescent="0.2">
      <c r="A222" s="252">
        <v>43</v>
      </c>
      <c r="B222" s="273"/>
      <c r="C222" s="284"/>
      <c r="F222" s="291"/>
      <c r="G222" s="602"/>
      <c r="H222" s="291"/>
      <c r="I222" s="602"/>
      <c r="J222" s="291"/>
      <c r="K222" s="602"/>
      <c r="L222" s="291"/>
      <c r="M222" s="602"/>
      <c r="N222" s="291"/>
      <c r="O222" s="602"/>
      <c r="P222" s="291"/>
      <c r="Q222" s="602"/>
      <c r="R222" s="291"/>
      <c r="S222" s="602"/>
      <c r="T222" s="291"/>
    </row>
    <row r="223" spans="1:20" ht="14.1" customHeight="1" thickBot="1" x14ac:dyDescent="0.25">
      <c r="A223" s="252">
        <v>44</v>
      </c>
      <c r="B223" s="667" t="s">
        <v>186</v>
      </c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</row>
    <row r="224" spans="1:20" ht="14.1" customHeight="1" x14ac:dyDescent="0.2">
      <c r="A224" s="252" t="s">
        <v>60</v>
      </c>
      <c r="R224" s="252" t="s">
        <v>60</v>
      </c>
    </row>
    <row r="225" spans="1:20" ht="14.1" customHeight="1" thickBot="1" x14ac:dyDescent="0.25">
      <c r="A225" s="264" t="s">
        <v>301</v>
      </c>
      <c r="B225" s="264"/>
      <c r="C225" s="264"/>
      <c r="D225" s="264"/>
      <c r="E225" s="264"/>
      <c r="F225" s="264" t="s">
        <v>302</v>
      </c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 t="s">
        <v>327</v>
      </c>
    </row>
    <row r="226" spans="1:20" ht="14.1" customHeight="1" x14ac:dyDescent="0.2">
      <c r="A226" s="252" t="s">
        <v>129</v>
      </c>
      <c r="B226" s="285"/>
      <c r="E226" s="260" t="s">
        <v>130</v>
      </c>
      <c r="F226" s="252" t="s">
        <v>303</v>
      </c>
      <c r="J226" s="286"/>
      <c r="K226" s="286"/>
      <c r="P226" s="286"/>
      <c r="Q226" s="286"/>
      <c r="R226" s="286" t="s">
        <v>132</v>
      </c>
      <c r="T226" s="261"/>
    </row>
    <row r="227" spans="1:20" ht="14.1" customHeight="1" x14ac:dyDescent="0.2">
      <c r="B227" s="285"/>
      <c r="F227" s="252" t="s">
        <v>1399</v>
      </c>
      <c r="J227" s="260"/>
      <c r="K227" s="261"/>
      <c r="P227" s="260"/>
      <c r="Q227" s="260" t="s">
        <v>123</v>
      </c>
      <c r="R227" s="261" t="s">
        <v>1407</v>
      </c>
      <c r="T227" s="260"/>
    </row>
    <row r="228" spans="1:20" ht="14.1" customHeight="1" x14ac:dyDescent="0.2">
      <c r="A228" s="252" t="s">
        <v>134</v>
      </c>
      <c r="B228" s="285"/>
      <c r="F228" s="252" t="s">
        <v>123</v>
      </c>
      <c r="J228" s="260"/>
      <c r="K228" s="261"/>
      <c r="L228" s="260"/>
      <c r="N228" s="260"/>
      <c r="Q228" s="260" t="s">
        <v>123</v>
      </c>
      <c r="R228" s="261"/>
      <c r="T228" s="260"/>
    </row>
    <row r="229" spans="1:20" ht="14.1" customHeight="1" x14ac:dyDescent="0.2">
      <c r="B229" s="285"/>
      <c r="F229" s="252" t="s">
        <v>123</v>
      </c>
      <c r="J229" s="260"/>
      <c r="K229" s="261"/>
      <c r="L229" s="260"/>
      <c r="N229" s="260"/>
      <c r="Q229" s="260" t="s">
        <v>123</v>
      </c>
      <c r="R229" s="261"/>
      <c r="T229" s="260"/>
    </row>
    <row r="230" spans="1:20" ht="14.1" customHeight="1" thickBot="1" x14ac:dyDescent="0.25">
      <c r="A230" s="264" t="s">
        <v>135</v>
      </c>
      <c r="B230" s="287"/>
      <c r="C230" s="264"/>
      <c r="D230" s="264"/>
      <c r="E230" s="264"/>
      <c r="F230" s="264" t="s">
        <v>123</v>
      </c>
      <c r="G230" s="264"/>
      <c r="H230" s="266"/>
      <c r="I230" s="264"/>
      <c r="J230" s="264"/>
      <c r="K230" s="264"/>
      <c r="L230" s="264"/>
      <c r="M230" s="264"/>
      <c r="N230" s="264"/>
      <c r="O230" s="264"/>
      <c r="P230" s="264"/>
      <c r="Q230" s="264"/>
      <c r="R230" s="288"/>
      <c r="S230" s="264"/>
      <c r="T230" s="264"/>
    </row>
    <row r="231" spans="1:20" ht="14.1" customHeight="1" x14ac:dyDescent="0.2"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</row>
    <row r="232" spans="1:20" ht="14.1" customHeight="1" x14ac:dyDescent="0.2">
      <c r="C232" s="267" t="s">
        <v>136</v>
      </c>
      <c r="D232" s="267" t="s">
        <v>137</v>
      </c>
      <c r="E232" s="267"/>
      <c r="F232" s="267" t="s">
        <v>138</v>
      </c>
      <c r="G232" s="267"/>
      <c r="H232" s="267" t="s">
        <v>139</v>
      </c>
      <c r="I232" s="267"/>
      <c r="J232" s="269" t="s">
        <v>140</v>
      </c>
      <c r="L232" s="267" t="s">
        <v>141</v>
      </c>
      <c r="M232" s="267"/>
      <c r="N232" s="267" t="s">
        <v>142</v>
      </c>
      <c r="O232" s="267"/>
      <c r="P232" s="267" t="s">
        <v>143</v>
      </c>
      <c r="Q232" s="267"/>
      <c r="R232" s="267" t="s">
        <v>144</v>
      </c>
      <c r="S232" s="267"/>
      <c r="T232" s="267" t="s">
        <v>305</v>
      </c>
    </row>
    <row r="233" spans="1:20" ht="14.1" customHeight="1" x14ac:dyDescent="0.2">
      <c r="C233" s="269" t="s">
        <v>145</v>
      </c>
      <c r="D233" s="269" t="s">
        <v>145</v>
      </c>
      <c r="F233" s="267" t="s">
        <v>41</v>
      </c>
      <c r="G233" s="269"/>
      <c r="H233" s="267" t="s">
        <v>40</v>
      </c>
      <c r="I233" s="269"/>
      <c r="J233" s="267"/>
      <c r="K233" s="269"/>
      <c r="L233" s="269"/>
      <c r="M233" s="269"/>
      <c r="N233" s="269"/>
      <c r="O233" s="269"/>
      <c r="P233" s="269"/>
      <c r="Q233" s="269"/>
      <c r="R233" s="269" t="s">
        <v>41</v>
      </c>
      <c r="T233" s="269"/>
    </row>
    <row r="234" spans="1:20" ht="14.1" customHeight="1" x14ac:dyDescent="0.2">
      <c r="A234" s="252" t="s">
        <v>146</v>
      </c>
      <c r="B234" s="269"/>
      <c r="C234" s="269" t="s">
        <v>147</v>
      </c>
      <c r="D234" s="269" t="s">
        <v>147</v>
      </c>
      <c r="E234" s="267"/>
      <c r="F234" s="269" t="s">
        <v>6</v>
      </c>
      <c r="G234" s="269"/>
      <c r="H234" s="269" t="s">
        <v>6</v>
      </c>
      <c r="I234" s="269"/>
      <c r="J234" s="269"/>
      <c r="K234" s="267"/>
      <c r="L234" s="269" t="s">
        <v>306</v>
      </c>
      <c r="M234" s="269"/>
      <c r="N234" s="269" t="s">
        <v>306</v>
      </c>
      <c r="O234" s="269"/>
      <c r="P234" s="269" t="s">
        <v>150</v>
      </c>
      <c r="Q234" s="267"/>
      <c r="R234" s="267" t="s">
        <v>6</v>
      </c>
      <c r="S234" s="267"/>
      <c r="T234" s="269" t="s">
        <v>151</v>
      </c>
    </row>
    <row r="235" spans="1:20" ht="14.1" customHeight="1" thickBot="1" x14ac:dyDescent="0.25">
      <c r="A235" s="264" t="s">
        <v>152</v>
      </c>
      <c r="B235" s="266"/>
      <c r="C235" s="266" t="s">
        <v>52</v>
      </c>
      <c r="D235" s="266" t="s">
        <v>153</v>
      </c>
      <c r="E235" s="266"/>
      <c r="F235" s="270" t="s">
        <v>154</v>
      </c>
      <c r="G235" s="270"/>
      <c r="H235" s="270" t="s">
        <v>307</v>
      </c>
      <c r="I235" s="271"/>
      <c r="J235" s="270" t="s">
        <v>18</v>
      </c>
      <c r="K235" s="271"/>
      <c r="L235" s="270" t="s">
        <v>19</v>
      </c>
      <c r="M235" s="271"/>
      <c r="N235" s="270" t="s">
        <v>54</v>
      </c>
      <c r="O235" s="271"/>
      <c r="P235" s="272" t="s">
        <v>157</v>
      </c>
      <c r="Q235" s="272"/>
      <c r="R235" s="272" t="s">
        <v>158</v>
      </c>
      <c r="S235" s="272"/>
      <c r="T235" s="272" t="s">
        <v>3</v>
      </c>
    </row>
    <row r="236" spans="1:20" ht="14.1" customHeight="1" x14ac:dyDescent="0.2">
      <c r="A236" s="252">
        <v>1</v>
      </c>
      <c r="B236" s="273"/>
    </row>
    <row r="237" spans="1:20" ht="14.1" customHeight="1" x14ac:dyDescent="0.2">
      <c r="A237" s="252">
        <v>2</v>
      </c>
      <c r="B237" s="273"/>
      <c r="C237" s="269"/>
      <c r="D237" s="279" t="s">
        <v>220</v>
      </c>
      <c r="F237" s="602"/>
      <c r="G237" s="602"/>
      <c r="H237" s="602"/>
      <c r="I237" s="602"/>
      <c r="J237" s="602"/>
      <c r="K237" s="602"/>
      <c r="L237" s="602"/>
      <c r="M237" s="602"/>
      <c r="N237" s="602"/>
      <c r="O237" s="602"/>
      <c r="P237" s="602"/>
      <c r="Q237" s="602"/>
      <c r="R237" s="602"/>
      <c r="S237" s="602"/>
      <c r="T237" s="602"/>
    </row>
    <row r="238" spans="1:20" ht="14.1" customHeight="1" x14ac:dyDescent="0.2">
      <c r="A238" s="252">
        <v>3</v>
      </c>
      <c r="B238" s="273"/>
      <c r="C238" s="267">
        <v>34185</v>
      </c>
      <c r="D238" s="252" t="s">
        <v>161</v>
      </c>
      <c r="F238" s="655">
        <v>1682957.9399999981</v>
      </c>
      <c r="G238" s="329"/>
      <c r="H238" s="655">
        <v>137917.92000000001</v>
      </c>
      <c r="I238" s="329"/>
      <c r="J238" s="655">
        <v>0</v>
      </c>
      <c r="K238" s="329"/>
      <c r="L238" s="655">
        <v>0</v>
      </c>
      <c r="M238" s="329"/>
      <c r="N238" s="655">
        <v>0</v>
      </c>
      <c r="O238" s="329"/>
      <c r="P238" s="655">
        <v>0</v>
      </c>
      <c r="Q238" s="329"/>
      <c r="R238" s="655">
        <v>1820875.859999998</v>
      </c>
      <c r="S238" s="329"/>
      <c r="T238" s="655">
        <v>1751916.8999999976</v>
      </c>
    </row>
    <row r="239" spans="1:20" ht="14.1" customHeight="1" x14ac:dyDescent="0.2">
      <c r="A239" s="252">
        <v>4</v>
      </c>
      <c r="B239" s="273"/>
      <c r="C239" s="267">
        <v>34285</v>
      </c>
      <c r="D239" s="252" t="s">
        <v>206</v>
      </c>
      <c r="F239" s="655">
        <v>587734.75999999978</v>
      </c>
      <c r="G239" s="329"/>
      <c r="H239" s="655">
        <v>74801.64</v>
      </c>
      <c r="I239" s="329"/>
      <c r="J239" s="655">
        <v>0</v>
      </c>
      <c r="K239" s="329"/>
      <c r="L239" s="655">
        <v>-2667.8199999999997</v>
      </c>
      <c r="M239" s="329"/>
      <c r="N239" s="655">
        <v>459.85</v>
      </c>
      <c r="O239" s="329"/>
      <c r="P239" s="655">
        <v>0</v>
      </c>
      <c r="Q239" s="329"/>
      <c r="R239" s="655">
        <v>660328.42999999982</v>
      </c>
      <c r="S239" s="329"/>
      <c r="T239" s="655">
        <v>623594.18307692267</v>
      </c>
    </row>
    <row r="240" spans="1:20" ht="14.1" customHeight="1" x14ac:dyDescent="0.2">
      <c r="A240" s="252">
        <v>5</v>
      </c>
      <c r="B240" s="273"/>
      <c r="C240" s="267">
        <v>34385</v>
      </c>
      <c r="D240" s="252" t="s">
        <v>207</v>
      </c>
      <c r="F240" s="655">
        <v>2070957.0200000033</v>
      </c>
      <c r="G240" s="329"/>
      <c r="H240" s="655">
        <v>783885.96</v>
      </c>
      <c r="I240" s="329"/>
      <c r="J240" s="655">
        <v>-424861.60000000003</v>
      </c>
      <c r="K240" s="329"/>
      <c r="L240" s="655">
        <v>-84732.060000000012</v>
      </c>
      <c r="M240" s="329"/>
      <c r="N240" s="655">
        <v>6111.880000000001</v>
      </c>
      <c r="O240" s="329"/>
      <c r="P240" s="655">
        <v>0</v>
      </c>
      <c r="Q240" s="329"/>
      <c r="R240" s="655">
        <v>2351361.200000003</v>
      </c>
      <c r="S240" s="329"/>
      <c r="T240" s="655">
        <v>2411633.2653846191</v>
      </c>
    </row>
    <row r="241" spans="1:20" ht="14.1" customHeight="1" x14ac:dyDescent="0.2">
      <c r="A241" s="252">
        <v>6</v>
      </c>
      <c r="B241" s="273"/>
      <c r="C241" s="267">
        <v>34585</v>
      </c>
      <c r="D241" s="252" t="s">
        <v>164</v>
      </c>
      <c r="F241" s="655">
        <v>2574764.8100000028</v>
      </c>
      <c r="G241" s="329"/>
      <c r="H241" s="655">
        <v>213137.15999999995</v>
      </c>
      <c r="I241" s="329"/>
      <c r="J241" s="655">
        <v>0</v>
      </c>
      <c r="K241" s="329"/>
      <c r="L241" s="655">
        <v>0</v>
      </c>
      <c r="M241" s="329"/>
      <c r="N241" s="655">
        <v>0</v>
      </c>
      <c r="O241" s="329"/>
      <c r="P241" s="655">
        <v>0</v>
      </c>
      <c r="Q241" s="329"/>
      <c r="R241" s="655">
        <v>2787901.970000003</v>
      </c>
      <c r="S241" s="329"/>
      <c r="T241" s="655">
        <v>2681333.3900000039</v>
      </c>
    </row>
    <row r="242" spans="1:20" ht="14.1" customHeight="1" x14ac:dyDescent="0.2">
      <c r="A242" s="252">
        <v>7</v>
      </c>
      <c r="C242" s="267">
        <v>34685</v>
      </c>
      <c r="D242" s="252" t="s">
        <v>165</v>
      </c>
      <c r="F242" s="655">
        <v>-7.0485839387401938E-12</v>
      </c>
      <c r="G242" s="329"/>
      <c r="H242" s="655">
        <v>0</v>
      </c>
      <c r="I242" s="329"/>
      <c r="J242" s="655">
        <v>0</v>
      </c>
      <c r="K242" s="329"/>
      <c r="L242" s="655">
        <v>0</v>
      </c>
      <c r="M242" s="329"/>
      <c r="N242" s="655">
        <v>0</v>
      </c>
      <c r="O242" s="329"/>
      <c r="P242" s="655">
        <v>0</v>
      </c>
      <c r="Q242" s="329"/>
      <c r="R242" s="655">
        <v>-7.0485839387401938E-12</v>
      </c>
      <c r="S242" s="329"/>
      <c r="T242" s="655">
        <v>-7.0485839387401938E-12</v>
      </c>
    </row>
    <row r="243" spans="1:20" ht="14.1" customHeight="1" x14ac:dyDescent="0.2">
      <c r="A243" s="252">
        <v>8</v>
      </c>
      <c r="C243" s="269"/>
      <c r="D243" s="279" t="s">
        <v>221</v>
      </c>
      <c r="F243" s="664">
        <v>6916414.5300000031</v>
      </c>
      <c r="G243" s="602"/>
      <c r="H243" s="664">
        <v>1209742.68</v>
      </c>
      <c r="I243" s="602"/>
      <c r="J243" s="664">
        <v>-424861.60000000003</v>
      </c>
      <c r="K243" s="602"/>
      <c r="L243" s="664">
        <v>-87399.88</v>
      </c>
      <c r="M243" s="602"/>
      <c r="N243" s="664">
        <v>6571.7300000000014</v>
      </c>
      <c r="O243" s="602"/>
      <c r="P243" s="664">
        <v>0</v>
      </c>
      <c r="Q243" s="602"/>
      <c r="R243" s="664">
        <v>7620467.4600000028</v>
      </c>
      <c r="S243" s="602"/>
      <c r="T243" s="664">
        <v>7468477.7384615429</v>
      </c>
    </row>
    <row r="244" spans="1:20" ht="14.1" customHeight="1" x14ac:dyDescent="0.2">
      <c r="A244" s="252">
        <v>9</v>
      </c>
    </row>
    <row r="245" spans="1:20" ht="14.1" customHeight="1" x14ac:dyDescent="0.2">
      <c r="A245" s="252">
        <v>10</v>
      </c>
      <c r="C245" s="269"/>
      <c r="D245" s="279" t="s">
        <v>1374</v>
      </c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2"/>
      <c r="R245" s="602"/>
      <c r="S245" s="602"/>
      <c r="T245" s="602"/>
    </row>
    <row r="246" spans="1:20" ht="14.1" customHeight="1" x14ac:dyDescent="0.2">
      <c r="A246" s="252">
        <v>11</v>
      </c>
      <c r="C246" s="267">
        <v>34186</v>
      </c>
      <c r="D246" s="252" t="s">
        <v>161</v>
      </c>
      <c r="F246" s="655">
        <v>2447642.5100000002</v>
      </c>
      <c r="G246" s="329"/>
      <c r="H246" s="655">
        <v>387862.08000000007</v>
      </c>
      <c r="I246" s="329"/>
      <c r="J246" s="655">
        <v>0</v>
      </c>
      <c r="K246" s="329"/>
      <c r="L246" s="655">
        <v>0</v>
      </c>
      <c r="M246" s="329"/>
      <c r="N246" s="655">
        <v>0</v>
      </c>
      <c r="O246" s="329"/>
      <c r="P246" s="655">
        <v>0</v>
      </c>
      <c r="Q246" s="329"/>
      <c r="R246" s="655">
        <v>2835504.5900000003</v>
      </c>
      <c r="S246" s="329"/>
      <c r="T246" s="655">
        <v>2641573.5499999998</v>
      </c>
    </row>
    <row r="247" spans="1:20" ht="14.1" customHeight="1" x14ac:dyDescent="0.2">
      <c r="A247" s="252">
        <v>12</v>
      </c>
      <c r="B247" s="273"/>
      <c r="C247" s="267">
        <v>34286</v>
      </c>
      <c r="D247" s="252" t="s">
        <v>206</v>
      </c>
      <c r="F247" s="655">
        <v>17071578.639999993</v>
      </c>
      <c r="G247" s="329"/>
      <c r="H247" s="655">
        <v>6193827.6299999999</v>
      </c>
      <c r="I247" s="329"/>
      <c r="J247" s="655">
        <v>-45961.83</v>
      </c>
      <c r="K247" s="329"/>
      <c r="L247" s="655">
        <v>-253930.60000000009</v>
      </c>
      <c r="M247" s="329"/>
      <c r="N247" s="655">
        <v>44651.739999999991</v>
      </c>
      <c r="O247" s="329"/>
      <c r="P247" s="655">
        <v>0</v>
      </c>
      <c r="Q247" s="329"/>
      <c r="R247" s="655">
        <v>23010165.579999991</v>
      </c>
      <c r="S247" s="329"/>
      <c r="T247" s="655">
        <v>20011858.307692312</v>
      </c>
    </row>
    <row r="248" spans="1:20" ht="14.1" customHeight="1" x14ac:dyDescent="0.2">
      <c r="A248" s="252">
        <v>13</v>
      </c>
      <c r="B248" s="273"/>
      <c r="C248" s="267">
        <v>34386</v>
      </c>
      <c r="D248" s="252" t="s">
        <v>207</v>
      </c>
      <c r="F248" s="655">
        <v>17777814.089999996</v>
      </c>
      <c r="G248" s="329"/>
      <c r="H248" s="655">
        <v>6484037.0000000009</v>
      </c>
      <c r="I248" s="329"/>
      <c r="J248" s="655">
        <v>-221909.81</v>
      </c>
      <c r="K248" s="329"/>
      <c r="L248" s="655">
        <v>-282727.91000000003</v>
      </c>
      <c r="M248" s="329"/>
      <c r="N248" s="655">
        <v>46749.609999999986</v>
      </c>
      <c r="O248" s="329"/>
      <c r="P248" s="655">
        <v>0</v>
      </c>
      <c r="Q248" s="329"/>
      <c r="R248" s="655">
        <v>23803962.979999997</v>
      </c>
      <c r="S248" s="329"/>
      <c r="T248" s="655">
        <v>20757973.459230758</v>
      </c>
    </row>
    <row r="249" spans="1:20" ht="14.1" customHeight="1" x14ac:dyDescent="0.2">
      <c r="A249" s="252">
        <v>14</v>
      </c>
      <c r="B249" s="273"/>
      <c r="C249" s="267">
        <v>34586</v>
      </c>
      <c r="D249" s="252" t="s">
        <v>164</v>
      </c>
      <c r="F249" s="655">
        <v>1862512.3299999998</v>
      </c>
      <c r="G249" s="329"/>
      <c r="H249" s="655">
        <v>531743.88</v>
      </c>
      <c r="I249" s="329"/>
      <c r="J249" s="655">
        <v>0</v>
      </c>
      <c r="K249" s="329"/>
      <c r="L249" s="655">
        <v>0</v>
      </c>
      <c r="M249" s="329"/>
      <c r="N249" s="655">
        <v>0</v>
      </c>
      <c r="O249" s="329"/>
      <c r="P249" s="655">
        <v>0</v>
      </c>
      <c r="Q249" s="329"/>
      <c r="R249" s="655">
        <v>2394256.21</v>
      </c>
      <c r="S249" s="329"/>
      <c r="T249" s="655">
        <v>2128384.2700000005</v>
      </c>
    </row>
    <row r="250" spans="1:20" ht="14.1" customHeight="1" x14ac:dyDescent="0.2">
      <c r="A250" s="252">
        <v>15</v>
      </c>
      <c r="B250" s="273"/>
      <c r="C250" s="267">
        <v>34686</v>
      </c>
      <c r="D250" s="252" t="s">
        <v>164</v>
      </c>
      <c r="F250" s="655">
        <v>9925.5400000000045</v>
      </c>
      <c r="G250" s="329"/>
      <c r="H250" s="655">
        <v>4107.1200000000008</v>
      </c>
      <c r="I250" s="329"/>
      <c r="J250" s="655">
        <v>0</v>
      </c>
      <c r="K250" s="329"/>
      <c r="L250" s="655">
        <v>0</v>
      </c>
      <c r="M250" s="329"/>
      <c r="N250" s="655">
        <v>0</v>
      </c>
      <c r="O250" s="329"/>
      <c r="P250" s="655">
        <v>0</v>
      </c>
      <c r="Q250" s="329"/>
      <c r="R250" s="655">
        <v>14032.660000000005</v>
      </c>
      <c r="S250" s="329"/>
      <c r="T250" s="655">
        <v>11979.100000000006</v>
      </c>
    </row>
    <row r="251" spans="1:20" ht="14.1" customHeight="1" x14ac:dyDescent="0.2">
      <c r="A251" s="252">
        <v>16</v>
      </c>
      <c r="B251" s="273"/>
      <c r="C251" s="267"/>
      <c r="D251" s="279" t="s">
        <v>1375</v>
      </c>
      <c r="F251" s="664">
        <v>39169473.109999992</v>
      </c>
      <c r="G251" s="602"/>
      <c r="H251" s="664">
        <v>13601577.710000001</v>
      </c>
      <c r="I251" s="602"/>
      <c r="J251" s="664">
        <v>-267871.64</v>
      </c>
      <c r="K251" s="602"/>
      <c r="L251" s="664">
        <v>-536658.51000000013</v>
      </c>
      <c r="M251" s="602"/>
      <c r="N251" s="664">
        <v>91401.349999999977</v>
      </c>
      <c r="O251" s="602"/>
      <c r="P251" s="664">
        <v>0</v>
      </c>
      <c r="Q251" s="602"/>
      <c r="R251" s="664">
        <v>52057922.019999988</v>
      </c>
      <c r="S251" s="602"/>
      <c r="T251" s="664">
        <v>45551768.686923072</v>
      </c>
    </row>
    <row r="252" spans="1:20" ht="14.1" customHeight="1" x14ac:dyDescent="0.2">
      <c r="A252" s="252">
        <v>17</v>
      </c>
      <c r="B252" s="273"/>
      <c r="C252" s="269"/>
    </row>
    <row r="253" spans="1:20" ht="14.1" customHeight="1" x14ac:dyDescent="0.2">
      <c r="A253" s="252">
        <v>18</v>
      </c>
      <c r="B253" s="273"/>
      <c r="C253" s="267">
        <v>34287</v>
      </c>
      <c r="D253" s="252" t="s">
        <v>222</v>
      </c>
      <c r="F253" s="655">
        <v>1.3315002433955669E-8</v>
      </c>
      <c r="H253" s="655">
        <v>925.31999999999994</v>
      </c>
      <c r="J253" s="655">
        <v>0</v>
      </c>
      <c r="L253" s="655">
        <v>0</v>
      </c>
      <c r="N253" s="655">
        <v>0</v>
      </c>
      <c r="P253" s="655">
        <v>0</v>
      </c>
      <c r="R253" s="655">
        <v>925.32000001331494</v>
      </c>
      <c r="T253" s="655">
        <v>605.87923078254562</v>
      </c>
    </row>
    <row r="254" spans="1:20" ht="14.1" customHeight="1" x14ac:dyDescent="0.2">
      <c r="A254" s="252">
        <v>19</v>
      </c>
      <c r="B254" s="292"/>
    </row>
    <row r="255" spans="1:20" ht="14.1" customHeight="1" x14ac:dyDescent="0.2">
      <c r="A255" s="252">
        <v>20</v>
      </c>
      <c r="B255" s="273"/>
      <c r="C255" s="267">
        <v>34687</v>
      </c>
      <c r="D255" s="252" t="s">
        <v>223</v>
      </c>
      <c r="F255" s="655">
        <v>697965.27000000025</v>
      </c>
      <c r="G255" s="329"/>
      <c r="H255" s="655">
        <v>-206998.22999999992</v>
      </c>
      <c r="I255" s="329"/>
      <c r="J255" s="655">
        <v>0</v>
      </c>
      <c r="K255" s="329"/>
      <c r="L255" s="655">
        <v>0</v>
      </c>
      <c r="M255" s="329"/>
      <c r="N255" s="655">
        <v>0</v>
      </c>
      <c r="O255" s="329"/>
      <c r="P255" s="655">
        <v>-12926.24</v>
      </c>
      <c r="Q255" s="329"/>
      <c r="R255" s="655">
        <v>478040.80000000034</v>
      </c>
      <c r="S255" s="329"/>
      <c r="T255" s="655">
        <v>539344.01384615398</v>
      </c>
    </row>
    <row r="256" spans="1:20" ht="14.1" customHeight="1" x14ac:dyDescent="0.2">
      <c r="A256" s="252">
        <v>21</v>
      </c>
      <c r="B256" s="273"/>
    </row>
    <row r="257" spans="1:20" ht="14.1" customHeight="1" thickBot="1" x14ac:dyDescent="0.25">
      <c r="A257" s="252">
        <v>22</v>
      </c>
      <c r="B257" s="273"/>
      <c r="C257" s="269"/>
      <c r="D257" s="83" t="s">
        <v>74</v>
      </c>
      <c r="E257" s="83"/>
      <c r="F257" s="665">
        <v>385148259.3499999</v>
      </c>
      <c r="G257" s="666"/>
      <c r="H257" s="665">
        <v>43173123.070000008</v>
      </c>
      <c r="I257" s="666"/>
      <c r="J257" s="665">
        <v>-5857524.9099999992</v>
      </c>
      <c r="K257" s="666"/>
      <c r="L257" s="665">
        <v>-2389060.2000000002</v>
      </c>
      <c r="M257" s="666"/>
      <c r="N257" s="665">
        <v>202354.41999999995</v>
      </c>
      <c r="O257" s="666"/>
      <c r="P257" s="665">
        <v>-12926.239999999998</v>
      </c>
      <c r="Q257" s="666"/>
      <c r="R257" s="665">
        <v>420264225.48999977</v>
      </c>
      <c r="S257" s="666"/>
      <c r="T257" s="665">
        <v>404779651.80692291</v>
      </c>
    </row>
    <row r="258" spans="1:20" ht="14.1" customHeight="1" thickTop="1" x14ac:dyDescent="0.2">
      <c r="A258" s="252">
        <v>23</v>
      </c>
      <c r="B258" s="273"/>
    </row>
    <row r="259" spans="1:20" ht="14.1" customHeight="1" x14ac:dyDescent="0.2">
      <c r="A259" s="252">
        <v>24</v>
      </c>
      <c r="B259" s="273"/>
    </row>
    <row r="260" spans="1:20" ht="14.1" customHeight="1" x14ac:dyDescent="0.2">
      <c r="A260" s="252">
        <v>25</v>
      </c>
      <c r="B260" s="273"/>
      <c r="D260" s="83" t="s">
        <v>62</v>
      </c>
      <c r="G260" s="602"/>
      <c r="I260" s="602"/>
      <c r="K260" s="602"/>
      <c r="M260" s="602"/>
      <c r="O260" s="602"/>
      <c r="Q260" s="602"/>
      <c r="S260" s="602"/>
    </row>
    <row r="261" spans="1:20" ht="14.1" customHeight="1" x14ac:dyDescent="0.2">
      <c r="A261" s="252">
        <v>26</v>
      </c>
      <c r="B261" s="273"/>
      <c r="D261" s="252" t="s">
        <v>224</v>
      </c>
      <c r="F261" s="707"/>
      <c r="G261" s="602"/>
      <c r="H261" s="707"/>
      <c r="I261" s="602"/>
      <c r="J261" s="707"/>
      <c r="K261" s="602"/>
      <c r="L261" s="707"/>
      <c r="M261" s="602"/>
      <c r="N261" s="707"/>
      <c r="O261" s="602"/>
      <c r="P261" s="707"/>
      <c r="Q261" s="602"/>
      <c r="R261" s="707"/>
      <c r="S261" s="602"/>
      <c r="T261" s="707"/>
    </row>
    <row r="262" spans="1:20" ht="14.1" customHeight="1" x14ac:dyDescent="0.2">
      <c r="A262" s="252">
        <v>27</v>
      </c>
      <c r="B262" s="273"/>
      <c r="C262" s="269">
        <v>34130</v>
      </c>
      <c r="D262" s="252" t="s">
        <v>161</v>
      </c>
      <c r="F262" s="655">
        <v>19408919.79999999</v>
      </c>
      <c r="G262" s="329"/>
      <c r="H262" s="655">
        <v>1911280.6700000002</v>
      </c>
      <c r="I262" s="329"/>
      <c r="J262" s="655">
        <v>-46606.03</v>
      </c>
      <c r="K262" s="329"/>
      <c r="L262" s="655">
        <v>-2066.52</v>
      </c>
      <c r="M262" s="329"/>
      <c r="N262" s="655">
        <v>0</v>
      </c>
      <c r="O262" s="329"/>
      <c r="P262" s="655">
        <v>0</v>
      </c>
      <c r="Q262" s="329"/>
      <c r="R262" s="655">
        <v>21271527.919999991</v>
      </c>
      <c r="S262" s="329"/>
      <c r="T262" s="655">
        <v>20341984.880769219</v>
      </c>
    </row>
    <row r="263" spans="1:20" ht="14.1" customHeight="1" x14ac:dyDescent="0.2">
      <c r="A263" s="252">
        <v>28</v>
      </c>
      <c r="B263" s="273"/>
      <c r="C263" s="269">
        <v>34230</v>
      </c>
      <c r="D263" s="252" t="s">
        <v>206</v>
      </c>
      <c r="F263" s="655">
        <v>6639603.6299999971</v>
      </c>
      <c r="G263" s="329"/>
      <c r="H263" s="655">
        <v>563184.54</v>
      </c>
      <c r="I263" s="329"/>
      <c r="J263" s="655">
        <v>-91536.85</v>
      </c>
      <c r="K263" s="329"/>
      <c r="L263" s="655">
        <v>392408.20000000007</v>
      </c>
      <c r="M263" s="329"/>
      <c r="N263" s="655">
        <v>4771.869999999999</v>
      </c>
      <c r="O263" s="329"/>
      <c r="P263" s="655">
        <v>0</v>
      </c>
      <c r="Q263" s="329"/>
      <c r="R263" s="655">
        <v>7508431.3899999978</v>
      </c>
      <c r="S263" s="329"/>
      <c r="T263" s="655">
        <v>7013706.8369230758</v>
      </c>
    </row>
    <row r="264" spans="1:20" ht="14.1" customHeight="1" x14ac:dyDescent="0.2">
      <c r="A264" s="252">
        <v>29</v>
      </c>
      <c r="B264" s="273"/>
      <c r="C264" s="269">
        <v>34330</v>
      </c>
      <c r="D264" s="252" t="s">
        <v>207</v>
      </c>
      <c r="F264" s="655">
        <v>12106612.260000011</v>
      </c>
      <c r="G264" s="329"/>
      <c r="H264" s="655">
        <v>1207018.9500000002</v>
      </c>
      <c r="I264" s="329"/>
      <c r="J264" s="655">
        <v>-99517.170000000013</v>
      </c>
      <c r="K264" s="329"/>
      <c r="L264" s="655">
        <v>691955.79</v>
      </c>
      <c r="M264" s="329"/>
      <c r="N264" s="655">
        <v>8778.5099999999984</v>
      </c>
      <c r="O264" s="329"/>
      <c r="P264" s="655">
        <v>0</v>
      </c>
      <c r="Q264" s="329"/>
      <c r="R264" s="655">
        <v>13914848.340000013</v>
      </c>
      <c r="S264" s="329"/>
      <c r="T264" s="655">
        <v>12829025.743076932</v>
      </c>
    </row>
    <row r="265" spans="1:20" ht="14.1" customHeight="1" x14ac:dyDescent="0.2">
      <c r="A265" s="252">
        <v>30</v>
      </c>
      <c r="B265" s="273"/>
      <c r="C265" s="269">
        <v>34530</v>
      </c>
      <c r="D265" s="252" t="s">
        <v>164</v>
      </c>
      <c r="F265" s="655">
        <v>11452843.569999989</v>
      </c>
      <c r="G265" s="329"/>
      <c r="H265" s="655">
        <v>1225365.68</v>
      </c>
      <c r="I265" s="329"/>
      <c r="J265" s="655">
        <v>-173311.75</v>
      </c>
      <c r="K265" s="329"/>
      <c r="L265" s="655">
        <v>-13886.759999999998</v>
      </c>
      <c r="M265" s="329"/>
      <c r="N265" s="655">
        <v>0</v>
      </c>
      <c r="O265" s="329"/>
      <c r="P265" s="655">
        <v>0</v>
      </c>
      <c r="Q265" s="329"/>
      <c r="R265" s="655">
        <v>12491010.739999989</v>
      </c>
      <c r="S265" s="329"/>
      <c r="T265" s="655">
        <v>11924082.787692297</v>
      </c>
    </row>
    <row r="266" spans="1:20" ht="14.1" customHeight="1" x14ac:dyDescent="0.2">
      <c r="A266" s="252">
        <v>31</v>
      </c>
      <c r="B266" s="273"/>
      <c r="C266" s="269">
        <v>34630</v>
      </c>
      <c r="D266" s="252" t="s">
        <v>165</v>
      </c>
      <c r="F266" s="655">
        <v>3569122.7799999965</v>
      </c>
      <c r="G266" s="329"/>
      <c r="H266" s="655">
        <v>350573.98000000004</v>
      </c>
      <c r="I266" s="329"/>
      <c r="J266" s="655">
        <v>-8307.6200000000008</v>
      </c>
      <c r="K266" s="329"/>
      <c r="L266" s="655">
        <v>0</v>
      </c>
      <c r="M266" s="329"/>
      <c r="N266" s="655">
        <v>0</v>
      </c>
      <c r="O266" s="329"/>
      <c r="P266" s="655">
        <v>0</v>
      </c>
      <c r="Q266" s="329"/>
      <c r="R266" s="655">
        <v>3911389.1399999964</v>
      </c>
      <c r="S266" s="329"/>
      <c r="T266" s="655">
        <v>3737669.9161538426</v>
      </c>
    </row>
    <row r="267" spans="1:20" ht="14.1" customHeight="1" x14ac:dyDescent="0.2">
      <c r="A267" s="252">
        <v>32</v>
      </c>
      <c r="B267" s="273"/>
      <c r="C267" s="269"/>
      <c r="D267" s="252" t="s">
        <v>225</v>
      </c>
      <c r="F267" s="664">
        <v>53177102.039999984</v>
      </c>
      <c r="G267" s="602"/>
      <c r="H267" s="664">
        <v>5257423.82</v>
      </c>
      <c r="I267" s="602"/>
      <c r="J267" s="664">
        <v>-419279.42000000004</v>
      </c>
      <c r="K267" s="602"/>
      <c r="L267" s="664">
        <v>1068410.7100000002</v>
      </c>
      <c r="M267" s="602"/>
      <c r="N267" s="664">
        <v>13550.379999999997</v>
      </c>
      <c r="O267" s="602"/>
      <c r="P267" s="664">
        <v>0</v>
      </c>
      <c r="Q267" s="602"/>
      <c r="R267" s="664">
        <v>59097207.529999979</v>
      </c>
      <c r="S267" s="602"/>
      <c r="T267" s="664">
        <v>55846470.164615355</v>
      </c>
    </row>
    <row r="268" spans="1:20" ht="14.1" customHeight="1" x14ac:dyDescent="0.2">
      <c r="A268" s="252">
        <v>33</v>
      </c>
      <c r="B268" s="273"/>
    </row>
    <row r="269" spans="1:20" ht="14.1" customHeight="1" x14ac:dyDescent="0.2">
      <c r="A269" s="252">
        <v>34</v>
      </c>
      <c r="B269" s="273"/>
      <c r="D269" s="252" t="s">
        <v>226</v>
      </c>
      <c r="F269" s="718"/>
      <c r="G269" s="718"/>
      <c r="H269" s="718"/>
      <c r="I269" s="718"/>
      <c r="J269" s="293"/>
      <c r="K269" s="293"/>
      <c r="L269" s="293"/>
      <c r="M269" s="718"/>
      <c r="N269" s="293"/>
      <c r="O269" s="718"/>
      <c r="P269" s="718"/>
      <c r="Q269" s="718"/>
      <c r="R269" s="718"/>
      <c r="S269" s="718"/>
      <c r="T269" s="294"/>
    </row>
    <row r="270" spans="1:20" ht="14.1" customHeight="1" x14ac:dyDescent="0.2">
      <c r="A270" s="252">
        <v>35</v>
      </c>
      <c r="B270" s="273"/>
      <c r="C270" s="267">
        <v>34131</v>
      </c>
      <c r="D270" s="252" t="s">
        <v>161</v>
      </c>
      <c r="F270" s="655">
        <v>8006595.1199999917</v>
      </c>
      <c r="G270" s="329"/>
      <c r="H270" s="655">
        <v>538758.31000000006</v>
      </c>
      <c r="I270" s="329"/>
      <c r="J270" s="655">
        <v>-100735.85</v>
      </c>
      <c r="K270" s="329"/>
      <c r="L270" s="655">
        <v>-1271467.8700000001</v>
      </c>
      <c r="M270" s="329"/>
      <c r="N270" s="655">
        <v>0</v>
      </c>
      <c r="O270" s="329"/>
      <c r="P270" s="655">
        <v>0</v>
      </c>
      <c r="Q270" s="329"/>
      <c r="R270" s="655">
        <v>7173149.7099999925</v>
      </c>
      <c r="S270" s="329"/>
      <c r="T270" s="655">
        <v>7823044.6169230705</v>
      </c>
    </row>
    <row r="271" spans="1:20" ht="14.1" customHeight="1" x14ac:dyDescent="0.2">
      <c r="A271" s="252">
        <v>36</v>
      </c>
      <c r="B271" s="273"/>
      <c r="C271" s="267">
        <v>34231</v>
      </c>
      <c r="D271" s="252" t="s">
        <v>206</v>
      </c>
      <c r="F271" s="655">
        <v>30617097.75</v>
      </c>
      <c r="G271" s="329"/>
      <c r="H271" s="655">
        <v>2256646.0799999996</v>
      </c>
      <c r="I271" s="329"/>
      <c r="J271" s="655">
        <v>-68035.88</v>
      </c>
      <c r="K271" s="329"/>
      <c r="L271" s="655">
        <v>-130193.95000000001</v>
      </c>
      <c r="M271" s="329"/>
      <c r="N271" s="655">
        <v>16355.430000000004</v>
      </c>
      <c r="O271" s="329"/>
      <c r="P271" s="655">
        <v>96.3</v>
      </c>
      <c r="Q271" s="329"/>
      <c r="R271" s="655">
        <v>32691965.73</v>
      </c>
      <c r="S271" s="329"/>
      <c r="T271" s="655">
        <v>31672531.576153848</v>
      </c>
    </row>
    <row r="272" spans="1:20" ht="14.1" customHeight="1" x14ac:dyDescent="0.2">
      <c r="A272" s="252">
        <v>37</v>
      </c>
      <c r="B272" s="273"/>
      <c r="C272" s="267">
        <v>34331</v>
      </c>
      <c r="D272" s="252" t="s">
        <v>207</v>
      </c>
      <c r="F272" s="655">
        <v>56465759.309999965</v>
      </c>
      <c r="G272" s="329"/>
      <c r="H272" s="655">
        <v>8817878.4800000004</v>
      </c>
      <c r="I272" s="329"/>
      <c r="J272" s="655">
        <v>-490630.41000000003</v>
      </c>
      <c r="K272" s="329"/>
      <c r="L272" s="655">
        <v>-382185.32</v>
      </c>
      <c r="M272" s="329"/>
      <c r="N272" s="655">
        <v>44205.749999999985</v>
      </c>
      <c r="O272" s="329"/>
      <c r="P272" s="655">
        <v>0</v>
      </c>
      <c r="Q272" s="329"/>
      <c r="R272" s="655">
        <v>64455027.809999965</v>
      </c>
      <c r="S272" s="329"/>
      <c r="T272" s="655">
        <v>60439858.7330769</v>
      </c>
    </row>
    <row r="273" spans="1:20" ht="14.1" customHeight="1" x14ac:dyDescent="0.2">
      <c r="A273" s="252">
        <v>38</v>
      </c>
      <c r="B273" s="273"/>
      <c r="C273" s="267">
        <v>34531</v>
      </c>
      <c r="D273" s="252" t="s">
        <v>164</v>
      </c>
      <c r="F273" s="655">
        <v>16548964.139999995</v>
      </c>
      <c r="G273" s="329"/>
      <c r="H273" s="655">
        <v>1252728.9799999997</v>
      </c>
      <c r="I273" s="329"/>
      <c r="J273" s="655">
        <v>0</v>
      </c>
      <c r="K273" s="329"/>
      <c r="L273" s="655">
        <v>0</v>
      </c>
      <c r="M273" s="329"/>
      <c r="N273" s="655">
        <v>0</v>
      </c>
      <c r="O273" s="329"/>
      <c r="P273" s="655">
        <v>-96.3</v>
      </c>
      <c r="Q273" s="329"/>
      <c r="R273" s="655">
        <v>17801596.819999993</v>
      </c>
      <c r="S273" s="329"/>
      <c r="T273" s="655">
        <v>17173931.93615384</v>
      </c>
    </row>
    <row r="274" spans="1:20" ht="14.1" customHeight="1" x14ac:dyDescent="0.2">
      <c r="A274" s="252">
        <v>39</v>
      </c>
      <c r="B274" s="273"/>
      <c r="C274" s="267">
        <v>34631</v>
      </c>
      <c r="D274" s="252" t="s">
        <v>165</v>
      </c>
      <c r="F274" s="655">
        <v>498317.20000000112</v>
      </c>
      <c r="G274" s="329"/>
      <c r="H274" s="655">
        <v>31123.079999999998</v>
      </c>
      <c r="I274" s="329"/>
      <c r="J274" s="655">
        <v>0</v>
      </c>
      <c r="K274" s="329"/>
      <c r="L274" s="655">
        <v>0</v>
      </c>
      <c r="M274" s="329"/>
      <c r="N274" s="655">
        <v>0</v>
      </c>
      <c r="O274" s="329"/>
      <c r="P274" s="655">
        <v>0</v>
      </c>
      <c r="Q274" s="329"/>
      <c r="R274" s="655">
        <v>529440.28000000108</v>
      </c>
      <c r="S274" s="329"/>
      <c r="T274" s="655">
        <v>513878.74000000127</v>
      </c>
    </row>
    <row r="275" spans="1:20" ht="14.1" customHeight="1" x14ac:dyDescent="0.2">
      <c r="A275" s="252">
        <v>40</v>
      </c>
      <c r="B275" s="273"/>
      <c r="C275" s="269"/>
      <c r="D275" s="252" t="s">
        <v>227</v>
      </c>
      <c r="F275" s="664">
        <v>112136733.51999995</v>
      </c>
      <c r="G275" s="602"/>
      <c r="H275" s="664">
        <v>12897134.930000002</v>
      </c>
      <c r="I275" s="602"/>
      <c r="J275" s="664">
        <v>-659402.14</v>
      </c>
      <c r="K275" s="602"/>
      <c r="L275" s="664">
        <v>-1783847.1400000001</v>
      </c>
      <c r="M275" s="602"/>
      <c r="N275" s="664">
        <v>60561.179999999993</v>
      </c>
      <c r="O275" s="602"/>
      <c r="P275" s="664">
        <v>0</v>
      </c>
      <c r="Q275" s="602"/>
      <c r="R275" s="664">
        <v>122651180.34999995</v>
      </c>
      <c r="S275" s="602"/>
      <c r="T275" s="664">
        <v>117623245.60230765</v>
      </c>
    </row>
    <row r="276" spans="1:20" ht="14.1" customHeight="1" x14ac:dyDescent="0.2">
      <c r="A276" s="252">
        <v>41</v>
      </c>
      <c r="B276" s="273"/>
      <c r="G276" s="602"/>
      <c r="I276" s="602"/>
      <c r="K276" s="602"/>
      <c r="M276" s="602"/>
      <c r="O276" s="602"/>
      <c r="Q276" s="602"/>
      <c r="S276" s="602"/>
    </row>
    <row r="277" spans="1:20" ht="14.1" customHeight="1" x14ac:dyDescent="0.2">
      <c r="A277" s="252">
        <v>42</v>
      </c>
      <c r="B277" s="273"/>
      <c r="G277" s="602"/>
      <c r="I277" s="602"/>
      <c r="K277" s="602"/>
      <c r="M277" s="602"/>
      <c r="O277" s="602"/>
      <c r="Q277" s="602"/>
      <c r="S277" s="602"/>
    </row>
    <row r="278" spans="1:20" ht="14.1" customHeight="1" x14ac:dyDescent="0.2">
      <c r="A278" s="252">
        <v>43</v>
      </c>
      <c r="B278" s="273"/>
      <c r="G278" s="602"/>
      <c r="I278" s="602"/>
      <c r="K278" s="602"/>
      <c r="M278" s="602"/>
      <c r="O278" s="602"/>
      <c r="Q278" s="602"/>
      <c r="S278" s="602"/>
    </row>
    <row r="279" spans="1:20" ht="14.1" customHeight="1" thickBot="1" x14ac:dyDescent="0.25">
      <c r="A279" s="252">
        <v>44</v>
      </c>
      <c r="B279" s="667" t="s">
        <v>186</v>
      </c>
      <c r="C279" s="264"/>
      <c r="D279" s="264"/>
      <c r="E279" s="264"/>
      <c r="F279" s="264"/>
      <c r="G279" s="264"/>
      <c r="H279" s="264"/>
      <c r="I279" s="264"/>
      <c r="J279" s="264"/>
      <c r="K279" s="264"/>
      <c r="L279" s="264"/>
      <c r="M279" s="264"/>
      <c r="N279" s="264"/>
      <c r="O279" s="264"/>
      <c r="P279" s="264"/>
      <c r="Q279" s="264"/>
      <c r="R279" s="264"/>
      <c r="S279" s="264"/>
      <c r="T279" s="264"/>
    </row>
    <row r="280" spans="1:20" ht="14.1" customHeight="1" x14ac:dyDescent="0.2">
      <c r="A280" s="252" t="s">
        <v>60</v>
      </c>
      <c r="R280" s="252" t="s">
        <v>60</v>
      </c>
    </row>
    <row r="281" spans="1:20" ht="14.1" customHeight="1" thickBot="1" x14ac:dyDescent="0.25">
      <c r="A281" s="264" t="s">
        <v>301</v>
      </c>
      <c r="B281" s="264"/>
      <c r="C281" s="264"/>
      <c r="D281" s="264"/>
      <c r="E281" s="264"/>
      <c r="F281" s="264" t="s">
        <v>302</v>
      </c>
      <c r="G281" s="264"/>
      <c r="H281" s="264"/>
      <c r="I281" s="264"/>
      <c r="J281" s="264"/>
      <c r="K281" s="264"/>
      <c r="L281" s="264"/>
      <c r="M281" s="264"/>
      <c r="N281" s="264"/>
      <c r="O281" s="264"/>
      <c r="P281" s="264"/>
      <c r="Q281" s="264"/>
      <c r="R281" s="264"/>
      <c r="S281" s="264"/>
      <c r="T281" s="264" t="s">
        <v>328</v>
      </c>
    </row>
    <row r="282" spans="1:20" ht="14.1" customHeight="1" x14ac:dyDescent="0.2">
      <c r="A282" s="252" t="s">
        <v>129</v>
      </c>
      <c r="B282" s="285"/>
      <c r="E282" s="260" t="s">
        <v>130</v>
      </c>
      <c r="F282" s="252" t="s">
        <v>303</v>
      </c>
      <c r="J282" s="286"/>
      <c r="K282" s="286"/>
      <c r="P282" s="286"/>
      <c r="Q282" s="286"/>
      <c r="R282" s="286" t="s">
        <v>132</v>
      </c>
      <c r="T282" s="261"/>
    </row>
    <row r="283" spans="1:20" ht="14.1" customHeight="1" x14ac:dyDescent="0.2">
      <c r="B283" s="285"/>
      <c r="F283" s="252" t="s">
        <v>1399</v>
      </c>
      <c r="J283" s="260"/>
      <c r="K283" s="261"/>
      <c r="P283" s="260"/>
      <c r="Q283" s="260" t="s">
        <v>123</v>
      </c>
      <c r="R283" s="261" t="s">
        <v>1407</v>
      </c>
      <c r="T283" s="260"/>
    </row>
    <row r="284" spans="1:20" ht="14.1" customHeight="1" x14ac:dyDescent="0.2">
      <c r="A284" s="252" t="s">
        <v>134</v>
      </c>
      <c r="B284" s="285"/>
      <c r="F284" s="252" t="s">
        <v>123</v>
      </c>
      <c r="J284" s="260"/>
      <c r="K284" s="261"/>
      <c r="L284" s="260"/>
      <c r="N284" s="260"/>
      <c r="Q284" s="260" t="s">
        <v>123</v>
      </c>
      <c r="R284" s="261">
        <v>0</v>
      </c>
      <c r="T284" s="260"/>
    </row>
    <row r="285" spans="1:20" ht="14.1" customHeight="1" x14ac:dyDescent="0.2">
      <c r="B285" s="285"/>
      <c r="F285" s="252" t="s">
        <v>123</v>
      </c>
      <c r="J285" s="260"/>
      <c r="K285" s="261"/>
      <c r="L285" s="260"/>
      <c r="N285" s="260"/>
      <c r="Q285" s="260" t="s">
        <v>123</v>
      </c>
      <c r="R285" s="261"/>
      <c r="T285" s="260"/>
    </row>
    <row r="286" spans="1:20" ht="14.1" customHeight="1" thickBot="1" x14ac:dyDescent="0.25">
      <c r="A286" s="264" t="s">
        <v>135</v>
      </c>
      <c r="B286" s="287"/>
      <c r="C286" s="264"/>
      <c r="D286" s="264"/>
      <c r="E286" s="264"/>
      <c r="F286" s="264" t="s">
        <v>123</v>
      </c>
      <c r="G286" s="264"/>
      <c r="H286" s="266"/>
      <c r="I286" s="264"/>
      <c r="J286" s="264"/>
      <c r="K286" s="264"/>
      <c r="L286" s="264"/>
      <c r="M286" s="264"/>
      <c r="N286" s="264"/>
      <c r="O286" s="264"/>
      <c r="P286" s="264"/>
      <c r="Q286" s="264"/>
      <c r="R286" s="288"/>
      <c r="S286" s="264"/>
      <c r="T286" s="264"/>
    </row>
    <row r="287" spans="1:20" ht="14.1" customHeight="1" x14ac:dyDescent="0.2"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7"/>
      <c r="T287" s="267"/>
    </row>
    <row r="288" spans="1:20" ht="14.1" customHeight="1" x14ac:dyDescent="0.2">
      <c r="C288" s="267" t="s">
        <v>136</v>
      </c>
      <c r="D288" s="267" t="s">
        <v>137</v>
      </c>
      <c r="E288" s="267"/>
      <c r="F288" s="267" t="s">
        <v>138</v>
      </c>
      <c r="G288" s="267"/>
      <c r="H288" s="267" t="s">
        <v>139</v>
      </c>
      <c r="I288" s="267"/>
      <c r="J288" s="269" t="s">
        <v>140</v>
      </c>
      <c r="L288" s="267" t="s">
        <v>141</v>
      </c>
      <c r="M288" s="267"/>
      <c r="N288" s="267" t="s">
        <v>142</v>
      </c>
      <c r="O288" s="267"/>
      <c r="P288" s="267" t="s">
        <v>143</v>
      </c>
      <c r="Q288" s="267"/>
      <c r="R288" s="267" t="s">
        <v>144</v>
      </c>
      <c r="S288" s="267"/>
      <c r="T288" s="267" t="s">
        <v>305</v>
      </c>
    </row>
    <row r="289" spans="1:20" ht="14.1" customHeight="1" x14ac:dyDescent="0.2">
      <c r="C289" s="269" t="s">
        <v>145</v>
      </c>
      <c r="D289" s="269" t="s">
        <v>145</v>
      </c>
      <c r="F289" s="267" t="s">
        <v>41</v>
      </c>
      <c r="G289" s="269"/>
      <c r="H289" s="267" t="s">
        <v>40</v>
      </c>
      <c r="I289" s="269"/>
      <c r="J289" s="267"/>
      <c r="K289" s="269"/>
      <c r="L289" s="269"/>
      <c r="M289" s="269"/>
      <c r="N289" s="269"/>
      <c r="O289" s="269"/>
      <c r="P289" s="269"/>
      <c r="Q289" s="269"/>
      <c r="R289" s="269" t="s">
        <v>41</v>
      </c>
      <c r="T289" s="269"/>
    </row>
    <row r="290" spans="1:20" ht="14.1" customHeight="1" x14ac:dyDescent="0.2">
      <c r="A290" s="252" t="s">
        <v>146</v>
      </c>
      <c r="B290" s="269"/>
      <c r="C290" s="269" t="s">
        <v>147</v>
      </c>
      <c r="D290" s="269" t="s">
        <v>147</v>
      </c>
      <c r="E290" s="267"/>
      <c r="F290" s="269" t="s">
        <v>6</v>
      </c>
      <c r="G290" s="269"/>
      <c r="H290" s="269" t="s">
        <v>6</v>
      </c>
      <c r="I290" s="269"/>
      <c r="J290" s="269"/>
      <c r="K290" s="267"/>
      <c r="L290" s="269" t="s">
        <v>306</v>
      </c>
      <c r="M290" s="269"/>
      <c r="N290" s="269" t="s">
        <v>306</v>
      </c>
      <c r="O290" s="269"/>
      <c r="P290" s="269" t="s">
        <v>150</v>
      </c>
      <c r="Q290" s="267"/>
      <c r="R290" s="267" t="s">
        <v>6</v>
      </c>
      <c r="S290" s="267"/>
      <c r="T290" s="269" t="s">
        <v>151</v>
      </c>
    </row>
    <row r="291" spans="1:20" ht="14.1" customHeight="1" thickBot="1" x14ac:dyDescent="0.25">
      <c r="A291" s="264" t="s">
        <v>152</v>
      </c>
      <c r="B291" s="266"/>
      <c r="C291" s="266" t="s">
        <v>52</v>
      </c>
      <c r="D291" s="266" t="s">
        <v>153</v>
      </c>
      <c r="E291" s="266"/>
      <c r="F291" s="270" t="s">
        <v>154</v>
      </c>
      <c r="G291" s="270"/>
      <c r="H291" s="270" t="s">
        <v>307</v>
      </c>
      <c r="I291" s="271"/>
      <c r="J291" s="270" t="s">
        <v>18</v>
      </c>
      <c r="K291" s="271"/>
      <c r="L291" s="270" t="s">
        <v>19</v>
      </c>
      <c r="M291" s="271"/>
      <c r="N291" s="270" t="s">
        <v>54</v>
      </c>
      <c r="O291" s="271"/>
      <c r="P291" s="272" t="s">
        <v>157</v>
      </c>
      <c r="Q291" s="272"/>
      <c r="R291" s="272" t="s">
        <v>158</v>
      </c>
      <c r="S291" s="272"/>
      <c r="T291" s="272" t="s">
        <v>3</v>
      </c>
    </row>
    <row r="292" spans="1:20" ht="14.1" customHeight="1" x14ac:dyDescent="0.2">
      <c r="A292" s="252">
        <v>1</v>
      </c>
      <c r="B292" s="273"/>
    </row>
    <row r="293" spans="1:20" ht="14.1" customHeight="1" x14ac:dyDescent="0.2">
      <c r="A293" s="252">
        <v>2</v>
      </c>
      <c r="B293" s="273"/>
      <c r="C293" s="269"/>
      <c r="D293" s="252" t="s">
        <v>228</v>
      </c>
      <c r="F293" s="708"/>
      <c r="G293" s="602"/>
      <c r="H293" s="329"/>
      <c r="I293" s="602"/>
      <c r="J293" s="329"/>
      <c r="K293" s="602"/>
      <c r="L293" s="329"/>
      <c r="M293" s="602"/>
      <c r="N293" s="329"/>
      <c r="O293" s="602"/>
      <c r="P293" s="329"/>
      <c r="Q293" s="602"/>
      <c r="R293" s="602"/>
      <c r="S293" s="602"/>
      <c r="T293" s="602"/>
    </row>
    <row r="294" spans="1:20" ht="14.1" customHeight="1" x14ac:dyDescent="0.2">
      <c r="A294" s="252">
        <v>3</v>
      </c>
      <c r="B294" s="273"/>
      <c r="C294" s="267">
        <v>34132</v>
      </c>
      <c r="D294" s="252" t="s">
        <v>161</v>
      </c>
      <c r="F294" s="655">
        <v>10361332.769999998</v>
      </c>
      <c r="G294" s="329"/>
      <c r="H294" s="655">
        <v>674299.07999999973</v>
      </c>
      <c r="I294" s="329"/>
      <c r="J294" s="655">
        <v>0</v>
      </c>
      <c r="K294" s="329"/>
      <c r="L294" s="655">
        <v>0</v>
      </c>
      <c r="M294" s="329"/>
      <c r="N294" s="655">
        <v>0</v>
      </c>
      <c r="O294" s="329"/>
      <c r="P294" s="655">
        <v>0</v>
      </c>
      <c r="Q294" s="329"/>
      <c r="R294" s="655">
        <v>11035631.849999998</v>
      </c>
      <c r="S294" s="329"/>
      <c r="T294" s="655">
        <v>10698482.309999999</v>
      </c>
    </row>
    <row r="295" spans="1:20" ht="14.1" customHeight="1" x14ac:dyDescent="0.2">
      <c r="A295" s="252">
        <v>4</v>
      </c>
      <c r="B295" s="273"/>
      <c r="C295" s="267">
        <v>34232</v>
      </c>
      <c r="D295" s="252" t="s">
        <v>206</v>
      </c>
      <c r="F295" s="655">
        <v>39055273.190000035</v>
      </c>
      <c r="G295" s="329"/>
      <c r="H295" s="655">
        <v>2966807.28</v>
      </c>
      <c r="I295" s="329"/>
      <c r="J295" s="655">
        <v>-1418558.06</v>
      </c>
      <c r="K295" s="329"/>
      <c r="L295" s="655">
        <v>-464849.68999999994</v>
      </c>
      <c r="M295" s="329"/>
      <c r="N295" s="655">
        <v>22544.220000000008</v>
      </c>
      <c r="O295" s="329"/>
      <c r="P295" s="655">
        <v>0</v>
      </c>
      <c r="Q295" s="329"/>
      <c r="R295" s="655">
        <v>40161216.940000035</v>
      </c>
      <c r="S295" s="329"/>
      <c r="T295" s="655">
        <v>39220324.990769275</v>
      </c>
    </row>
    <row r="296" spans="1:20" ht="14.1" customHeight="1" x14ac:dyDescent="0.2">
      <c r="A296" s="252">
        <v>5</v>
      </c>
      <c r="B296" s="273"/>
      <c r="C296" s="267">
        <v>34332</v>
      </c>
      <c r="D296" s="252" t="s">
        <v>207</v>
      </c>
      <c r="F296" s="655">
        <v>65637161.859999977</v>
      </c>
      <c r="G296" s="329"/>
      <c r="H296" s="655">
        <v>11769404.939999999</v>
      </c>
      <c r="I296" s="329"/>
      <c r="J296" s="655">
        <v>-489373.14</v>
      </c>
      <c r="K296" s="329"/>
      <c r="L296" s="655">
        <v>-118229.77000000016</v>
      </c>
      <c r="M296" s="329"/>
      <c r="N296" s="655">
        <v>60464.609999999986</v>
      </c>
      <c r="O296" s="329"/>
      <c r="P296" s="655">
        <v>0</v>
      </c>
      <c r="Q296" s="329"/>
      <c r="R296" s="655">
        <v>76859428.499999985</v>
      </c>
      <c r="S296" s="329"/>
      <c r="T296" s="655">
        <v>71290823.219230756</v>
      </c>
    </row>
    <row r="297" spans="1:20" ht="14.1" customHeight="1" x14ac:dyDescent="0.2">
      <c r="A297" s="252">
        <v>6</v>
      </c>
      <c r="B297" s="273"/>
      <c r="C297" s="267">
        <v>34532</v>
      </c>
      <c r="D297" s="252" t="s">
        <v>164</v>
      </c>
      <c r="F297" s="655">
        <v>17672806.709999997</v>
      </c>
      <c r="G297" s="329"/>
      <c r="H297" s="655">
        <v>1364550.71</v>
      </c>
      <c r="I297" s="329"/>
      <c r="J297" s="655">
        <v>-5236.04</v>
      </c>
      <c r="K297" s="329"/>
      <c r="L297" s="655">
        <v>-735.43</v>
      </c>
      <c r="M297" s="329"/>
      <c r="N297" s="655">
        <v>0</v>
      </c>
      <c r="O297" s="329"/>
      <c r="P297" s="655">
        <v>0</v>
      </c>
      <c r="Q297" s="329"/>
      <c r="R297" s="655">
        <v>19031385.949999999</v>
      </c>
      <c r="S297" s="329"/>
      <c r="T297" s="655">
        <v>18352479.613846149</v>
      </c>
    </row>
    <row r="298" spans="1:20" ht="14.1" customHeight="1" x14ac:dyDescent="0.2">
      <c r="A298" s="252">
        <v>7</v>
      </c>
      <c r="B298" s="273"/>
      <c r="C298" s="267">
        <v>34632</v>
      </c>
      <c r="D298" s="252" t="s">
        <v>165</v>
      </c>
      <c r="F298" s="655">
        <v>628171.93999999936</v>
      </c>
      <c r="G298" s="329"/>
      <c r="H298" s="655">
        <v>40756.559999999998</v>
      </c>
      <c r="I298" s="329"/>
      <c r="J298" s="655">
        <v>0</v>
      </c>
      <c r="K298" s="329"/>
      <c r="L298" s="655">
        <v>0</v>
      </c>
      <c r="M298" s="329"/>
      <c r="N298" s="655">
        <v>0</v>
      </c>
      <c r="O298" s="329"/>
      <c r="P298" s="655">
        <v>0</v>
      </c>
      <c r="Q298" s="329"/>
      <c r="R298" s="655">
        <v>668928.4999999993</v>
      </c>
      <c r="S298" s="329"/>
      <c r="T298" s="655">
        <v>648550.21999999939</v>
      </c>
    </row>
    <row r="299" spans="1:20" ht="14.1" customHeight="1" x14ac:dyDescent="0.2">
      <c r="A299" s="252">
        <v>8</v>
      </c>
      <c r="B299" s="295"/>
      <c r="C299" s="269"/>
      <c r="D299" s="252" t="s">
        <v>229</v>
      </c>
      <c r="F299" s="664">
        <v>133354746.47</v>
      </c>
      <c r="G299" s="602"/>
      <c r="H299" s="664">
        <v>16815818.569999997</v>
      </c>
      <c r="I299" s="602"/>
      <c r="J299" s="664">
        <v>-1913167.2400000002</v>
      </c>
      <c r="K299" s="602"/>
      <c r="L299" s="664">
        <v>-583814.89000000013</v>
      </c>
      <c r="M299" s="602"/>
      <c r="N299" s="664">
        <v>83008.829999999987</v>
      </c>
      <c r="O299" s="602"/>
      <c r="P299" s="664">
        <v>0</v>
      </c>
      <c r="Q299" s="602"/>
      <c r="R299" s="664">
        <v>147756591.74000001</v>
      </c>
      <c r="S299" s="602"/>
      <c r="T299" s="664">
        <v>140210660.35384616</v>
      </c>
    </row>
    <row r="300" spans="1:20" ht="14.1" customHeight="1" x14ac:dyDescent="0.2">
      <c r="A300" s="252">
        <v>9</v>
      </c>
      <c r="B300" s="273"/>
    </row>
    <row r="301" spans="1:20" ht="14.1" customHeight="1" x14ac:dyDescent="0.2">
      <c r="A301" s="252">
        <v>10</v>
      </c>
      <c r="B301" s="273"/>
      <c r="C301" s="269"/>
      <c r="D301" s="252" t="s">
        <v>230</v>
      </c>
      <c r="G301" s="602"/>
      <c r="I301" s="602"/>
      <c r="K301" s="602"/>
      <c r="M301" s="602"/>
      <c r="O301" s="602"/>
      <c r="Q301" s="602"/>
      <c r="S301" s="602"/>
    </row>
    <row r="302" spans="1:20" ht="14.1" customHeight="1" x14ac:dyDescent="0.2">
      <c r="A302" s="252">
        <v>11</v>
      </c>
      <c r="B302" s="273"/>
      <c r="C302" s="267">
        <v>34133</v>
      </c>
      <c r="D302" s="252" t="s">
        <v>161</v>
      </c>
      <c r="F302" s="655">
        <v>-27875.810000000274</v>
      </c>
      <c r="G302" s="329"/>
      <c r="H302" s="655">
        <v>17065.080000000002</v>
      </c>
      <c r="I302" s="329"/>
      <c r="J302" s="655">
        <v>0</v>
      </c>
      <c r="K302" s="329"/>
      <c r="L302" s="655">
        <v>0</v>
      </c>
      <c r="M302" s="329"/>
      <c r="N302" s="655">
        <v>0</v>
      </c>
      <c r="O302" s="329"/>
      <c r="P302" s="655">
        <v>0</v>
      </c>
      <c r="Q302" s="329"/>
      <c r="R302" s="655">
        <v>-10810.730000000272</v>
      </c>
      <c r="S302" s="329"/>
      <c r="T302" s="655">
        <v>-19343.270000000273</v>
      </c>
    </row>
    <row r="303" spans="1:20" ht="14.1" customHeight="1" x14ac:dyDescent="0.2">
      <c r="A303" s="252">
        <v>12</v>
      </c>
      <c r="B303" s="273"/>
      <c r="C303" s="267">
        <v>34233</v>
      </c>
      <c r="D303" s="252" t="s">
        <v>206</v>
      </c>
      <c r="F303" s="655">
        <v>873678.52000000025</v>
      </c>
      <c r="G303" s="329"/>
      <c r="H303" s="655">
        <v>122028.84000000004</v>
      </c>
      <c r="I303" s="329"/>
      <c r="J303" s="655">
        <v>0</v>
      </c>
      <c r="K303" s="329"/>
      <c r="L303" s="655">
        <v>-4028.579999999999</v>
      </c>
      <c r="M303" s="329"/>
      <c r="N303" s="655">
        <v>708.5</v>
      </c>
      <c r="O303" s="329"/>
      <c r="P303" s="655">
        <v>0</v>
      </c>
      <c r="Q303" s="329"/>
      <c r="R303" s="655">
        <v>992387.28000000038</v>
      </c>
      <c r="S303" s="329"/>
      <c r="T303" s="655">
        <v>932324.29538461519</v>
      </c>
    </row>
    <row r="304" spans="1:20" ht="14.1" customHeight="1" x14ac:dyDescent="0.2">
      <c r="A304" s="252">
        <v>13</v>
      </c>
      <c r="B304" s="273"/>
      <c r="C304" s="267">
        <v>34333</v>
      </c>
      <c r="D304" s="252" t="s">
        <v>207</v>
      </c>
      <c r="F304" s="655">
        <v>6941617.0400000066</v>
      </c>
      <c r="G304" s="329"/>
      <c r="H304" s="655">
        <v>616886.88</v>
      </c>
      <c r="I304" s="329"/>
      <c r="J304" s="655">
        <v>-67181.61</v>
      </c>
      <c r="K304" s="329"/>
      <c r="L304" s="655">
        <v>-18459.489999999994</v>
      </c>
      <c r="M304" s="329"/>
      <c r="N304" s="655">
        <v>3237.5299999999988</v>
      </c>
      <c r="O304" s="329"/>
      <c r="P304" s="655">
        <v>0</v>
      </c>
      <c r="Q304" s="329"/>
      <c r="R304" s="655">
        <v>7476100.3500000061</v>
      </c>
      <c r="S304" s="329"/>
      <c r="T304" s="655">
        <v>7234107.0746153928</v>
      </c>
    </row>
    <row r="305" spans="1:20" ht="14.1" customHeight="1" x14ac:dyDescent="0.2">
      <c r="A305" s="252">
        <v>14</v>
      </c>
      <c r="B305" s="273"/>
      <c r="C305" s="267">
        <v>34533</v>
      </c>
      <c r="D305" s="252" t="s">
        <v>164</v>
      </c>
      <c r="F305" s="655">
        <v>4237970.4100000039</v>
      </c>
      <c r="G305" s="329"/>
      <c r="H305" s="655">
        <v>559913.22000000009</v>
      </c>
      <c r="I305" s="329"/>
      <c r="J305" s="655">
        <v>0</v>
      </c>
      <c r="K305" s="329"/>
      <c r="L305" s="655">
        <v>0</v>
      </c>
      <c r="M305" s="329"/>
      <c r="N305" s="655">
        <v>0</v>
      </c>
      <c r="O305" s="329"/>
      <c r="P305" s="655">
        <v>0</v>
      </c>
      <c r="Q305" s="329"/>
      <c r="R305" s="655">
        <v>4797883.6300000036</v>
      </c>
      <c r="S305" s="329"/>
      <c r="T305" s="655">
        <v>4517442.5200000042</v>
      </c>
    </row>
    <row r="306" spans="1:20" ht="14.1" customHeight="1" x14ac:dyDescent="0.2">
      <c r="A306" s="252">
        <v>15</v>
      </c>
      <c r="C306" s="267">
        <v>34633</v>
      </c>
      <c r="D306" s="252" t="s">
        <v>165</v>
      </c>
      <c r="F306" s="655">
        <v>322.32</v>
      </c>
      <c r="G306" s="329"/>
      <c r="H306" s="655">
        <v>36.24</v>
      </c>
      <c r="I306" s="329"/>
      <c r="J306" s="655">
        <v>0</v>
      </c>
      <c r="K306" s="329"/>
      <c r="L306" s="655">
        <v>0</v>
      </c>
      <c r="M306" s="329"/>
      <c r="N306" s="655">
        <v>0</v>
      </c>
      <c r="O306" s="329"/>
      <c r="P306" s="655">
        <v>0</v>
      </c>
      <c r="Q306" s="329"/>
      <c r="R306" s="655">
        <v>358.56</v>
      </c>
      <c r="S306" s="329"/>
      <c r="T306" s="655">
        <v>340.43999999999994</v>
      </c>
    </row>
    <row r="307" spans="1:20" ht="14.1" customHeight="1" x14ac:dyDescent="0.2">
      <c r="A307" s="252">
        <v>16</v>
      </c>
      <c r="C307" s="269"/>
      <c r="D307" s="252" t="s">
        <v>231</v>
      </c>
      <c r="F307" s="664">
        <v>12025712.480000012</v>
      </c>
      <c r="G307" s="602"/>
      <c r="H307" s="664">
        <v>1315930.26</v>
      </c>
      <c r="I307" s="602"/>
      <c r="J307" s="664">
        <v>-67181.61</v>
      </c>
      <c r="K307" s="602"/>
      <c r="L307" s="664">
        <v>-22488.069999999992</v>
      </c>
      <c r="M307" s="602"/>
      <c r="N307" s="664">
        <v>3946.0299999999988</v>
      </c>
      <c r="O307" s="602"/>
      <c r="P307" s="664">
        <v>0</v>
      </c>
      <c r="Q307" s="602"/>
      <c r="R307" s="664">
        <v>13255919.090000009</v>
      </c>
      <c r="S307" s="602"/>
      <c r="T307" s="664">
        <v>12664871.060000012</v>
      </c>
    </row>
    <row r="308" spans="1:20" ht="14.1" customHeight="1" x14ac:dyDescent="0.2">
      <c r="A308" s="252">
        <v>17</v>
      </c>
      <c r="G308" s="602"/>
      <c r="I308" s="602"/>
      <c r="K308" s="602"/>
      <c r="M308" s="602"/>
      <c r="O308" s="602"/>
      <c r="Q308" s="602"/>
      <c r="S308" s="602"/>
    </row>
    <row r="309" spans="1:20" ht="14.1" customHeight="1" x14ac:dyDescent="0.2">
      <c r="A309" s="252">
        <v>18</v>
      </c>
      <c r="B309" s="273"/>
      <c r="C309" s="269"/>
      <c r="D309" s="252" t="s">
        <v>232</v>
      </c>
      <c r="G309" s="602"/>
      <c r="I309" s="602"/>
      <c r="K309" s="602"/>
      <c r="M309" s="602"/>
      <c r="O309" s="602"/>
      <c r="Q309" s="602"/>
      <c r="S309" s="602"/>
    </row>
    <row r="310" spans="1:20" ht="14.1" customHeight="1" x14ac:dyDescent="0.2">
      <c r="A310" s="252">
        <v>19</v>
      </c>
      <c r="B310" s="273"/>
      <c r="C310" s="267">
        <v>34134</v>
      </c>
      <c r="D310" s="252" t="s">
        <v>161</v>
      </c>
      <c r="F310" s="655">
        <v>-122817.35000000006</v>
      </c>
      <c r="G310" s="329"/>
      <c r="H310" s="655">
        <v>6300.7199999999975</v>
      </c>
      <c r="I310" s="329"/>
      <c r="J310" s="655">
        <v>0</v>
      </c>
      <c r="K310" s="329"/>
      <c r="L310" s="655">
        <v>0</v>
      </c>
      <c r="M310" s="329"/>
      <c r="N310" s="655">
        <v>0</v>
      </c>
      <c r="O310" s="329"/>
      <c r="P310" s="655">
        <v>0</v>
      </c>
      <c r="Q310" s="329"/>
      <c r="R310" s="655">
        <v>-116516.63000000006</v>
      </c>
      <c r="S310" s="329"/>
      <c r="T310" s="655">
        <v>-119666.99000000008</v>
      </c>
    </row>
    <row r="311" spans="1:20" ht="14.1" customHeight="1" x14ac:dyDescent="0.2">
      <c r="A311" s="252">
        <v>20</v>
      </c>
      <c r="B311" s="273"/>
      <c r="C311" s="267">
        <v>34234</v>
      </c>
      <c r="D311" s="252" t="s">
        <v>206</v>
      </c>
      <c r="F311" s="655">
        <v>866517.64999999932</v>
      </c>
      <c r="G311" s="329"/>
      <c r="H311" s="655">
        <v>121035.11999999998</v>
      </c>
      <c r="I311" s="329"/>
      <c r="J311" s="655">
        <v>0</v>
      </c>
      <c r="K311" s="329"/>
      <c r="L311" s="655">
        <v>-3995.630000000001</v>
      </c>
      <c r="M311" s="329"/>
      <c r="N311" s="655">
        <v>702.73999999999978</v>
      </c>
      <c r="O311" s="329"/>
      <c r="P311" s="655">
        <v>0</v>
      </c>
      <c r="Q311" s="329"/>
      <c r="R311" s="655">
        <v>984259.87999999931</v>
      </c>
      <c r="S311" s="329"/>
      <c r="T311" s="655">
        <v>924685.97307692224</v>
      </c>
    </row>
    <row r="312" spans="1:20" ht="14.1" customHeight="1" x14ac:dyDescent="0.2">
      <c r="A312" s="252">
        <v>21</v>
      </c>
      <c r="B312" s="273"/>
      <c r="C312" s="267">
        <v>34334</v>
      </c>
      <c r="D312" s="252" t="s">
        <v>207</v>
      </c>
      <c r="F312" s="655">
        <v>6950153.0100000044</v>
      </c>
      <c r="G312" s="329"/>
      <c r="H312" s="655">
        <v>633884.07999999984</v>
      </c>
      <c r="I312" s="329"/>
      <c r="J312" s="655">
        <v>-79254.040000000008</v>
      </c>
      <c r="K312" s="329"/>
      <c r="L312" s="655">
        <v>-18979.48</v>
      </c>
      <c r="M312" s="329"/>
      <c r="N312" s="655">
        <v>3327.3599999999988</v>
      </c>
      <c r="O312" s="329"/>
      <c r="P312" s="655">
        <v>0</v>
      </c>
      <c r="Q312" s="329"/>
      <c r="R312" s="655">
        <v>7489130.9300000044</v>
      </c>
      <c r="S312" s="329"/>
      <c r="T312" s="655">
        <v>7237701.1715384629</v>
      </c>
    </row>
    <row r="313" spans="1:20" ht="14.1" customHeight="1" x14ac:dyDescent="0.2">
      <c r="A313" s="252">
        <v>22</v>
      </c>
      <c r="B313" s="273"/>
      <c r="C313" s="267">
        <v>34534</v>
      </c>
      <c r="D313" s="252" t="s">
        <v>164</v>
      </c>
      <c r="F313" s="655">
        <v>1379864.6099999987</v>
      </c>
      <c r="G313" s="329"/>
      <c r="H313" s="655">
        <v>162508.52000000002</v>
      </c>
      <c r="I313" s="329"/>
      <c r="J313" s="655">
        <v>0</v>
      </c>
      <c r="K313" s="329"/>
      <c r="L313" s="655">
        <v>0</v>
      </c>
      <c r="M313" s="329"/>
      <c r="N313" s="655">
        <v>0</v>
      </c>
      <c r="O313" s="329"/>
      <c r="P313" s="655">
        <v>0</v>
      </c>
      <c r="Q313" s="329"/>
      <c r="R313" s="655">
        <v>1542373.1299999987</v>
      </c>
      <c r="S313" s="329"/>
      <c r="T313" s="655">
        <v>1460791.8392307681</v>
      </c>
    </row>
    <row r="314" spans="1:20" ht="14.1" customHeight="1" x14ac:dyDescent="0.2">
      <c r="A314" s="252">
        <v>23</v>
      </c>
      <c r="B314" s="273"/>
      <c r="C314" s="267">
        <v>34634</v>
      </c>
      <c r="D314" s="252" t="s">
        <v>165</v>
      </c>
      <c r="F314" s="655">
        <v>322.32</v>
      </c>
      <c r="G314" s="329"/>
      <c r="H314" s="655">
        <v>36.24</v>
      </c>
      <c r="I314" s="329"/>
      <c r="J314" s="655">
        <v>0</v>
      </c>
      <c r="K314" s="329"/>
      <c r="L314" s="655">
        <v>0</v>
      </c>
      <c r="M314" s="329"/>
      <c r="N314" s="655">
        <v>0</v>
      </c>
      <c r="O314" s="329"/>
      <c r="P314" s="655">
        <v>0</v>
      </c>
      <c r="Q314" s="329"/>
      <c r="R314" s="655">
        <v>358.56</v>
      </c>
      <c r="S314" s="329"/>
      <c r="T314" s="655">
        <v>340.43999999999994</v>
      </c>
    </row>
    <row r="315" spans="1:20" ht="14.1" customHeight="1" x14ac:dyDescent="0.2">
      <c r="A315" s="252">
        <v>24</v>
      </c>
      <c r="B315" s="273"/>
      <c r="C315" s="269"/>
      <c r="D315" s="252" t="s">
        <v>233</v>
      </c>
      <c r="F315" s="664">
        <v>9074040.2400000021</v>
      </c>
      <c r="G315" s="602"/>
      <c r="H315" s="664">
        <v>923764.67999999982</v>
      </c>
      <c r="I315" s="602"/>
      <c r="J315" s="664">
        <v>-79254.040000000008</v>
      </c>
      <c r="K315" s="602"/>
      <c r="L315" s="664">
        <v>-22975.11</v>
      </c>
      <c r="M315" s="602"/>
      <c r="N315" s="664">
        <v>4030.0999999999985</v>
      </c>
      <c r="O315" s="602"/>
      <c r="P315" s="664">
        <v>0</v>
      </c>
      <c r="Q315" s="602"/>
      <c r="R315" s="664">
        <v>9899605.8700000029</v>
      </c>
      <c r="S315" s="602"/>
      <c r="T315" s="664">
        <v>9503852.4338461533</v>
      </c>
    </row>
    <row r="316" spans="1:20" ht="14.1" customHeight="1" x14ac:dyDescent="0.2">
      <c r="A316" s="252">
        <v>25</v>
      </c>
      <c r="B316" s="273"/>
    </row>
    <row r="317" spans="1:20" ht="14.1" customHeight="1" x14ac:dyDescent="0.2">
      <c r="A317" s="252">
        <v>26</v>
      </c>
      <c r="B317" s="273"/>
      <c r="C317" s="269"/>
      <c r="D317" s="252" t="s">
        <v>234</v>
      </c>
    </row>
    <row r="318" spans="1:20" ht="14.1" customHeight="1" x14ac:dyDescent="0.2">
      <c r="A318" s="252">
        <v>27</v>
      </c>
      <c r="B318" s="273"/>
      <c r="C318" s="267">
        <v>34135</v>
      </c>
      <c r="D318" s="252" t="s">
        <v>161</v>
      </c>
      <c r="F318" s="655">
        <v>-173609.45999999993</v>
      </c>
      <c r="G318" s="329"/>
      <c r="H318" s="655">
        <v>20621.039999999994</v>
      </c>
      <c r="I318" s="329"/>
      <c r="J318" s="655">
        <v>0</v>
      </c>
      <c r="K318" s="329"/>
      <c r="L318" s="655">
        <v>0</v>
      </c>
      <c r="M318" s="329"/>
      <c r="N318" s="655">
        <v>0</v>
      </c>
      <c r="O318" s="329"/>
      <c r="P318" s="655">
        <v>0</v>
      </c>
      <c r="Q318" s="329"/>
      <c r="R318" s="655">
        <v>-152988.41999999993</v>
      </c>
      <c r="S318" s="329"/>
      <c r="T318" s="655">
        <v>-163298.93999999989</v>
      </c>
    </row>
    <row r="319" spans="1:20" ht="14.1" customHeight="1" x14ac:dyDescent="0.2">
      <c r="A319" s="252">
        <v>28</v>
      </c>
      <c r="B319" s="273"/>
      <c r="C319" s="267">
        <v>34235</v>
      </c>
      <c r="D319" s="252" t="s">
        <v>206</v>
      </c>
      <c r="F319" s="655">
        <v>542183.11000000115</v>
      </c>
      <c r="G319" s="329"/>
      <c r="H319" s="655">
        <v>73546.149999999994</v>
      </c>
      <c r="I319" s="329"/>
      <c r="J319" s="655">
        <v>0</v>
      </c>
      <c r="K319" s="329"/>
      <c r="L319" s="655">
        <v>-2521.5100000000002</v>
      </c>
      <c r="M319" s="329"/>
      <c r="N319" s="655">
        <v>434.2700000000001</v>
      </c>
      <c r="O319" s="329"/>
      <c r="P319" s="655">
        <v>0</v>
      </c>
      <c r="Q319" s="329"/>
      <c r="R319" s="655">
        <v>613642.02000000118</v>
      </c>
      <c r="S319" s="329"/>
      <c r="T319" s="655">
        <v>577401.95769230893</v>
      </c>
    </row>
    <row r="320" spans="1:20" ht="14.1" customHeight="1" x14ac:dyDescent="0.2">
      <c r="A320" s="252">
        <v>29</v>
      </c>
      <c r="B320" s="273"/>
      <c r="C320" s="267">
        <v>34335</v>
      </c>
      <c r="D320" s="252" t="s">
        <v>207</v>
      </c>
      <c r="F320" s="655">
        <v>8715073.9600000158</v>
      </c>
      <c r="G320" s="329"/>
      <c r="H320" s="655">
        <v>743531.5199999999</v>
      </c>
      <c r="I320" s="329"/>
      <c r="J320" s="655">
        <v>-64166.61</v>
      </c>
      <c r="K320" s="329"/>
      <c r="L320" s="655">
        <v>-22216.44</v>
      </c>
      <c r="M320" s="329"/>
      <c r="N320" s="655">
        <v>3898.670000000001</v>
      </c>
      <c r="O320" s="329"/>
      <c r="P320" s="655">
        <v>0</v>
      </c>
      <c r="Q320" s="329"/>
      <c r="R320" s="655">
        <v>9376121.1000000164</v>
      </c>
      <c r="S320" s="329"/>
      <c r="T320" s="655">
        <v>9068900.1623077169</v>
      </c>
    </row>
    <row r="321" spans="1:20" ht="14.1" customHeight="1" x14ac:dyDescent="0.2">
      <c r="A321" s="252">
        <v>30</v>
      </c>
      <c r="B321" s="273"/>
      <c r="C321" s="267">
        <v>34535</v>
      </c>
      <c r="D321" s="252" t="s">
        <v>164</v>
      </c>
      <c r="F321" s="655">
        <v>3538100.9900000026</v>
      </c>
      <c r="G321" s="329"/>
      <c r="H321" s="655">
        <v>407257.97999999992</v>
      </c>
      <c r="I321" s="329"/>
      <c r="J321" s="655">
        <v>0</v>
      </c>
      <c r="K321" s="329"/>
      <c r="L321" s="655">
        <v>0</v>
      </c>
      <c r="M321" s="329"/>
      <c r="N321" s="655">
        <v>0</v>
      </c>
      <c r="O321" s="329"/>
      <c r="P321" s="655">
        <v>0</v>
      </c>
      <c r="Q321" s="329"/>
      <c r="R321" s="655">
        <v>3945358.9700000025</v>
      </c>
      <c r="S321" s="329"/>
      <c r="T321" s="655">
        <v>3741208.1415384645</v>
      </c>
    </row>
    <row r="322" spans="1:20" ht="14.1" customHeight="1" x14ac:dyDescent="0.2">
      <c r="A322" s="252">
        <v>31</v>
      </c>
      <c r="B322" s="273"/>
      <c r="C322" s="267">
        <v>34635</v>
      </c>
      <c r="D322" s="252" t="s">
        <v>165</v>
      </c>
      <c r="F322" s="655">
        <v>0</v>
      </c>
      <c r="G322" s="329"/>
      <c r="H322" s="655">
        <v>0</v>
      </c>
      <c r="I322" s="329"/>
      <c r="J322" s="655">
        <v>0</v>
      </c>
      <c r="K322" s="329"/>
      <c r="L322" s="655">
        <v>0</v>
      </c>
      <c r="M322" s="329"/>
      <c r="N322" s="655">
        <v>0</v>
      </c>
      <c r="O322" s="329"/>
      <c r="P322" s="655">
        <v>0</v>
      </c>
      <c r="Q322" s="329"/>
      <c r="R322" s="655">
        <v>0</v>
      </c>
      <c r="S322" s="329"/>
      <c r="T322" s="655">
        <v>0</v>
      </c>
    </row>
    <row r="323" spans="1:20" ht="14.1" customHeight="1" x14ac:dyDescent="0.2">
      <c r="A323" s="252">
        <v>32</v>
      </c>
      <c r="B323" s="273"/>
      <c r="C323" s="269"/>
      <c r="D323" s="252" t="s">
        <v>235</v>
      </c>
      <c r="F323" s="664">
        <v>12621748.600000018</v>
      </c>
      <c r="G323" s="602"/>
      <c r="H323" s="664">
        <v>1244956.6899999997</v>
      </c>
      <c r="I323" s="602"/>
      <c r="J323" s="664">
        <v>-64166.61</v>
      </c>
      <c r="K323" s="602"/>
      <c r="L323" s="664">
        <v>-24737.949999999997</v>
      </c>
      <c r="M323" s="602"/>
      <c r="N323" s="664">
        <v>4332.9400000000014</v>
      </c>
      <c r="O323" s="602"/>
      <c r="P323" s="664">
        <v>0</v>
      </c>
      <c r="Q323" s="602"/>
      <c r="R323" s="664">
        <v>13782133.67000002</v>
      </c>
      <c r="S323" s="602"/>
      <c r="T323" s="664">
        <v>13224211.321538489</v>
      </c>
    </row>
    <row r="324" spans="1:20" ht="14.1" customHeight="1" x14ac:dyDescent="0.2">
      <c r="A324" s="252">
        <v>33</v>
      </c>
      <c r="B324" s="273"/>
    </row>
    <row r="325" spans="1:20" ht="14.1" customHeight="1" x14ac:dyDescent="0.2">
      <c r="A325" s="252">
        <v>34</v>
      </c>
      <c r="B325" s="273"/>
    </row>
    <row r="326" spans="1:20" ht="14.1" customHeight="1" x14ac:dyDescent="0.2">
      <c r="A326" s="252">
        <v>35</v>
      </c>
      <c r="B326" s="273"/>
    </row>
    <row r="327" spans="1:20" ht="14.1" customHeight="1" x14ac:dyDescent="0.2">
      <c r="A327" s="252">
        <v>36</v>
      </c>
      <c r="B327" s="273"/>
    </row>
    <row r="328" spans="1:20" ht="14.1" customHeight="1" x14ac:dyDescent="0.2">
      <c r="A328" s="252">
        <v>37</v>
      </c>
      <c r="B328" s="273"/>
    </row>
    <row r="329" spans="1:20" ht="14.1" customHeight="1" x14ac:dyDescent="0.2">
      <c r="A329" s="252">
        <v>38</v>
      </c>
      <c r="G329" s="602"/>
      <c r="I329" s="602"/>
      <c r="K329" s="602"/>
      <c r="M329" s="602"/>
      <c r="O329" s="602"/>
      <c r="Q329" s="602"/>
      <c r="S329" s="602"/>
    </row>
    <row r="330" spans="1:20" ht="14.1" customHeight="1" x14ac:dyDescent="0.2">
      <c r="A330" s="252">
        <v>39</v>
      </c>
      <c r="G330" s="602"/>
      <c r="I330" s="602"/>
      <c r="K330" s="602"/>
      <c r="M330" s="602"/>
      <c r="O330" s="602"/>
      <c r="Q330" s="602"/>
      <c r="S330" s="602"/>
    </row>
    <row r="331" spans="1:20" ht="14.1" customHeight="1" x14ac:dyDescent="0.2">
      <c r="A331" s="252">
        <v>40</v>
      </c>
      <c r="G331" s="602"/>
      <c r="I331" s="602"/>
      <c r="K331" s="602"/>
      <c r="M331" s="602"/>
      <c r="O331" s="602"/>
      <c r="Q331" s="602"/>
      <c r="S331" s="602"/>
    </row>
    <row r="332" spans="1:20" ht="14.1" customHeight="1" x14ac:dyDescent="0.2">
      <c r="A332" s="252">
        <v>41</v>
      </c>
      <c r="G332" s="602"/>
      <c r="I332" s="602"/>
      <c r="K332" s="602"/>
      <c r="M332" s="602"/>
      <c r="O332" s="602"/>
      <c r="Q332" s="602"/>
      <c r="S332" s="602"/>
    </row>
    <row r="333" spans="1:20" ht="14.1" customHeight="1" x14ac:dyDescent="0.2">
      <c r="A333" s="252">
        <v>42</v>
      </c>
      <c r="G333" s="602"/>
      <c r="I333" s="602"/>
      <c r="K333" s="602"/>
      <c r="M333" s="602"/>
      <c r="O333" s="602"/>
      <c r="Q333" s="602"/>
      <c r="S333" s="602"/>
    </row>
    <row r="334" spans="1:20" ht="14.1" customHeight="1" x14ac:dyDescent="0.2">
      <c r="A334" s="252">
        <v>43</v>
      </c>
      <c r="G334" s="602"/>
      <c r="I334" s="602"/>
      <c r="K334" s="602"/>
      <c r="M334" s="602"/>
      <c r="O334" s="602"/>
      <c r="Q334" s="602"/>
      <c r="S334" s="602"/>
    </row>
    <row r="335" spans="1:20" ht="14.1" customHeight="1" thickBot="1" x14ac:dyDescent="0.25">
      <c r="A335" s="252">
        <v>44</v>
      </c>
      <c r="B335" s="667" t="s">
        <v>186</v>
      </c>
      <c r="C335" s="296"/>
      <c r="D335" s="264"/>
      <c r="E335" s="264"/>
      <c r="F335" s="719"/>
      <c r="G335" s="719"/>
      <c r="H335" s="720"/>
      <c r="I335" s="720"/>
      <c r="J335" s="720"/>
      <c r="K335" s="720"/>
      <c r="L335" s="720"/>
      <c r="M335" s="720"/>
      <c r="N335" s="720"/>
      <c r="O335" s="720"/>
      <c r="P335" s="720"/>
      <c r="Q335" s="720"/>
      <c r="R335" s="720"/>
      <c r="S335" s="720"/>
      <c r="T335" s="720"/>
    </row>
    <row r="336" spans="1:20" ht="14.1" customHeight="1" x14ac:dyDescent="0.2">
      <c r="A336" s="252" t="s">
        <v>60</v>
      </c>
      <c r="R336" s="252" t="s">
        <v>60</v>
      </c>
    </row>
    <row r="337" spans="1:20" ht="14.1" customHeight="1" thickBot="1" x14ac:dyDescent="0.25">
      <c r="A337" s="264" t="s">
        <v>301</v>
      </c>
      <c r="B337" s="264"/>
      <c r="C337" s="264"/>
      <c r="D337" s="264"/>
      <c r="E337" s="264"/>
      <c r="F337" s="264" t="s">
        <v>302</v>
      </c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  <c r="R337" s="264"/>
      <c r="S337" s="264"/>
      <c r="T337" s="264" t="s">
        <v>329</v>
      </c>
    </row>
    <row r="338" spans="1:20" ht="14.1" customHeight="1" x14ac:dyDescent="0.2">
      <c r="A338" s="252" t="s">
        <v>129</v>
      </c>
      <c r="B338" s="285"/>
      <c r="E338" s="260" t="s">
        <v>130</v>
      </c>
      <c r="F338" s="252" t="s">
        <v>303</v>
      </c>
      <c r="J338" s="286"/>
      <c r="K338" s="286"/>
      <c r="P338" s="286"/>
      <c r="Q338" s="286"/>
      <c r="R338" s="286" t="s">
        <v>132</v>
      </c>
      <c r="T338" s="261"/>
    </row>
    <row r="339" spans="1:20" ht="14.1" customHeight="1" x14ac:dyDescent="0.2">
      <c r="B339" s="285"/>
      <c r="F339" s="252" t="s">
        <v>1399</v>
      </c>
      <c r="J339" s="260"/>
      <c r="K339" s="261"/>
      <c r="P339" s="260"/>
      <c r="Q339" s="260" t="s">
        <v>123</v>
      </c>
      <c r="R339" s="261" t="s">
        <v>1407</v>
      </c>
      <c r="T339" s="260"/>
    </row>
    <row r="340" spans="1:20" ht="14.1" customHeight="1" x14ac:dyDescent="0.2">
      <c r="A340" s="252" t="s">
        <v>134</v>
      </c>
      <c r="B340" s="285"/>
      <c r="F340" s="252" t="s">
        <v>123</v>
      </c>
      <c r="J340" s="260"/>
      <c r="K340" s="261"/>
      <c r="L340" s="260"/>
      <c r="N340" s="260"/>
      <c r="Q340" s="260" t="s">
        <v>123</v>
      </c>
      <c r="R340" s="261">
        <v>0</v>
      </c>
      <c r="T340" s="260"/>
    </row>
    <row r="341" spans="1:20" ht="14.1" customHeight="1" x14ac:dyDescent="0.2">
      <c r="B341" s="285"/>
      <c r="F341" s="252" t="s">
        <v>123</v>
      </c>
      <c r="J341" s="260"/>
      <c r="K341" s="261"/>
      <c r="L341" s="260"/>
      <c r="N341" s="260"/>
      <c r="Q341" s="260" t="s">
        <v>123</v>
      </c>
      <c r="R341" s="261"/>
      <c r="T341" s="260"/>
    </row>
    <row r="342" spans="1:20" ht="14.1" customHeight="1" thickBot="1" x14ac:dyDescent="0.25">
      <c r="A342" s="264" t="s">
        <v>135</v>
      </c>
      <c r="B342" s="287"/>
      <c r="C342" s="264"/>
      <c r="D342" s="264"/>
      <c r="E342" s="264"/>
      <c r="F342" s="264" t="s">
        <v>123</v>
      </c>
      <c r="G342" s="264"/>
      <c r="H342" s="266"/>
      <c r="I342" s="264"/>
      <c r="J342" s="264"/>
      <c r="K342" s="264"/>
      <c r="L342" s="264"/>
      <c r="M342" s="264"/>
      <c r="N342" s="264"/>
      <c r="O342" s="264"/>
      <c r="P342" s="264"/>
      <c r="Q342" s="264"/>
      <c r="R342" s="288"/>
      <c r="S342" s="264"/>
      <c r="T342" s="264"/>
    </row>
    <row r="343" spans="1:20" ht="14.1" customHeight="1" x14ac:dyDescent="0.2"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7"/>
      <c r="T343" s="267"/>
    </row>
    <row r="344" spans="1:20" ht="14.1" customHeight="1" x14ac:dyDescent="0.2">
      <c r="C344" s="267" t="s">
        <v>136</v>
      </c>
      <c r="D344" s="267" t="s">
        <v>137</v>
      </c>
      <c r="E344" s="267"/>
      <c r="F344" s="267" t="s">
        <v>138</v>
      </c>
      <c r="G344" s="267"/>
      <c r="H344" s="267" t="s">
        <v>139</v>
      </c>
      <c r="I344" s="267"/>
      <c r="J344" s="269" t="s">
        <v>140</v>
      </c>
      <c r="L344" s="267" t="s">
        <v>141</v>
      </c>
      <c r="M344" s="267"/>
      <c r="N344" s="267" t="s">
        <v>142</v>
      </c>
      <c r="O344" s="267"/>
      <c r="P344" s="267" t="s">
        <v>143</v>
      </c>
      <c r="Q344" s="267"/>
      <c r="R344" s="267" t="s">
        <v>144</v>
      </c>
      <c r="S344" s="267"/>
      <c r="T344" s="267" t="s">
        <v>305</v>
      </c>
    </row>
    <row r="345" spans="1:20" ht="14.1" customHeight="1" x14ac:dyDescent="0.2">
      <c r="C345" s="269" t="s">
        <v>145</v>
      </c>
      <c r="D345" s="269" t="s">
        <v>145</v>
      </c>
      <c r="F345" s="267" t="s">
        <v>41</v>
      </c>
      <c r="G345" s="269"/>
      <c r="H345" s="267" t="s">
        <v>40</v>
      </c>
      <c r="I345" s="269"/>
      <c r="J345" s="267"/>
      <c r="K345" s="269"/>
      <c r="L345" s="269"/>
      <c r="M345" s="269"/>
      <c r="N345" s="269"/>
      <c r="O345" s="269"/>
      <c r="P345" s="269"/>
      <c r="Q345" s="269"/>
      <c r="R345" s="269" t="s">
        <v>41</v>
      </c>
      <c r="T345" s="269"/>
    </row>
    <row r="346" spans="1:20" ht="14.1" customHeight="1" x14ac:dyDescent="0.2">
      <c r="A346" s="252" t="s">
        <v>146</v>
      </c>
      <c r="B346" s="269"/>
      <c r="C346" s="269" t="s">
        <v>147</v>
      </c>
      <c r="D346" s="269" t="s">
        <v>147</v>
      </c>
      <c r="E346" s="267"/>
      <c r="F346" s="269" t="s">
        <v>6</v>
      </c>
      <c r="G346" s="269"/>
      <c r="H346" s="269" t="s">
        <v>6</v>
      </c>
      <c r="I346" s="269"/>
      <c r="J346" s="269"/>
      <c r="K346" s="267"/>
      <c r="L346" s="269" t="s">
        <v>306</v>
      </c>
      <c r="M346" s="269"/>
      <c r="N346" s="269" t="s">
        <v>306</v>
      </c>
      <c r="O346" s="269"/>
      <c r="P346" s="269" t="s">
        <v>150</v>
      </c>
      <c r="Q346" s="267"/>
      <c r="R346" s="267" t="s">
        <v>6</v>
      </c>
      <c r="S346" s="267"/>
      <c r="T346" s="269" t="s">
        <v>151</v>
      </c>
    </row>
    <row r="347" spans="1:20" ht="14.1" customHeight="1" thickBot="1" x14ac:dyDescent="0.25">
      <c r="A347" s="264" t="s">
        <v>152</v>
      </c>
      <c r="B347" s="266"/>
      <c r="C347" s="266" t="s">
        <v>52</v>
      </c>
      <c r="D347" s="266" t="s">
        <v>153</v>
      </c>
      <c r="E347" s="266"/>
      <c r="F347" s="270" t="s">
        <v>154</v>
      </c>
      <c r="G347" s="270"/>
      <c r="H347" s="270" t="s">
        <v>307</v>
      </c>
      <c r="I347" s="271"/>
      <c r="J347" s="270" t="s">
        <v>18</v>
      </c>
      <c r="K347" s="271"/>
      <c r="L347" s="270" t="s">
        <v>19</v>
      </c>
      <c r="M347" s="271"/>
      <c r="N347" s="270" t="s">
        <v>54</v>
      </c>
      <c r="O347" s="271"/>
      <c r="P347" s="272" t="s">
        <v>157</v>
      </c>
      <c r="Q347" s="272"/>
      <c r="R347" s="272" t="s">
        <v>158</v>
      </c>
      <c r="S347" s="272"/>
      <c r="T347" s="272" t="s">
        <v>3</v>
      </c>
    </row>
    <row r="348" spans="1:20" ht="14.1" customHeight="1" x14ac:dyDescent="0.2">
      <c r="A348" s="252">
        <v>1</v>
      </c>
      <c r="B348" s="273"/>
    </row>
    <row r="349" spans="1:20" ht="14.1" customHeight="1" x14ac:dyDescent="0.2">
      <c r="A349" s="252">
        <v>2</v>
      </c>
      <c r="B349" s="273"/>
      <c r="C349" s="269"/>
      <c r="D349" s="252" t="s">
        <v>236</v>
      </c>
      <c r="G349" s="602"/>
      <c r="I349" s="602"/>
      <c r="K349" s="602"/>
      <c r="M349" s="602"/>
      <c r="O349" s="602"/>
      <c r="P349" s="283"/>
      <c r="Q349" s="602"/>
      <c r="S349" s="602"/>
    </row>
    <row r="350" spans="1:20" ht="14.1" customHeight="1" x14ac:dyDescent="0.2">
      <c r="A350" s="252">
        <v>3</v>
      </c>
      <c r="B350" s="273"/>
      <c r="C350" s="267">
        <v>34136</v>
      </c>
      <c r="D350" s="252" t="s">
        <v>161</v>
      </c>
      <c r="F350" s="655">
        <v>309934.16000000009</v>
      </c>
      <c r="G350" s="329"/>
      <c r="H350" s="655">
        <v>69062.039999999994</v>
      </c>
      <c r="I350" s="329"/>
      <c r="J350" s="655">
        <v>0</v>
      </c>
      <c r="K350" s="329"/>
      <c r="L350" s="655">
        <v>0</v>
      </c>
      <c r="M350" s="329"/>
      <c r="N350" s="655">
        <v>0</v>
      </c>
      <c r="O350" s="329"/>
      <c r="P350" s="655">
        <v>0</v>
      </c>
      <c r="Q350" s="329"/>
      <c r="R350" s="655">
        <v>378996.20000000007</v>
      </c>
      <c r="S350" s="329"/>
      <c r="T350" s="655">
        <v>344465.18</v>
      </c>
    </row>
    <row r="351" spans="1:20" ht="14.1" customHeight="1" x14ac:dyDescent="0.2">
      <c r="A351" s="252">
        <v>4</v>
      </c>
      <c r="B351" s="273"/>
      <c r="C351" s="267">
        <v>34236</v>
      </c>
      <c r="D351" s="252" t="s">
        <v>206</v>
      </c>
      <c r="F351" s="655">
        <v>365568.74000000011</v>
      </c>
      <c r="G351" s="329"/>
      <c r="H351" s="655">
        <v>55341.960000000014</v>
      </c>
      <c r="I351" s="329"/>
      <c r="J351" s="655">
        <v>0</v>
      </c>
      <c r="K351" s="329"/>
      <c r="L351" s="655">
        <v>-1827.0699999999997</v>
      </c>
      <c r="M351" s="329"/>
      <c r="N351" s="655">
        <v>321.30000000000007</v>
      </c>
      <c r="O351" s="329"/>
      <c r="P351" s="655">
        <v>0</v>
      </c>
      <c r="Q351" s="329"/>
      <c r="R351" s="655">
        <v>419404.93000000011</v>
      </c>
      <c r="S351" s="329"/>
      <c r="T351" s="655">
        <v>392165.43307692313</v>
      </c>
    </row>
    <row r="352" spans="1:20" ht="14.1" customHeight="1" x14ac:dyDescent="0.2">
      <c r="A352" s="252">
        <v>5</v>
      </c>
      <c r="B352" s="273"/>
      <c r="C352" s="267">
        <v>34336</v>
      </c>
      <c r="D352" s="252" t="s">
        <v>207</v>
      </c>
      <c r="F352" s="655">
        <v>8817953.089999998</v>
      </c>
      <c r="G352" s="329"/>
      <c r="H352" s="655">
        <v>699157.08</v>
      </c>
      <c r="I352" s="329"/>
      <c r="J352" s="655">
        <v>-70601.22</v>
      </c>
      <c r="K352" s="329"/>
      <c r="L352" s="655">
        <v>-20910.559999999998</v>
      </c>
      <c r="M352" s="329"/>
      <c r="N352" s="655">
        <v>3668.1399999999985</v>
      </c>
      <c r="O352" s="329"/>
      <c r="P352" s="655">
        <v>0</v>
      </c>
      <c r="Q352" s="329"/>
      <c r="R352" s="655">
        <v>9429266.5299999975</v>
      </c>
      <c r="S352" s="329"/>
      <c r="T352" s="655">
        <v>9149877.5092307664</v>
      </c>
    </row>
    <row r="353" spans="1:20" ht="14.1" customHeight="1" x14ac:dyDescent="0.2">
      <c r="A353" s="252">
        <v>6</v>
      </c>
      <c r="B353" s="273"/>
      <c r="C353" s="267">
        <v>34536</v>
      </c>
      <c r="D353" s="252" t="s">
        <v>164</v>
      </c>
      <c r="F353" s="655">
        <v>4871263.5900000036</v>
      </c>
      <c r="G353" s="329"/>
      <c r="H353" s="655">
        <v>569365.15999999992</v>
      </c>
      <c r="I353" s="329"/>
      <c r="J353" s="655">
        <v>0</v>
      </c>
      <c r="K353" s="329"/>
      <c r="L353" s="655">
        <v>0</v>
      </c>
      <c r="M353" s="329"/>
      <c r="N353" s="655">
        <v>0</v>
      </c>
      <c r="O353" s="329"/>
      <c r="P353" s="655">
        <v>0</v>
      </c>
      <c r="Q353" s="329"/>
      <c r="R353" s="655">
        <v>5440628.7500000037</v>
      </c>
      <c r="S353" s="329"/>
      <c r="T353" s="655">
        <v>5155563.1546153892</v>
      </c>
    </row>
    <row r="354" spans="1:20" ht="14.1" customHeight="1" x14ac:dyDescent="0.2">
      <c r="A354" s="252">
        <v>7</v>
      </c>
      <c r="B354" s="273"/>
      <c r="C354" s="267">
        <v>34636</v>
      </c>
      <c r="D354" s="252" t="s">
        <v>165</v>
      </c>
      <c r="F354" s="655">
        <v>4176.1199999999917</v>
      </c>
      <c r="G354" s="329"/>
      <c r="H354" s="655">
        <v>469.44</v>
      </c>
      <c r="I354" s="329"/>
      <c r="J354" s="655">
        <v>0</v>
      </c>
      <c r="K354" s="329"/>
      <c r="L354" s="655">
        <v>0</v>
      </c>
      <c r="M354" s="329"/>
      <c r="N354" s="655">
        <v>0</v>
      </c>
      <c r="O354" s="329"/>
      <c r="P354" s="655">
        <v>0</v>
      </c>
      <c r="Q354" s="329"/>
      <c r="R354" s="655">
        <v>4645.5599999999913</v>
      </c>
      <c r="S354" s="329"/>
      <c r="T354" s="655">
        <v>4410.8399999999911</v>
      </c>
    </row>
    <row r="355" spans="1:20" ht="14.1" customHeight="1" x14ac:dyDescent="0.2">
      <c r="A355" s="252">
        <v>8</v>
      </c>
      <c r="B355" s="273"/>
      <c r="C355" s="269"/>
      <c r="D355" s="252" t="s">
        <v>237</v>
      </c>
      <c r="F355" s="664">
        <v>14368895.700000001</v>
      </c>
      <c r="G355" s="602"/>
      <c r="H355" s="664">
        <v>1393395.6799999997</v>
      </c>
      <c r="I355" s="602"/>
      <c r="J355" s="664">
        <v>-70601.22</v>
      </c>
      <c r="K355" s="602"/>
      <c r="L355" s="664">
        <v>-22737.629999999997</v>
      </c>
      <c r="M355" s="602"/>
      <c r="N355" s="664">
        <v>3989.4399999999987</v>
      </c>
      <c r="O355" s="602"/>
      <c r="P355" s="664">
        <v>0</v>
      </c>
      <c r="Q355" s="602"/>
      <c r="R355" s="664">
        <v>15672941.970000003</v>
      </c>
      <c r="S355" s="602"/>
      <c r="T355" s="664">
        <v>15046482.116923079</v>
      </c>
    </row>
    <row r="356" spans="1:20" ht="14.1" customHeight="1" x14ac:dyDescent="0.2">
      <c r="A356" s="252">
        <v>9</v>
      </c>
      <c r="B356" s="273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2"/>
      <c r="R356" s="602"/>
      <c r="S356" s="602"/>
      <c r="T356" s="602"/>
    </row>
    <row r="357" spans="1:20" ht="14.1" customHeight="1" x14ac:dyDescent="0.2">
      <c r="A357" s="252">
        <v>10</v>
      </c>
      <c r="B357" s="273"/>
      <c r="C357" s="267">
        <v>34637</v>
      </c>
      <c r="D357" s="252" t="s">
        <v>1377</v>
      </c>
      <c r="F357" s="655">
        <v>484555.71000000008</v>
      </c>
      <c r="G357" s="329"/>
      <c r="H357" s="655">
        <v>75583.77</v>
      </c>
      <c r="I357" s="329"/>
      <c r="J357" s="655">
        <v>-259168.02000000002</v>
      </c>
      <c r="K357" s="329"/>
      <c r="L357" s="655">
        <v>0</v>
      </c>
      <c r="M357" s="329"/>
      <c r="N357" s="655">
        <v>0</v>
      </c>
      <c r="O357" s="329"/>
      <c r="P357" s="655">
        <v>12926.24</v>
      </c>
      <c r="Q357" s="329"/>
      <c r="R357" s="655">
        <v>313897.70000000007</v>
      </c>
      <c r="S357" s="329"/>
      <c r="T357" s="655">
        <v>341085.7146153847</v>
      </c>
    </row>
    <row r="358" spans="1:20" ht="14.1" customHeight="1" x14ac:dyDescent="0.2">
      <c r="A358" s="252">
        <v>11</v>
      </c>
      <c r="B358" s="273"/>
    </row>
    <row r="359" spans="1:20" ht="14.1" customHeight="1" thickBot="1" x14ac:dyDescent="0.25">
      <c r="A359" s="252">
        <v>12</v>
      </c>
      <c r="B359" s="273"/>
      <c r="C359" s="269"/>
      <c r="D359" s="83" t="s">
        <v>73</v>
      </c>
      <c r="E359" s="83"/>
      <c r="F359" s="665">
        <v>347243534.75999999</v>
      </c>
      <c r="G359" s="665"/>
      <c r="H359" s="665">
        <v>39924008.399999991</v>
      </c>
      <c r="I359" s="666"/>
      <c r="J359" s="665">
        <v>-3532220.3000000003</v>
      </c>
      <c r="K359" s="666"/>
      <c r="L359" s="665">
        <v>-1392190.08</v>
      </c>
      <c r="M359" s="666"/>
      <c r="N359" s="665">
        <v>173418.9</v>
      </c>
      <c r="O359" s="666"/>
      <c r="P359" s="665">
        <v>12926.24</v>
      </c>
      <c r="Q359" s="666"/>
      <c r="R359" s="665">
        <v>382429477.92000002</v>
      </c>
      <c r="S359" s="666"/>
      <c r="T359" s="665">
        <v>364460878.76769233</v>
      </c>
    </row>
    <row r="360" spans="1:20" ht="14.1" customHeight="1" thickTop="1" x14ac:dyDescent="0.2">
      <c r="A360" s="252">
        <v>13</v>
      </c>
      <c r="B360" s="273"/>
    </row>
    <row r="361" spans="1:20" ht="14.1" customHeight="1" x14ac:dyDescent="0.2">
      <c r="A361" s="252">
        <v>14</v>
      </c>
      <c r="B361" s="273"/>
      <c r="D361" s="677" t="s">
        <v>841</v>
      </c>
    </row>
    <row r="362" spans="1:20" ht="14.1" customHeight="1" x14ac:dyDescent="0.2">
      <c r="A362" s="252">
        <v>15</v>
      </c>
      <c r="B362" s="273"/>
      <c r="C362" s="267">
        <v>34199</v>
      </c>
      <c r="D362" s="252" t="s">
        <v>239</v>
      </c>
      <c r="F362" s="655">
        <v>5959129.6600000001</v>
      </c>
      <c r="G362" s="329"/>
      <c r="H362" s="655">
        <v>7166926.8699999992</v>
      </c>
      <c r="I362" s="329"/>
      <c r="J362" s="655">
        <v>0</v>
      </c>
      <c r="K362" s="329"/>
      <c r="L362" s="655">
        <v>0</v>
      </c>
      <c r="M362" s="329"/>
      <c r="N362" s="655">
        <v>0</v>
      </c>
      <c r="O362" s="329"/>
      <c r="P362" s="655">
        <v>0</v>
      </c>
      <c r="Q362" s="329"/>
      <c r="R362" s="655">
        <v>13126056.529999999</v>
      </c>
      <c r="S362" s="329"/>
      <c r="T362" s="655">
        <v>9319327.211538462</v>
      </c>
    </row>
    <row r="363" spans="1:20" ht="14.1" customHeight="1" x14ac:dyDescent="0.2">
      <c r="A363" s="252">
        <v>16</v>
      </c>
      <c r="B363" s="273"/>
      <c r="C363" s="269">
        <v>34399</v>
      </c>
      <c r="D363" s="252" t="s">
        <v>313</v>
      </c>
      <c r="F363" s="655">
        <v>11221756.060000001</v>
      </c>
      <c r="G363" s="329"/>
      <c r="H363" s="655">
        <v>11114166.98</v>
      </c>
      <c r="I363" s="329"/>
      <c r="J363" s="655">
        <v>0</v>
      </c>
      <c r="K363" s="329"/>
      <c r="L363" s="655">
        <v>0</v>
      </c>
      <c r="M363" s="329"/>
      <c r="N363" s="655">
        <v>0</v>
      </c>
      <c r="O363" s="329"/>
      <c r="P363" s="655">
        <v>0</v>
      </c>
      <c r="Q363" s="329"/>
      <c r="R363" s="655">
        <v>22335923.039999999</v>
      </c>
      <c r="S363" s="329"/>
      <c r="T363" s="655">
        <v>16694953.097692309</v>
      </c>
    </row>
    <row r="364" spans="1:20" ht="14.1" customHeight="1" x14ac:dyDescent="0.2">
      <c r="A364" s="252">
        <v>17</v>
      </c>
      <c r="B364" s="273"/>
      <c r="C364" s="269">
        <v>34599</v>
      </c>
      <c r="D364" s="252" t="s">
        <v>241</v>
      </c>
      <c r="F364" s="655">
        <v>3766749.69</v>
      </c>
      <c r="G364" s="329"/>
      <c r="H364" s="655">
        <v>4423391.93</v>
      </c>
      <c r="I364" s="329"/>
      <c r="J364" s="655">
        <v>0</v>
      </c>
      <c r="K364" s="329"/>
      <c r="L364" s="655">
        <v>0</v>
      </c>
      <c r="M364" s="329"/>
      <c r="N364" s="655">
        <v>0</v>
      </c>
      <c r="O364" s="329"/>
      <c r="P364" s="655">
        <v>0</v>
      </c>
      <c r="Q364" s="329"/>
      <c r="R364" s="655">
        <v>8190141.6199999992</v>
      </c>
      <c r="S364" s="329"/>
      <c r="T364" s="655">
        <v>5777080.363846154</v>
      </c>
    </row>
    <row r="365" spans="1:20" ht="14.1" customHeight="1" x14ac:dyDescent="0.2">
      <c r="A365" s="252">
        <v>18</v>
      </c>
      <c r="B365" s="273"/>
      <c r="C365" s="269"/>
      <c r="D365" s="83" t="s">
        <v>398</v>
      </c>
      <c r="F365" s="676">
        <v>20947635.41</v>
      </c>
      <c r="H365" s="676">
        <v>22704485.780000001</v>
      </c>
      <c r="I365" s="602"/>
      <c r="J365" s="676">
        <v>0</v>
      </c>
      <c r="K365" s="602"/>
      <c r="L365" s="676">
        <v>0</v>
      </c>
      <c r="M365" s="602"/>
      <c r="N365" s="676">
        <v>0</v>
      </c>
      <c r="O365" s="602"/>
      <c r="P365" s="676">
        <v>0</v>
      </c>
      <c r="Q365" s="602"/>
      <c r="R365" s="676">
        <v>43652121.189999998</v>
      </c>
      <c r="S365" s="602"/>
      <c r="T365" s="676">
        <v>31791360.673076924</v>
      </c>
    </row>
    <row r="366" spans="1:20" ht="14.1" customHeight="1" x14ac:dyDescent="0.2">
      <c r="A366" s="252">
        <v>19</v>
      </c>
      <c r="B366" s="273"/>
    </row>
    <row r="367" spans="1:20" ht="14.1" customHeight="1" x14ac:dyDescent="0.2">
      <c r="A367" s="252">
        <v>20</v>
      </c>
      <c r="B367" s="273"/>
      <c r="D367" s="677" t="s">
        <v>1378</v>
      </c>
    </row>
    <row r="368" spans="1:20" ht="14.1" customHeight="1" x14ac:dyDescent="0.2">
      <c r="A368" s="252">
        <v>21</v>
      </c>
      <c r="B368" s="273"/>
      <c r="C368" s="267">
        <v>34800</v>
      </c>
      <c r="D368" s="252" t="s">
        <v>1379</v>
      </c>
      <c r="F368" s="655">
        <v>0</v>
      </c>
      <c r="G368" s="329"/>
      <c r="H368" s="655">
        <v>0</v>
      </c>
      <c r="I368" s="329"/>
      <c r="J368" s="655">
        <v>0</v>
      </c>
      <c r="K368" s="329"/>
      <c r="L368" s="655">
        <v>0</v>
      </c>
      <c r="M368" s="329"/>
      <c r="N368" s="655">
        <v>0</v>
      </c>
      <c r="O368" s="329"/>
      <c r="P368" s="655">
        <v>0</v>
      </c>
      <c r="Q368" s="329"/>
      <c r="R368" s="655">
        <v>0</v>
      </c>
      <c r="S368" s="329"/>
      <c r="T368" s="655">
        <v>0</v>
      </c>
    </row>
    <row r="369" spans="1:20" ht="14.1" customHeight="1" x14ac:dyDescent="0.2">
      <c r="A369" s="252">
        <v>22</v>
      </c>
      <c r="B369" s="273"/>
      <c r="C369" s="267">
        <v>34899</v>
      </c>
      <c r="D369" s="252" t="s">
        <v>1380</v>
      </c>
      <c r="F369" s="655">
        <v>0</v>
      </c>
      <c r="G369" s="329"/>
      <c r="H369" s="655">
        <v>302067.90000000002</v>
      </c>
      <c r="I369" s="329"/>
      <c r="J369" s="655">
        <v>0</v>
      </c>
      <c r="K369" s="329"/>
      <c r="L369" s="655">
        <v>-33857.53</v>
      </c>
      <c r="M369" s="329"/>
      <c r="N369" s="655">
        <v>3644.2000000000003</v>
      </c>
      <c r="O369" s="329"/>
      <c r="P369" s="655">
        <v>0</v>
      </c>
      <c r="Q369" s="329"/>
      <c r="R369" s="655">
        <v>271854.57</v>
      </c>
      <c r="S369" s="329"/>
      <c r="T369" s="655">
        <v>48964.601538461546</v>
      </c>
    </row>
    <row r="370" spans="1:20" ht="14.1" customHeight="1" x14ac:dyDescent="0.2">
      <c r="A370" s="252">
        <v>23</v>
      </c>
      <c r="C370" s="267">
        <v>34388</v>
      </c>
      <c r="D370" s="252" t="s">
        <v>1381</v>
      </c>
      <c r="F370" s="655">
        <v>0</v>
      </c>
      <c r="G370" s="329"/>
      <c r="H370" s="655">
        <v>0</v>
      </c>
      <c r="I370" s="329"/>
      <c r="J370" s="655">
        <v>0</v>
      </c>
      <c r="K370" s="329"/>
      <c r="L370" s="655">
        <v>0</v>
      </c>
      <c r="M370" s="329"/>
      <c r="N370" s="655">
        <v>0</v>
      </c>
      <c r="O370" s="329"/>
      <c r="P370" s="655">
        <v>0</v>
      </c>
      <c r="Q370" s="329"/>
      <c r="R370" s="655">
        <v>0</v>
      </c>
      <c r="S370" s="329"/>
      <c r="T370" s="655">
        <v>0</v>
      </c>
    </row>
    <row r="371" spans="1:20" ht="14.1" customHeight="1" x14ac:dyDescent="0.2">
      <c r="A371" s="252">
        <v>24</v>
      </c>
      <c r="D371" s="83" t="s">
        <v>1382</v>
      </c>
      <c r="F371" s="676">
        <v>0</v>
      </c>
      <c r="H371" s="676">
        <v>302067.90000000002</v>
      </c>
      <c r="I371" s="602"/>
      <c r="J371" s="676">
        <v>0</v>
      </c>
      <c r="K371" s="602"/>
      <c r="L371" s="676">
        <v>-33857.53</v>
      </c>
      <c r="M371" s="602"/>
      <c r="N371" s="676">
        <v>3644.2000000000003</v>
      </c>
      <c r="O371" s="602"/>
      <c r="P371" s="676">
        <v>0</v>
      </c>
      <c r="Q371" s="602"/>
      <c r="R371" s="676">
        <v>271854.57</v>
      </c>
      <c r="S371" s="602"/>
      <c r="T371" s="676">
        <v>48964.601538461546</v>
      </c>
    </row>
    <row r="372" spans="1:20" ht="14.1" customHeight="1" x14ac:dyDescent="0.2">
      <c r="A372" s="252">
        <v>25</v>
      </c>
    </row>
    <row r="373" spans="1:20" ht="14.1" customHeight="1" thickBot="1" x14ac:dyDescent="0.25">
      <c r="A373" s="252">
        <v>26</v>
      </c>
      <c r="B373" s="273"/>
      <c r="C373" s="267"/>
      <c r="D373" s="83" t="s">
        <v>66</v>
      </c>
      <c r="E373" s="83"/>
      <c r="F373" s="665">
        <v>768082836.36999989</v>
      </c>
      <c r="G373" s="666"/>
      <c r="H373" s="665">
        <v>107682509.99000001</v>
      </c>
      <c r="I373" s="666"/>
      <c r="J373" s="665">
        <v>-9422511.7599999998</v>
      </c>
      <c r="K373" s="666"/>
      <c r="L373" s="665">
        <v>-3841618.83</v>
      </c>
      <c r="M373" s="666"/>
      <c r="N373" s="665">
        <v>384063.35999999993</v>
      </c>
      <c r="O373" s="666"/>
      <c r="P373" s="665">
        <v>1.8189894035458565E-12</v>
      </c>
      <c r="Q373" s="666"/>
      <c r="R373" s="665">
        <v>862885279.12999976</v>
      </c>
      <c r="S373" s="666"/>
      <c r="T373" s="665">
        <v>816585262.13461518</v>
      </c>
    </row>
    <row r="374" spans="1:20" ht="14.1" customHeight="1" thickTop="1" x14ac:dyDescent="0.2">
      <c r="A374" s="252">
        <v>27</v>
      </c>
      <c r="B374" s="273"/>
    </row>
    <row r="375" spans="1:20" ht="14.1" customHeight="1" thickBot="1" x14ac:dyDescent="0.25">
      <c r="A375" s="252">
        <v>28</v>
      </c>
      <c r="B375" s="273"/>
      <c r="C375" s="269"/>
      <c r="D375" s="83" t="s">
        <v>67</v>
      </c>
      <c r="F375" s="665">
        <v>1566348882.4100001</v>
      </c>
      <c r="G375" s="666"/>
      <c r="H375" s="665">
        <v>182490228.75</v>
      </c>
      <c r="I375" s="666"/>
      <c r="J375" s="665">
        <v>-35008543.370000005</v>
      </c>
      <c r="K375" s="666"/>
      <c r="L375" s="665">
        <v>-28663744.899999999</v>
      </c>
      <c r="M375" s="666"/>
      <c r="N375" s="665">
        <v>785488.78</v>
      </c>
      <c r="O375" s="666"/>
      <c r="P375" s="665">
        <v>1.8189894035458565E-12</v>
      </c>
      <c r="Q375" s="666"/>
      <c r="R375" s="665">
        <v>1685952311.6700001</v>
      </c>
      <c r="S375" s="666"/>
      <c r="T375" s="665">
        <v>1623765612.930769</v>
      </c>
    </row>
    <row r="376" spans="1:20" ht="14.1" customHeight="1" thickTop="1" x14ac:dyDescent="0.2">
      <c r="A376" s="252">
        <v>29</v>
      </c>
      <c r="B376" s="273"/>
    </row>
    <row r="377" spans="1:20" ht="14.1" customHeight="1" x14ac:dyDescent="0.2">
      <c r="A377" s="252">
        <v>30</v>
      </c>
      <c r="B377" s="273"/>
      <c r="C377" s="269"/>
      <c r="D377" s="298" t="s">
        <v>124</v>
      </c>
      <c r="E377" s="280"/>
      <c r="F377" s="276"/>
      <c r="G377" s="602"/>
      <c r="H377" s="602"/>
      <c r="I377" s="602"/>
      <c r="J377" s="602"/>
      <c r="K377" s="602"/>
      <c r="L377" s="602"/>
      <c r="M377" s="602"/>
      <c r="N377" s="602"/>
      <c r="O377" s="602"/>
      <c r="P377" s="602"/>
      <c r="Q377" s="602"/>
      <c r="R377" s="602"/>
      <c r="S377" s="602"/>
      <c r="T377" s="602"/>
    </row>
    <row r="378" spans="1:20" ht="14.1" customHeight="1" x14ac:dyDescent="0.2">
      <c r="A378" s="252">
        <v>31</v>
      </c>
      <c r="B378" s="273"/>
      <c r="C378" s="267">
        <v>35001</v>
      </c>
      <c r="D378" s="252" t="s">
        <v>242</v>
      </c>
      <c r="F378" s="655">
        <v>4298903.6400000043</v>
      </c>
      <c r="G378" s="329"/>
      <c r="H378" s="655">
        <v>157694.91999999998</v>
      </c>
      <c r="I378" s="329"/>
      <c r="J378" s="655">
        <v>0</v>
      </c>
      <c r="K378" s="329"/>
      <c r="L378" s="655">
        <v>0</v>
      </c>
      <c r="M378" s="329"/>
      <c r="N378" s="655">
        <v>0</v>
      </c>
      <c r="O378" s="329"/>
      <c r="P378" s="655">
        <v>0</v>
      </c>
      <c r="Q378" s="329"/>
      <c r="R378" s="655">
        <v>4456598.5600000042</v>
      </c>
      <c r="S378" s="329"/>
      <c r="T378" s="655">
        <v>4377681.7646153886</v>
      </c>
    </row>
    <row r="379" spans="1:20" ht="14.1" customHeight="1" x14ac:dyDescent="0.2">
      <c r="A379" s="252">
        <v>32</v>
      </c>
      <c r="B379" s="292"/>
      <c r="C379" s="267">
        <v>35200</v>
      </c>
      <c r="D379" s="252" t="s">
        <v>243</v>
      </c>
      <c r="F379" s="655">
        <v>10506291.360000007</v>
      </c>
      <c r="G379" s="329"/>
      <c r="H379" s="655">
        <v>883713.25000000012</v>
      </c>
      <c r="I379" s="329"/>
      <c r="J379" s="655">
        <v>-16795.13</v>
      </c>
      <c r="K379" s="329"/>
      <c r="L379" s="655">
        <v>-3693.6200000000003</v>
      </c>
      <c r="M379" s="329"/>
      <c r="N379" s="655">
        <v>0</v>
      </c>
      <c r="O379" s="329"/>
      <c r="P379" s="655">
        <v>0</v>
      </c>
      <c r="Q379" s="329"/>
      <c r="R379" s="655">
        <v>11369515.860000007</v>
      </c>
      <c r="S379" s="329"/>
      <c r="T379" s="655">
        <v>10926384.251538467</v>
      </c>
    </row>
    <row r="380" spans="1:20" ht="14.1" customHeight="1" x14ac:dyDescent="0.2">
      <c r="A380" s="252">
        <v>33</v>
      </c>
      <c r="B380" s="292"/>
      <c r="C380" s="267">
        <v>35300</v>
      </c>
      <c r="D380" s="280" t="s">
        <v>244</v>
      </c>
      <c r="E380" s="280"/>
      <c r="F380" s="655">
        <v>69030066.219999894</v>
      </c>
      <c r="G380" s="329"/>
      <c r="H380" s="655">
        <v>7792038.2300000004</v>
      </c>
      <c r="I380" s="329"/>
      <c r="J380" s="655">
        <v>-3462212.83</v>
      </c>
      <c r="K380" s="329"/>
      <c r="L380" s="655">
        <v>-985022.94999999972</v>
      </c>
      <c r="M380" s="329"/>
      <c r="N380" s="655">
        <v>81045.53</v>
      </c>
      <c r="O380" s="329"/>
      <c r="P380" s="655">
        <v>-6839.9999999999991</v>
      </c>
      <c r="Q380" s="329"/>
      <c r="R380" s="655">
        <v>72449074.199999899</v>
      </c>
      <c r="S380" s="329"/>
      <c r="T380" s="655">
        <v>70474221.628461465</v>
      </c>
    </row>
    <row r="381" spans="1:20" ht="14.1" customHeight="1" x14ac:dyDescent="0.2">
      <c r="A381" s="252">
        <v>34</v>
      </c>
      <c r="B381" s="292"/>
      <c r="C381" s="267">
        <v>35400</v>
      </c>
      <c r="D381" s="280" t="s">
        <v>245</v>
      </c>
      <c r="E381" s="280"/>
      <c r="F381" s="655">
        <v>4619302.4099999918</v>
      </c>
      <c r="G381" s="329"/>
      <c r="H381" s="655">
        <v>117117.48000000004</v>
      </c>
      <c r="I381" s="329"/>
      <c r="J381" s="655">
        <v>0</v>
      </c>
      <c r="K381" s="329"/>
      <c r="L381" s="655">
        <v>0</v>
      </c>
      <c r="M381" s="329"/>
      <c r="N381" s="655">
        <v>0</v>
      </c>
      <c r="O381" s="329"/>
      <c r="P381" s="655">
        <v>0</v>
      </c>
      <c r="Q381" s="329"/>
      <c r="R381" s="655">
        <v>4736419.8899999922</v>
      </c>
      <c r="S381" s="329"/>
      <c r="T381" s="655">
        <v>4677861.149999992</v>
      </c>
    </row>
    <row r="382" spans="1:20" ht="14.1" customHeight="1" x14ac:dyDescent="0.2">
      <c r="A382" s="252">
        <v>35</v>
      </c>
      <c r="B382" s="292"/>
      <c r="C382" s="267">
        <v>35500</v>
      </c>
      <c r="D382" s="252" t="s">
        <v>246</v>
      </c>
      <c r="F382" s="655">
        <v>98265824.200000122</v>
      </c>
      <c r="G382" s="329"/>
      <c r="H382" s="655">
        <v>13125082.649999999</v>
      </c>
      <c r="I382" s="329"/>
      <c r="J382" s="655">
        <v>-834449.58</v>
      </c>
      <c r="K382" s="329"/>
      <c r="L382" s="655">
        <v>-2298819.77</v>
      </c>
      <c r="M382" s="329"/>
      <c r="N382" s="655">
        <v>79250.789999999994</v>
      </c>
      <c r="O382" s="329"/>
      <c r="P382" s="655">
        <v>-2424.44</v>
      </c>
      <c r="Q382" s="329"/>
      <c r="R382" s="655">
        <v>108334463.85000013</v>
      </c>
      <c r="S382" s="329"/>
      <c r="T382" s="655">
        <v>103496523.99153858</v>
      </c>
    </row>
    <row r="383" spans="1:20" ht="14.1" customHeight="1" x14ac:dyDescent="0.2">
      <c r="A383" s="252">
        <v>36</v>
      </c>
      <c r="B383" s="292"/>
      <c r="C383" s="267">
        <v>35600</v>
      </c>
      <c r="D383" s="252" t="s">
        <v>247</v>
      </c>
      <c r="F383" s="655">
        <v>26259387.800000064</v>
      </c>
      <c r="G383" s="329"/>
      <c r="H383" s="655">
        <v>4413188.5799999991</v>
      </c>
      <c r="I383" s="329"/>
      <c r="J383" s="655">
        <v>-1190128.6099999999</v>
      </c>
      <c r="K383" s="329"/>
      <c r="L383" s="655">
        <v>-2026599.8499999999</v>
      </c>
      <c r="M383" s="329"/>
      <c r="N383" s="655">
        <v>35625.460000000006</v>
      </c>
      <c r="O383" s="329"/>
      <c r="P383" s="655">
        <v>-3354.07</v>
      </c>
      <c r="Q383" s="329"/>
      <c r="R383" s="655">
        <v>27488119.310000062</v>
      </c>
      <c r="S383" s="329"/>
      <c r="T383" s="655">
        <v>26818836.073846217</v>
      </c>
    </row>
    <row r="384" spans="1:20" ht="14.1" customHeight="1" x14ac:dyDescent="0.2">
      <c r="A384" s="252">
        <v>37</v>
      </c>
      <c r="B384" s="292"/>
      <c r="C384" s="267">
        <v>35601</v>
      </c>
      <c r="D384" s="252" t="s">
        <v>248</v>
      </c>
      <c r="F384" s="655">
        <v>1611399.3699999922</v>
      </c>
      <c r="G384" s="329"/>
      <c r="H384" s="655">
        <v>42212.160000000003</v>
      </c>
      <c r="I384" s="329"/>
      <c r="J384" s="655">
        <v>0</v>
      </c>
      <c r="K384" s="329"/>
      <c r="L384" s="655">
        <v>0</v>
      </c>
      <c r="M384" s="329"/>
      <c r="N384" s="655">
        <v>0</v>
      </c>
      <c r="O384" s="329"/>
      <c r="P384" s="655">
        <v>0</v>
      </c>
      <c r="Q384" s="329"/>
      <c r="R384" s="655">
        <v>1653611.5299999921</v>
      </c>
      <c r="S384" s="329"/>
      <c r="T384" s="655">
        <v>1632505.4499999916</v>
      </c>
    </row>
    <row r="385" spans="1:20" ht="14.1" customHeight="1" x14ac:dyDescent="0.2">
      <c r="A385" s="252">
        <v>38</v>
      </c>
      <c r="B385" s="292"/>
      <c r="C385" s="267">
        <v>35700</v>
      </c>
      <c r="D385" s="252" t="s">
        <v>249</v>
      </c>
      <c r="F385" s="655">
        <v>1500201.410000002</v>
      </c>
      <c r="G385" s="329"/>
      <c r="H385" s="655">
        <v>64760.399999999987</v>
      </c>
      <c r="I385" s="329"/>
      <c r="J385" s="655">
        <v>0</v>
      </c>
      <c r="K385" s="329"/>
      <c r="L385" s="655">
        <v>-12858.630000000001</v>
      </c>
      <c r="M385" s="329"/>
      <c r="N385" s="655">
        <v>752</v>
      </c>
      <c r="O385" s="329"/>
      <c r="P385" s="655">
        <v>0</v>
      </c>
      <c r="Q385" s="329"/>
      <c r="R385" s="655">
        <v>1552855.180000002</v>
      </c>
      <c r="S385" s="329"/>
      <c r="T385" s="655">
        <v>1522145.092307694</v>
      </c>
    </row>
    <row r="386" spans="1:20" ht="14.1" customHeight="1" x14ac:dyDescent="0.2">
      <c r="A386" s="252">
        <v>39</v>
      </c>
      <c r="B386" s="292"/>
      <c r="C386" s="267">
        <v>35800</v>
      </c>
      <c r="D386" s="252" t="s">
        <v>250</v>
      </c>
      <c r="F386" s="655">
        <v>2616754.5099999942</v>
      </c>
      <c r="G386" s="329"/>
      <c r="H386" s="655">
        <v>170313.84000000005</v>
      </c>
      <c r="I386" s="329"/>
      <c r="J386" s="655">
        <v>0</v>
      </c>
      <c r="K386" s="329"/>
      <c r="L386" s="655">
        <v>-17882.730000000003</v>
      </c>
      <c r="M386" s="329"/>
      <c r="N386" s="655">
        <v>1547.7499999999995</v>
      </c>
      <c r="O386" s="329"/>
      <c r="P386" s="655">
        <v>0</v>
      </c>
      <c r="Q386" s="329"/>
      <c r="R386" s="655">
        <v>2770733.3699999941</v>
      </c>
      <c r="S386" s="329"/>
      <c r="T386" s="655">
        <v>2688353.5899999933</v>
      </c>
    </row>
    <row r="387" spans="1:20" ht="14.1" customHeight="1" x14ac:dyDescent="0.2">
      <c r="A387" s="252">
        <v>40</v>
      </c>
      <c r="B387" s="292"/>
      <c r="C387" s="267">
        <v>35900</v>
      </c>
      <c r="D387" s="282" t="s">
        <v>251</v>
      </c>
      <c r="E387" s="282"/>
      <c r="F387" s="655">
        <v>2362707.2099999986</v>
      </c>
      <c r="G387" s="329"/>
      <c r="H387" s="655">
        <v>233562.57999999996</v>
      </c>
      <c r="I387" s="329"/>
      <c r="J387" s="655">
        <v>-52176.98</v>
      </c>
      <c r="K387" s="329"/>
      <c r="L387" s="655">
        <v>16093.89</v>
      </c>
      <c r="M387" s="329"/>
      <c r="N387" s="655">
        <v>0</v>
      </c>
      <c r="O387" s="329"/>
      <c r="P387" s="655">
        <v>0</v>
      </c>
      <c r="Q387" s="329"/>
      <c r="R387" s="655">
        <v>2560186.6999999988</v>
      </c>
      <c r="S387" s="329"/>
      <c r="T387" s="655">
        <v>2468885.8915384603</v>
      </c>
    </row>
    <row r="388" spans="1:20" ht="14.1" customHeight="1" x14ac:dyDescent="0.2">
      <c r="A388" s="252">
        <v>41</v>
      </c>
      <c r="B388" s="273"/>
      <c r="C388" s="269"/>
      <c r="D388" s="282"/>
      <c r="E388" s="282"/>
      <c r="F388" s="721"/>
      <c r="G388" s="602"/>
      <c r="H388" s="721"/>
      <c r="I388" s="602"/>
      <c r="J388" s="721"/>
      <c r="K388" s="602"/>
      <c r="L388" s="721"/>
      <c r="M388" s="602"/>
      <c r="N388" s="721"/>
      <c r="O388" s="602"/>
      <c r="P388" s="721"/>
      <c r="Q388" s="602"/>
      <c r="R388" s="721"/>
      <c r="S388" s="602"/>
      <c r="T388" s="721"/>
    </row>
    <row r="389" spans="1:20" ht="14.1" customHeight="1" thickBot="1" x14ac:dyDescent="0.25">
      <c r="A389" s="252">
        <v>42</v>
      </c>
      <c r="B389" s="273"/>
      <c r="C389" s="269"/>
      <c r="D389" s="300" t="s">
        <v>166</v>
      </c>
      <c r="E389" s="300"/>
      <c r="F389" s="665">
        <v>221070838.13000011</v>
      </c>
      <c r="G389" s="666"/>
      <c r="H389" s="665">
        <v>26999684.089999996</v>
      </c>
      <c r="I389" s="666"/>
      <c r="J389" s="665">
        <v>-5555763.1300000008</v>
      </c>
      <c r="K389" s="666"/>
      <c r="L389" s="665">
        <v>-5328783.66</v>
      </c>
      <c r="M389" s="666"/>
      <c r="N389" s="665">
        <v>198221.53000000003</v>
      </c>
      <c r="O389" s="666"/>
      <c r="P389" s="665">
        <v>-12618.509999999998</v>
      </c>
      <c r="Q389" s="666"/>
      <c r="R389" s="665">
        <v>237371578.45000008</v>
      </c>
      <c r="S389" s="666"/>
      <c r="T389" s="665">
        <v>229083398.88384628</v>
      </c>
    </row>
    <row r="390" spans="1:20" ht="14.1" customHeight="1" thickTop="1" x14ac:dyDescent="0.2">
      <c r="A390" s="252">
        <v>43</v>
      </c>
      <c r="B390" s="273"/>
    </row>
    <row r="391" spans="1:20" ht="14.1" customHeight="1" thickBot="1" x14ac:dyDescent="0.25">
      <c r="A391" s="252">
        <v>44</v>
      </c>
      <c r="B391" s="667" t="s">
        <v>186</v>
      </c>
      <c r="C391" s="296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</row>
    <row r="392" spans="1:20" ht="14.1" customHeight="1" x14ac:dyDescent="0.2">
      <c r="A392" s="252" t="s">
        <v>60</v>
      </c>
      <c r="R392" s="252" t="s">
        <v>60</v>
      </c>
    </row>
    <row r="393" spans="1:20" ht="14.1" customHeight="1" thickBot="1" x14ac:dyDescent="0.25">
      <c r="A393" s="264" t="s">
        <v>301</v>
      </c>
      <c r="B393" s="264"/>
      <c r="C393" s="264"/>
      <c r="D393" s="264"/>
      <c r="E393" s="264"/>
      <c r="F393" s="264" t="s">
        <v>302</v>
      </c>
      <c r="G393" s="264"/>
      <c r="H393" s="264"/>
      <c r="I393" s="264"/>
      <c r="J393" s="264"/>
      <c r="K393" s="264"/>
      <c r="L393" s="264"/>
      <c r="M393" s="264"/>
      <c r="N393" s="264"/>
      <c r="O393" s="264"/>
      <c r="P393" s="264"/>
      <c r="Q393" s="264"/>
      <c r="R393" s="264"/>
      <c r="S393" s="264"/>
      <c r="T393" s="264" t="s">
        <v>330</v>
      </c>
    </row>
    <row r="394" spans="1:20" ht="14.1" customHeight="1" x14ac:dyDescent="0.2">
      <c r="A394" s="252" t="s">
        <v>129</v>
      </c>
      <c r="B394" s="285"/>
      <c r="E394" s="260" t="s">
        <v>130</v>
      </c>
      <c r="F394" s="252" t="s">
        <v>303</v>
      </c>
      <c r="J394" s="286"/>
      <c r="K394" s="286"/>
      <c r="P394" s="286"/>
      <c r="Q394" s="286"/>
      <c r="R394" s="286" t="s">
        <v>132</v>
      </c>
      <c r="T394" s="261"/>
    </row>
    <row r="395" spans="1:20" ht="14.1" customHeight="1" x14ac:dyDescent="0.2">
      <c r="B395" s="285"/>
      <c r="F395" s="252" t="s">
        <v>1399</v>
      </c>
      <c r="J395" s="260"/>
      <c r="K395" s="261"/>
      <c r="P395" s="260"/>
      <c r="Q395" s="260" t="s">
        <v>123</v>
      </c>
      <c r="R395" s="261" t="s">
        <v>1407</v>
      </c>
      <c r="T395" s="260"/>
    </row>
    <row r="396" spans="1:20" ht="14.1" customHeight="1" x14ac:dyDescent="0.2">
      <c r="A396" s="252" t="s">
        <v>134</v>
      </c>
      <c r="B396" s="285"/>
      <c r="F396" s="252" t="s">
        <v>123</v>
      </c>
      <c r="J396" s="260"/>
      <c r="K396" s="261"/>
      <c r="L396" s="260"/>
      <c r="N396" s="260"/>
      <c r="Q396" s="260" t="s">
        <v>123</v>
      </c>
      <c r="R396" s="261">
        <v>0</v>
      </c>
      <c r="T396" s="260"/>
    </row>
    <row r="397" spans="1:20" ht="14.1" customHeight="1" x14ac:dyDescent="0.2">
      <c r="B397" s="285"/>
      <c r="F397" s="252" t="s">
        <v>123</v>
      </c>
      <c r="J397" s="260"/>
      <c r="K397" s="261"/>
      <c r="L397" s="260"/>
      <c r="N397" s="260"/>
      <c r="Q397" s="260" t="s">
        <v>123</v>
      </c>
      <c r="R397" s="261"/>
      <c r="T397" s="260"/>
    </row>
    <row r="398" spans="1:20" ht="14.1" customHeight="1" thickBot="1" x14ac:dyDescent="0.25">
      <c r="A398" s="264" t="s">
        <v>135</v>
      </c>
      <c r="B398" s="287"/>
      <c r="C398" s="264"/>
      <c r="D398" s="264"/>
      <c r="E398" s="264"/>
      <c r="F398" s="264" t="s">
        <v>123</v>
      </c>
      <c r="G398" s="264"/>
      <c r="H398" s="266"/>
      <c r="I398" s="264"/>
      <c r="J398" s="264"/>
      <c r="K398" s="264"/>
      <c r="L398" s="264"/>
      <c r="M398" s="264"/>
      <c r="N398" s="264"/>
      <c r="O398" s="264"/>
      <c r="P398" s="264"/>
      <c r="Q398" s="264"/>
      <c r="R398" s="288"/>
      <c r="S398" s="264"/>
      <c r="T398" s="264"/>
    </row>
    <row r="399" spans="1:20" ht="14.1" customHeight="1" x14ac:dyDescent="0.2"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7"/>
      <c r="T399" s="267"/>
    </row>
    <row r="400" spans="1:20" ht="14.1" customHeight="1" x14ac:dyDescent="0.2">
      <c r="C400" s="267" t="s">
        <v>136</v>
      </c>
      <c r="D400" s="267" t="s">
        <v>137</v>
      </c>
      <c r="E400" s="267"/>
      <c r="F400" s="267" t="s">
        <v>138</v>
      </c>
      <c r="G400" s="267"/>
      <c r="H400" s="267" t="s">
        <v>139</v>
      </c>
      <c r="I400" s="267"/>
      <c r="J400" s="269" t="s">
        <v>140</v>
      </c>
      <c r="L400" s="267" t="s">
        <v>141</v>
      </c>
      <c r="M400" s="267"/>
      <c r="N400" s="267" t="s">
        <v>142</v>
      </c>
      <c r="O400" s="267"/>
      <c r="P400" s="267" t="s">
        <v>143</v>
      </c>
      <c r="Q400" s="267"/>
      <c r="R400" s="267" t="s">
        <v>144</v>
      </c>
      <c r="S400" s="267"/>
      <c r="T400" s="267" t="s">
        <v>305</v>
      </c>
    </row>
    <row r="401" spans="1:20" ht="14.1" customHeight="1" x14ac:dyDescent="0.2">
      <c r="C401" s="269" t="s">
        <v>145</v>
      </c>
      <c r="D401" s="269" t="s">
        <v>145</v>
      </c>
      <c r="F401" s="267" t="s">
        <v>41</v>
      </c>
      <c r="G401" s="269"/>
      <c r="H401" s="267" t="s">
        <v>40</v>
      </c>
      <c r="I401" s="269"/>
      <c r="J401" s="267"/>
      <c r="K401" s="269"/>
      <c r="L401" s="269"/>
      <c r="M401" s="269"/>
      <c r="N401" s="269"/>
      <c r="O401" s="269"/>
      <c r="P401" s="269"/>
      <c r="Q401" s="269"/>
      <c r="R401" s="269" t="s">
        <v>41</v>
      </c>
      <c r="T401" s="269"/>
    </row>
    <row r="402" spans="1:20" ht="14.1" customHeight="1" x14ac:dyDescent="0.2">
      <c r="A402" s="252" t="s">
        <v>146</v>
      </c>
      <c r="B402" s="269"/>
      <c r="C402" s="269" t="s">
        <v>147</v>
      </c>
      <c r="D402" s="269" t="s">
        <v>147</v>
      </c>
      <c r="E402" s="267"/>
      <c r="F402" s="269" t="s">
        <v>6</v>
      </c>
      <c r="G402" s="269"/>
      <c r="H402" s="269" t="s">
        <v>6</v>
      </c>
      <c r="I402" s="269"/>
      <c r="J402" s="269"/>
      <c r="K402" s="267"/>
      <c r="L402" s="269" t="s">
        <v>306</v>
      </c>
      <c r="M402" s="269"/>
      <c r="N402" s="269" t="s">
        <v>306</v>
      </c>
      <c r="O402" s="269"/>
      <c r="P402" s="269" t="s">
        <v>150</v>
      </c>
      <c r="Q402" s="267"/>
      <c r="R402" s="267" t="s">
        <v>6</v>
      </c>
      <c r="S402" s="267"/>
      <c r="T402" s="269" t="s">
        <v>151</v>
      </c>
    </row>
    <row r="403" spans="1:20" ht="14.1" customHeight="1" thickBot="1" x14ac:dyDescent="0.25">
      <c r="A403" s="264" t="s">
        <v>152</v>
      </c>
      <c r="B403" s="266"/>
      <c r="C403" s="266" t="s">
        <v>52</v>
      </c>
      <c r="D403" s="266" t="s">
        <v>153</v>
      </c>
      <c r="E403" s="266"/>
      <c r="F403" s="270" t="s">
        <v>154</v>
      </c>
      <c r="G403" s="270"/>
      <c r="H403" s="270" t="s">
        <v>307</v>
      </c>
      <c r="I403" s="271"/>
      <c r="J403" s="270" t="s">
        <v>18</v>
      </c>
      <c r="K403" s="271"/>
      <c r="L403" s="270" t="s">
        <v>19</v>
      </c>
      <c r="M403" s="271"/>
      <c r="N403" s="270" t="s">
        <v>54</v>
      </c>
      <c r="O403" s="271"/>
      <c r="P403" s="272" t="s">
        <v>157</v>
      </c>
      <c r="Q403" s="272"/>
      <c r="R403" s="272" t="s">
        <v>158</v>
      </c>
      <c r="S403" s="272"/>
      <c r="T403" s="272" t="s">
        <v>3</v>
      </c>
    </row>
    <row r="404" spans="1:20" ht="14.1" customHeight="1" x14ac:dyDescent="0.2">
      <c r="A404" s="252">
        <v>1</v>
      </c>
      <c r="B404" s="273"/>
    </row>
    <row r="405" spans="1:20" ht="14.1" customHeight="1" x14ac:dyDescent="0.2">
      <c r="A405" s="252">
        <v>2</v>
      </c>
      <c r="B405" s="273"/>
      <c r="C405" s="269"/>
      <c r="D405" s="83" t="s">
        <v>125</v>
      </c>
      <c r="F405" s="291"/>
      <c r="G405" s="722"/>
      <c r="H405" s="722"/>
      <c r="I405" s="722"/>
      <c r="J405" s="722"/>
      <c r="K405" s="722"/>
      <c r="L405" s="722"/>
      <c r="M405" s="722"/>
      <c r="N405" s="722"/>
      <c r="O405" s="722"/>
      <c r="P405" s="722"/>
      <c r="Q405" s="722"/>
      <c r="R405" s="722"/>
      <c r="S405" s="722"/>
      <c r="T405" s="722"/>
    </row>
    <row r="406" spans="1:20" ht="14.1" customHeight="1" x14ac:dyDescent="0.2">
      <c r="A406" s="252">
        <v>3</v>
      </c>
      <c r="B406" s="273"/>
      <c r="C406" s="269">
        <v>36001</v>
      </c>
      <c r="D406" s="282" t="s">
        <v>242</v>
      </c>
      <c r="E406" s="282"/>
      <c r="F406" s="655"/>
      <c r="G406" s="707"/>
      <c r="H406" s="655"/>
      <c r="I406" s="707"/>
      <c r="J406" s="655"/>
      <c r="K406" s="707"/>
      <c r="L406" s="655"/>
      <c r="M406" s="707"/>
      <c r="N406" s="655"/>
      <c r="O406" s="707"/>
      <c r="P406" s="655"/>
      <c r="Q406" s="707"/>
      <c r="R406" s="655"/>
      <c r="S406" s="707"/>
      <c r="T406" s="655"/>
    </row>
    <row r="407" spans="1:20" ht="14.1" customHeight="1" x14ac:dyDescent="0.2">
      <c r="A407" s="252">
        <v>4</v>
      </c>
      <c r="B407" s="273"/>
      <c r="C407" s="269">
        <v>36100</v>
      </c>
      <c r="D407" s="252" t="s">
        <v>243</v>
      </c>
      <c r="F407" s="655">
        <v>7445392.6099999975</v>
      </c>
      <c r="G407" s="329"/>
      <c r="H407" s="655">
        <v>482793.56</v>
      </c>
      <c r="I407" s="329"/>
      <c r="J407" s="655">
        <v>-50430.740000000005</v>
      </c>
      <c r="K407" s="329"/>
      <c r="L407" s="655">
        <v>-134862.23000000001</v>
      </c>
      <c r="M407" s="329"/>
      <c r="N407" s="655">
        <v>0</v>
      </c>
      <c r="O407" s="329"/>
      <c r="P407" s="655">
        <v>527.05999999999995</v>
      </c>
      <c r="Q407" s="329"/>
      <c r="R407" s="655">
        <v>7743420.2599999961</v>
      </c>
      <c r="S407" s="329"/>
      <c r="T407" s="655">
        <v>7579855.3769230749</v>
      </c>
    </row>
    <row r="408" spans="1:20" ht="14.1" customHeight="1" x14ac:dyDescent="0.2">
      <c r="A408" s="252">
        <v>5</v>
      </c>
      <c r="B408" s="273"/>
      <c r="C408" s="269">
        <v>36200</v>
      </c>
      <c r="D408" s="252" t="s">
        <v>244</v>
      </c>
      <c r="F408" s="655">
        <v>59348557.059999987</v>
      </c>
      <c r="G408" s="329"/>
      <c r="H408" s="655">
        <v>6235360.3399999999</v>
      </c>
      <c r="I408" s="329"/>
      <c r="J408" s="655">
        <v>-1690096.28</v>
      </c>
      <c r="K408" s="329"/>
      <c r="L408" s="655">
        <v>-1139689.3400000001</v>
      </c>
      <c r="M408" s="329"/>
      <c r="N408" s="655">
        <v>54198.830000000016</v>
      </c>
      <c r="O408" s="329"/>
      <c r="P408" s="655">
        <v>10381.4</v>
      </c>
      <c r="Q408" s="329"/>
      <c r="R408" s="655">
        <v>62818712.009999983</v>
      </c>
      <c r="S408" s="329"/>
      <c r="T408" s="655">
        <v>60973052.496923052</v>
      </c>
    </row>
    <row r="409" spans="1:20" ht="14.1" customHeight="1" x14ac:dyDescent="0.2">
      <c r="A409" s="252">
        <v>6</v>
      </c>
      <c r="B409" s="273"/>
      <c r="C409" s="269">
        <v>36400</v>
      </c>
      <c r="D409" s="252" t="s">
        <v>252</v>
      </c>
      <c r="F409" s="655">
        <v>166042843.7000002</v>
      </c>
      <c r="G409" s="329"/>
      <c r="H409" s="655">
        <v>14616815.560000002</v>
      </c>
      <c r="I409" s="329"/>
      <c r="J409" s="655">
        <v>-2839621.1300000004</v>
      </c>
      <c r="K409" s="329"/>
      <c r="L409" s="655">
        <v>-3408812.8299999996</v>
      </c>
      <c r="M409" s="329"/>
      <c r="N409" s="655">
        <v>77933.450000000012</v>
      </c>
      <c r="O409" s="329"/>
      <c r="P409" s="655">
        <v>-11021.919999999998</v>
      </c>
      <c r="Q409" s="329"/>
      <c r="R409" s="655">
        <v>174478136.83000019</v>
      </c>
      <c r="S409" s="329"/>
      <c r="T409" s="655">
        <v>170038845.29615402</v>
      </c>
    </row>
    <row r="410" spans="1:20" ht="14.1" customHeight="1" x14ac:dyDescent="0.2">
      <c r="A410" s="252">
        <v>7</v>
      </c>
      <c r="B410" s="273"/>
      <c r="C410" s="269">
        <v>36500</v>
      </c>
      <c r="D410" s="252" t="s">
        <v>247</v>
      </c>
      <c r="F410" s="655">
        <v>140573786.78000012</v>
      </c>
      <c r="G410" s="329"/>
      <c r="H410" s="655">
        <v>8244301.3099999996</v>
      </c>
      <c r="I410" s="329"/>
      <c r="J410" s="655">
        <v>-1904165.25</v>
      </c>
      <c r="K410" s="329"/>
      <c r="L410" s="655">
        <v>-1108731.56</v>
      </c>
      <c r="M410" s="329"/>
      <c r="N410" s="655">
        <v>679282.35000000009</v>
      </c>
      <c r="O410" s="329"/>
      <c r="P410" s="655">
        <v>10388.98</v>
      </c>
      <c r="Q410" s="329"/>
      <c r="R410" s="655">
        <v>146494862.6100001</v>
      </c>
      <c r="S410" s="329"/>
      <c r="T410" s="655">
        <v>143304602.35538471</v>
      </c>
    </row>
    <row r="411" spans="1:20" ht="14.1" customHeight="1" x14ac:dyDescent="0.2">
      <c r="A411" s="252">
        <v>8</v>
      </c>
      <c r="B411" s="273"/>
      <c r="C411" s="269">
        <v>36600</v>
      </c>
      <c r="D411" s="252" t="s">
        <v>249</v>
      </c>
      <c r="F411" s="655">
        <v>71982150.670000061</v>
      </c>
      <c r="G411" s="329"/>
      <c r="H411" s="655">
        <v>5325787.82</v>
      </c>
      <c r="I411" s="329"/>
      <c r="J411" s="655">
        <v>-171912.2</v>
      </c>
      <c r="K411" s="329"/>
      <c r="L411" s="655">
        <v>-428791.94999999978</v>
      </c>
      <c r="M411" s="329"/>
      <c r="N411" s="655">
        <v>67042.290000000008</v>
      </c>
      <c r="O411" s="329"/>
      <c r="P411" s="655">
        <v>8294.74</v>
      </c>
      <c r="Q411" s="329"/>
      <c r="R411" s="655">
        <v>76782571.370000064</v>
      </c>
      <c r="S411" s="329"/>
      <c r="T411" s="655">
        <v>74274253.954615474</v>
      </c>
    </row>
    <row r="412" spans="1:20" ht="14.1" customHeight="1" x14ac:dyDescent="0.2">
      <c r="A412" s="252">
        <v>9</v>
      </c>
      <c r="B412" s="273"/>
      <c r="C412" s="269">
        <v>36700</v>
      </c>
      <c r="D412" s="252" t="s">
        <v>250</v>
      </c>
      <c r="F412" s="655">
        <v>75896812.97999993</v>
      </c>
      <c r="G412" s="329"/>
      <c r="H412" s="655">
        <v>9265289.2600000016</v>
      </c>
      <c r="I412" s="329"/>
      <c r="J412" s="655">
        <v>-5117990.25</v>
      </c>
      <c r="K412" s="329"/>
      <c r="L412" s="655">
        <v>-1606123.9700000002</v>
      </c>
      <c r="M412" s="329"/>
      <c r="N412" s="655">
        <v>71350.27</v>
      </c>
      <c r="O412" s="329"/>
      <c r="P412" s="655">
        <v>23288.71</v>
      </c>
      <c r="Q412" s="329"/>
      <c r="R412" s="655">
        <v>78532626.999999925</v>
      </c>
      <c r="S412" s="329"/>
      <c r="T412" s="655">
        <v>77114189.942307681</v>
      </c>
    </row>
    <row r="413" spans="1:20" ht="14.1" customHeight="1" x14ac:dyDescent="0.2">
      <c r="A413" s="252">
        <v>10</v>
      </c>
      <c r="B413" s="273"/>
      <c r="C413" s="269">
        <v>36800</v>
      </c>
      <c r="D413" s="252" t="s">
        <v>253</v>
      </c>
      <c r="F413" s="655">
        <v>270768796.53999972</v>
      </c>
      <c r="G413" s="329"/>
      <c r="H413" s="655">
        <v>31608268.819999997</v>
      </c>
      <c r="I413" s="329"/>
      <c r="J413" s="655">
        <v>-8674669.9899999984</v>
      </c>
      <c r="K413" s="329"/>
      <c r="L413" s="655">
        <v>-9353294.3399999999</v>
      </c>
      <c r="M413" s="329"/>
      <c r="N413" s="655">
        <v>863247.95000000007</v>
      </c>
      <c r="O413" s="329"/>
      <c r="P413" s="655">
        <v>-25787.61</v>
      </c>
      <c r="Q413" s="329"/>
      <c r="R413" s="655">
        <v>285186561.36999971</v>
      </c>
      <c r="S413" s="329"/>
      <c r="T413" s="655">
        <v>277744597.20769191</v>
      </c>
    </row>
    <row r="414" spans="1:20" ht="14.1" customHeight="1" x14ac:dyDescent="0.2">
      <c r="A414" s="252">
        <v>11</v>
      </c>
      <c r="B414" s="273"/>
      <c r="C414" s="269">
        <v>36900</v>
      </c>
      <c r="D414" s="252" t="s">
        <v>254</v>
      </c>
      <c r="F414" s="655">
        <v>59222593.909999974</v>
      </c>
      <c r="G414" s="329"/>
      <c r="H414" s="655">
        <v>2665592.06</v>
      </c>
      <c r="I414" s="329"/>
      <c r="J414" s="655">
        <v>-86910.150000000009</v>
      </c>
      <c r="K414" s="329"/>
      <c r="L414" s="655">
        <v>-332997.81</v>
      </c>
      <c r="M414" s="329"/>
      <c r="N414" s="655">
        <v>85702.94</v>
      </c>
      <c r="O414" s="329"/>
      <c r="P414" s="655">
        <v>-466.09000000000003</v>
      </c>
      <c r="Q414" s="329"/>
      <c r="R414" s="655">
        <v>61553514.85999997</v>
      </c>
      <c r="S414" s="329"/>
      <c r="T414" s="655">
        <v>60379037.85307692</v>
      </c>
    </row>
    <row r="415" spans="1:20" ht="14.1" customHeight="1" x14ac:dyDescent="0.2">
      <c r="A415" s="252">
        <v>12</v>
      </c>
      <c r="B415" s="273"/>
      <c r="C415" s="269">
        <v>36902</v>
      </c>
      <c r="D415" s="252" t="s">
        <v>255</v>
      </c>
      <c r="F415" s="655">
        <v>60515236.520000041</v>
      </c>
      <c r="G415" s="329"/>
      <c r="H415" s="655">
        <v>3583293.0999999996</v>
      </c>
      <c r="I415" s="329"/>
      <c r="J415" s="655">
        <v>-289706.98000000004</v>
      </c>
      <c r="K415" s="329"/>
      <c r="L415" s="655">
        <v>-345866.46</v>
      </c>
      <c r="M415" s="329"/>
      <c r="N415" s="655">
        <v>27649.03</v>
      </c>
      <c r="O415" s="329"/>
      <c r="P415" s="655">
        <v>-3476.29</v>
      </c>
      <c r="Q415" s="329"/>
      <c r="R415" s="655">
        <v>63487128.920000046</v>
      </c>
      <c r="S415" s="329"/>
      <c r="T415" s="655">
        <v>61971637.615384661</v>
      </c>
    </row>
    <row r="416" spans="1:20" ht="14.1" customHeight="1" x14ac:dyDescent="0.2">
      <c r="A416" s="252">
        <v>13</v>
      </c>
      <c r="B416" s="273"/>
      <c r="C416" s="269">
        <v>37000</v>
      </c>
      <c r="D416" s="252" t="s">
        <v>256</v>
      </c>
      <c r="F416" s="655">
        <v>31596946.120000001</v>
      </c>
      <c r="G416" s="329"/>
      <c r="H416" s="655">
        <v>5774062.7799999993</v>
      </c>
      <c r="I416" s="329"/>
      <c r="J416" s="655">
        <v>-4604303.3999999994</v>
      </c>
      <c r="K416" s="329"/>
      <c r="L416" s="655">
        <v>-4134901.9699999997</v>
      </c>
      <c r="M416" s="329"/>
      <c r="N416" s="655">
        <v>106403.73000000001</v>
      </c>
      <c r="O416" s="329"/>
      <c r="P416" s="655">
        <v>-1768.01</v>
      </c>
      <c r="Q416" s="329"/>
      <c r="R416" s="655">
        <v>28736439.250000004</v>
      </c>
      <c r="S416" s="329"/>
      <c r="T416" s="655">
        <v>28715791.80538461</v>
      </c>
    </row>
    <row r="417" spans="1:24" ht="14.1" customHeight="1" x14ac:dyDescent="0.2">
      <c r="A417" s="252">
        <v>14</v>
      </c>
      <c r="B417" s="273"/>
      <c r="C417" s="269">
        <v>37001</v>
      </c>
      <c r="D417" s="252" t="s">
        <v>1383</v>
      </c>
      <c r="F417" s="655">
        <v>0</v>
      </c>
      <c r="H417" s="655">
        <v>0</v>
      </c>
      <c r="I417" s="329"/>
      <c r="J417" s="655">
        <v>0</v>
      </c>
      <c r="K417" s="329"/>
      <c r="L417" s="655">
        <v>0</v>
      </c>
      <c r="M417" s="329"/>
      <c r="N417" s="655">
        <v>0</v>
      </c>
      <c r="O417" s="329"/>
      <c r="P417" s="655">
        <v>0</v>
      </c>
      <c r="Q417" s="329"/>
      <c r="R417" s="655">
        <v>0</v>
      </c>
      <c r="S417" s="329"/>
      <c r="T417" s="655">
        <v>0</v>
      </c>
    </row>
    <row r="418" spans="1:24" ht="14.1" customHeight="1" x14ac:dyDescent="0.2">
      <c r="A418" s="252">
        <v>15</v>
      </c>
      <c r="B418" s="273"/>
      <c r="C418" s="269">
        <v>37300</v>
      </c>
      <c r="D418" s="252" t="s">
        <v>257</v>
      </c>
      <c r="F418" s="655">
        <v>122297266.4000001</v>
      </c>
      <c r="G418" s="329"/>
      <c r="H418" s="655">
        <v>15744509.050000001</v>
      </c>
      <c r="I418" s="329"/>
      <c r="J418" s="655">
        <v>-11946522.130000001</v>
      </c>
      <c r="K418" s="329"/>
      <c r="L418" s="655">
        <v>-1957917.29</v>
      </c>
      <c r="M418" s="329"/>
      <c r="N418" s="655">
        <v>44733.09</v>
      </c>
      <c r="O418" s="329"/>
      <c r="P418" s="655">
        <v>3637295.4000000004</v>
      </c>
      <c r="Q418" s="329"/>
      <c r="R418" s="655">
        <v>127819364.52000012</v>
      </c>
      <c r="S418" s="329"/>
      <c r="T418" s="655">
        <v>126203884.50923085</v>
      </c>
    </row>
    <row r="419" spans="1:24" ht="14.1" customHeight="1" x14ac:dyDescent="0.2">
      <c r="A419" s="252">
        <v>16</v>
      </c>
      <c r="B419" s="273"/>
      <c r="D419" s="280"/>
      <c r="E419" s="280"/>
      <c r="F419" s="721"/>
      <c r="G419" s="602"/>
      <c r="H419" s="721"/>
      <c r="I419" s="602"/>
      <c r="J419" s="721"/>
      <c r="K419" s="602"/>
      <c r="L419" s="721"/>
      <c r="M419" s="602"/>
      <c r="N419" s="721"/>
      <c r="O419" s="602"/>
      <c r="P419" s="721"/>
      <c r="Q419" s="602"/>
      <c r="R419" s="721"/>
      <c r="S419" s="602"/>
      <c r="T419" s="721"/>
    </row>
    <row r="420" spans="1:24" ht="14.1" customHeight="1" thickBot="1" x14ac:dyDescent="0.25">
      <c r="A420" s="252">
        <v>17</v>
      </c>
      <c r="B420" s="273"/>
      <c r="D420" s="83" t="s">
        <v>169</v>
      </c>
      <c r="E420" s="83"/>
      <c r="F420" s="665">
        <v>1065690383.2900001</v>
      </c>
      <c r="G420" s="666"/>
      <c r="H420" s="665">
        <v>103546073.66</v>
      </c>
      <c r="I420" s="666"/>
      <c r="J420" s="665">
        <v>-37376328.5</v>
      </c>
      <c r="K420" s="666"/>
      <c r="L420" s="665">
        <v>-23951989.749999996</v>
      </c>
      <c r="M420" s="666"/>
      <c r="N420" s="665">
        <v>2077543.9300000002</v>
      </c>
      <c r="O420" s="666"/>
      <c r="P420" s="665">
        <v>3647656.3700000006</v>
      </c>
      <c r="Q420" s="666"/>
      <c r="R420" s="665">
        <v>1113633339.0000002</v>
      </c>
      <c r="S420" s="666"/>
      <c r="T420" s="665">
        <v>1088299748.4130769</v>
      </c>
    </row>
    <row r="421" spans="1:24" ht="14.1" customHeight="1" thickTop="1" x14ac:dyDescent="0.2">
      <c r="A421" s="252">
        <v>18</v>
      </c>
      <c r="B421" s="273"/>
    </row>
    <row r="422" spans="1:24" ht="14.1" customHeight="1" x14ac:dyDescent="0.2">
      <c r="A422" s="252">
        <v>19</v>
      </c>
      <c r="B422" s="273"/>
      <c r="D422" s="298" t="s">
        <v>126</v>
      </c>
      <c r="E422" s="280"/>
      <c r="F422" s="707"/>
      <c r="G422" s="602"/>
      <c r="H422" s="706"/>
      <c r="I422" s="602"/>
      <c r="J422" s="706"/>
      <c r="K422" s="602"/>
      <c r="L422" s="706"/>
      <c r="M422" s="602"/>
      <c r="N422" s="706"/>
      <c r="O422" s="602"/>
      <c r="P422" s="706"/>
      <c r="Q422" s="602"/>
      <c r="R422" s="706"/>
      <c r="S422" s="602"/>
      <c r="T422" s="706"/>
    </row>
    <row r="423" spans="1:24" ht="14.1" customHeight="1" x14ac:dyDescent="0.2">
      <c r="A423" s="252">
        <v>20</v>
      </c>
      <c r="B423" s="273"/>
      <c r="C423" s="269">
        <v>39000</v>
      </c>
      <c r="D423" s="682" t="s">
        <v>243</v>
      </c>
      <c r="F423" s="655">
        <v>50580734.170000024</v>
      </c>
      <c r="G423" s="329"/>
      <c r="H423" s="655">
        <v>2847524.1400000006</v>
      </c>
      <c r="I423" s="329"/>
      <c r="J423" s="655">
        <v>-659039.31999999983</v>
      </c>
      <c r="K423" s="329"/>
      <c r="L423" s="655">
        <v>-290787.21999999997</v>
      </c>
      <c r="M423" s="329"/>
      <c r="N423" s="655">
        <v>0</v>
      </c>
      <c r="O423" s="329"/>
      <c r="P423" s="655">
        <v>0</v>
      </c>
      <c r="Q423" s="329"/>
      <c r="R423" s="655">
        <v>52478431.770000026</v>
      </c>
      <c r="S423" s="329"/>
      <c r="T423" s="655">
        <v>51298414.803076945</v>
      </c>
    </row>
    <row r="424" spans="1:24" ht="14.1" customHeight="1" x14ac:dyDescent="0.2">
      <c r="A424" s="252">
        <v>21</v>
      </c>
      <c r="B424" s="273"/>
      <c r="C424" s="269">
        <v>39101</v>
      </c>
      <c r="D424" s="682" t="s">
        <v>258</v>
      </c>
      <c r="E424" s="283"/>
      <c r="F424" s="655">
        <v>2458721.1999999997</v>
      </c>
      <c r="G424" s="329"/>
      <c r="H424" s="655">
        <v>784796.34999999986</v>
      </c>
      <c r="I424" s="329"/>
      <c r="J424" s="655">
        <v>-389864.3</v>
      </c>
      <c r="K424" s="329"/>
      <c r="L424" s="655">
        <v>0</v>
      </c>
      <c r="M424" s="329"/>
      <c r="N424" s="655">
        <v>0</v>
      </c>
      <c r="O424" s="329"/>
      <c r="P424" s="655">
        <v>0</v>
      </c>
      <c r="Q424" s="329"/>
      <c r="R424" s="655">
        <v>2853653.25</v>
      </c>
      <c r="S424" s="329"/>
      <c r="T424" s="655">
        <v>2533442.3015384614</v>
      </c>
    </row>
    <row r="425" spans="1:24" ht="14.1" customHeight="1" x14ac:dyDescent="0.2">
      <c r="A425" s="252">
        <v>22</v>
      </c>
      <c r="B425" s="273"/>
      <c r="C425" s="269">
        <v>39102</v>
      </c>
      <c r="D425" s="682" t="s">
        <v>259</v>
      </c>
      <c r="E425" s="283"/>
      <c r="F425" s="655">
        <v>2662217.7799999993</v>
      </c>
      <c r="G425" s="329"/>
      <c r="H425" s="655">
        <v>790483.56</v>
      </c>
      <c r="I425" s="329"/>
      <c r="J425" s="655">
        <v>-2776131.76</v>
      </c>
      <c r="K425" s="329"/>
      <c r="L425" s="655">
        <v>0</v>
      </c>
      <c r="M425" s="329"/>
      <c r="N425" s="655">
        <v>0</v>
      </c>
      <c r="O425" s="329"/>
      <c r="P425" s="655">
        <v>0</v>
      </c>
      <c r="Q425" s="329"/>
      <c r="R425" s="655">
        <v>676569.57999999961</v>
      </c>
      <c r="S425" s="329"/>
      <c r="T425" s="655">
        <v>2135873.8430769234</v>
      </c>
    </row>
    <row r="426" spans="1:24" ht="14.1" customHeight="1" x14ac:dyDescent="0.2">
      <c r="A426" s="252">
        <v>23</v>
      </c>
      <c r="B426" s="273"/>
      <c r="C426" s="269">
        <v>39103</v>
      </c>
      <c r="D426" s="682" t="s">
        <v>260</v>
      </c>
      <c r="F426" s="655">
        <v>0</v>
      </c>
      <c r="G426" s="329"/>
      <c r="H426" s="655">
        <v>0</v>
      </c>
      <c r="I426" s="329"/>
      <c r="J426" s="655">
        <v>0</v>
      </c>
      <c r="K426" s="329"/>
      <c r="L426" s="655">
        <v>0</v>
      </c>
      <c r="M426" s="329"/>
      <c r="N426" s="655">
        <v>0</v>
      </c>
      <c r="O426" s="329"/>
      <c r="P426" s="655">
        <v>0</v>
      </c>
      <c r="Q426" s="329"/>
      <c r="R426" s="655">
        <v>0</v>
      </c>
      <c r="S426" s="329"/>
      <c r="T426" s="655">
        <v>0</v>
      </c>
    </row>
    <row r="427" spans="1:24" ht="14.1" customHeight="1" x14ac:dyDescent="0.2">
      <c r="A427" s="252">
        <v>24</v>
      </c>
      <c r="B427" s="273"/>
      <c r="C427" s="269">
        <v>39104</v>
      </c>
      <c r="D427" s="682" t="s">
        <v>261</v>
      </c>
      <c r="F427" s="655">
        <v>17437327.970000003</v>
      </c>
      <c r="G427" s="329"/>
      <c r="H427" s="655">
        <v>6104406.7299999995</v>
      </c>
      <c r="I427" s="329"/>
      <c r="J427" s="655">
        <v>-4303247.4799999995</v>
      </c>
      <c r="K427" s="329"/>
      <c r="L427" s="655">
        <v>0</v>
      </c>
      <c r="M427" s="329"/>
      <c r="N427" s="655">
        <v>0</v>
      </c>
      <c r="O427" s="329"/>
      <c r="P427" s="655">
        <v>287108.74</v>
      </c>
      <c r="Q427" s="329"/>
      <c r="R427" s="655">
        <v>19525595.960000001</v>
      </c>
      <c r="S427" s="329"/>
      <c r="T427" s="655">
        <v>18728413.729230769</v>
      </c>
    </row>
    <row r="428" spans="1:24" s="83" customFormat="1" ht="14.1" customHeight="1" x14ac:dyDescent="0.2">
      <c r="A428" s="83">
        <v>25</v>
      </c>
      <c r="B428" s="698"/>
      <c r="C428" s="301">
        <v>39202</v>
      </c>
      <c r="D428" s="683" t="s">
        <v>262</v>
      </c>
      <c r="E428" s="252"/>
      <c r="F428" s="655">
        <v>1956480.4799999995</v>
      </c>
      <c r="G428" s="329"/>
      <c r="H428" s="655">
        <v>674464.19</v>
      </c>
      <c r="I428" s="329"/>
      <c r="J428" s="655">
        <v>-534789.24</v>
      </c>
      <c r="K428" s="329"/>
      <c r="L428" s="655">
        <v>-20144.020000000004</v>
      </c>
      <c r="M428" s="329"/>
      <c r="N428" s="655">
        <v>3190.3</v>
      </c>
      <c r="O428" s="329"/>
      <c r="P428" s="655">
        <v>0</v>
      </c>
      <c r="Q428" s="329"/>
      <c r="R428" s="655">
        <v>2079201.7099999995</v>
      </c>
      <c r="S428" s="329"/>
      <c r="T428" s="655">
        <v>2024748.0723076919</v>
      </c>
      <c r="X428" s="333"/>
    </row>
    <row r="429" spans="1:24" ht="14.1" customHeight="1" x14ac:dyDescent="0.2">
      <c r="A429" s="252">
        <v>26</v>
      </c>
      <c r="B429" s="273"/>
      <c r="C429" s="269">
        <v>39203</v>
      </c>
      <c r="D429" s="683" t="s">
        <v>263</v>
      </c>
      <c r="F429" s="655">
        <v>12663457.220000003</v>
      </c>
      <c r="G429" s="329"/>
      <c r="H429" s="655">
        <v>2765128.29</v>
      </c>
      <c r="I429" s="329"/>
      <c r="J429" s="655">
        <v>-667524.66999999993</v>
      </c>
      <c r="K429" s="329"/>
      <c r="L429" s="655">
        <v>-64447.689999999973</v>
      </c>
      <c r="M429" s="329"/>
      <c r="N429" s="655">
        <v>11299.41</v>
      </c>
      <c r="O429" s="329"/>
      <c r="P429" s="655">
        <v>0</v>
      </c>
      <c r="Q429" s="329"/>
      <c r="R429" s="655">
        <v>14707912.560000002</v>
      </c>
      <c r="S429" s="329"/>
      <c r="T429" s="655">
        <v>13810236.259230774</v>
      </c>
    </row>
    <row r="430" spans="1:24" ht="14.1" customHeight="1" x14ac:dyDescent="0.2">
      <c r="A430" s="252">
        <v>27</v>
      </c>
      <c r="B430" s="273"/>
      <c r="C430" s="269">
        <v>39204</v>
      </c>
      <c r="D430" s="684" t="s">
        <v>264</v>
      </c>
      <c r="E430" s="282"/>
      <c r="F430" s="655">
        <v>-1.5279510989785194E-10</v>
      </c>
      <c r="G430" s="329"/>
      <c r="H430" s="655">
        <v>0</v>
      </c>
      <c r="I430" s="329"/>
      <c r="J430" s="655">
        <v>0</v>
      </c>
      <c r="K430" s="329"/>
      <c r="L430" s="655">
        <v>0</v>
      </c>
      <c r="M430" s="329"/>
      <c r="N430" s="655">
        <v>0</v>
      </c>
      <c r="O430" s="329"/>
      <c r="P430" s="655">
        <v>0</v>
      </c>
      <c r="Q430" s="329"/>
      <c r="R430" s="655">
        <v>-1.5279510989785194E-10</v>
      </c>
      <c r="S430" s="329"/>
      <c r="T430" s="655">
        <v>-1.5279510989785194E-10</v>
      </c>
    </row>
    <row r="431" spans="1:24" ht="14.1" customHeight="1" x14ac:dyDescent="0.2">
      <c r="A431" s="252">
        <v>28</v>
      </c>
      <c r="B431" s="273"/>
      <c r="C431" s="301">
        <v>39212</v>
      </c>
      <c r="D431" s="682" t="s">
        <v>265</v>
      </c>
      <c r="F431" s="655">
        <v>1189156.9500000011</v>
      </c>
      <c r="G431" s="329"/>
      <c r="H431" s="655">
        <v>192247.71</v>
      </c>
      <c r="I431" s="329"/>
      <c r="J431" s="655">
        <v>-59241.210000000006</v>
      </c>
      <c r="K431" s="329"/>
      <c r="L431" s="655">
        <v>-3339.9700000000012</v>
      </c>
      <c r="M431" s="329"/>
      <c r="N431" s="655">
        <v>593.60999999999922</v>
      </c>
      <c r="O431" s="329"/>
      <c r="P431" s="655">
        <v>0</v>
      </c>
      <c r="Q431" s="329"/>
      <c r="R431" s="655">
        <v>1319417.0900000012</v>
      </c>
      <c r="S431" s="329"/>
      <c r="T431" s="655">
        <v>1263149.4930769242</v>
      </c>
    </row>
    <row r="432" spans="1:24" ht="14.1" customHeight="1" x14ac:dyDescent="0.2">
      <c r="A432" s="252">
        <v>29</v>
      </c>
      <c r="B432" s="273"/>
      <c r="C432" s="269">
        <v>39213</v>
      </c>
      <c r="D432" s="682" t="s">
        <v>266</v>
      </c>
      <c r="F432" s="655">
        <v>103402.88999999988</v>
      </c>
      <c r="G432" s="329"/>
      <c r="H432" s="655">
        <v>28432.379999999994</v>
      </c>
      <c r="I432" s="329"/>
      <c r="J432" s="655">
        <v>-29129.920000000002</v>
      </c>
      <c r="K432" s="329"/>
      <c r="L432" s="655">
        <v>-812.10000000000014</v>
      </c>
      <c r="M432" s="329"/>
      <c r="N432" s="655">
        <v>149.90999999999997</v>
      </c>
      <c r="O432" s="329"/>
      <c r="P432" s="655">
        <v>0</v>
      </c>
      <c r="Q432" s="329"/>
      <c r="R432" s="655">
        <v>102043.15999999987</v>
      </c>
      <c r="S432" s="329"/>
      <c r="T432" s="655">
        <v>112650.77076923069</v>
      </c>
    </row>
    <row r="433" spans="1:20" ht="14.1" customHeight="1" x14ac:dyDescent="0.2">
      <c r="A433" s="252">
        <v>30</v>
      </c>
      <c r="B433" s="273"/>
      <c r="C433" s="269">
        <v>39214</v>
      </c>
      <c r="D433" s="685" t="s">
        <v>267</v>
      </c>
      <c r="E433" s="282"/>
      <c r="F433" s="655">
        <v>0</v>
      </c>
      <c r="G433" s="329"/>
      <c r="H433" s="655">
        <v>0</v>
      </c>
      <c r="I433" s="329"/>
      <c r="J433" s="655">
        <v>0</v>
      </c>
      <c r="K433" s="329"/>
      <c r="L433" s="655">
        <v>0</v>
      </c>
      <c r="M433" s="329"/>
      <c r="N433" s="655">
        <v>0</v>
      </c>
      <c r="O433" s="329"/>
      <c r="P433" s="655">
        <v>0</v>
      </c>
      <c r="Q433" s="329"/>
      <c r="R433" s="655">
        <v>0</v>
      </c>
      <c r="S433" s="329"/>
      <c r="T433" s="655">
        <v>0</v>
      </c>
    </row>
    <row r="434" spans="1:20" ht="14.1" customHeight="1" x14ac:dyDescent="0.2">
      <c r="A434" s="252">
        <v>31</v>
      </c>
      <c r="B434" s="273"/>
      <c r="C434" s="269">
        <v>39300</v>
      </c>
      <c r="D434" s="685" t="s">
        <v>268</v>
      </c>
      <c r="E434" s="282"/>
      <c r="F434" s="655">
        <v>0</v>
      </c>
      <c r="G434" s="329"/>
      <c r="H434" s="655">
        <v>0</v>
      </c>
      <c r="I434" s="329"/>
      <c r="J434" s="655">
        <v>0</v>
      </c>
      <c r="K434" s="329"/>
      <c r="L434" s="655">
        <v>0</v>
      </c>
      <c r="M434" s="329"/>
      <c r="N434" s="655">
        <v>0</v>
      </c>
      <c r="O434" s="329"/>
      <c r="P434" s="655">
        <v>0</v>
      </c>
      <c r="Q434" s="329"/>
      <c r="R434" s="655">
        <v>0</v>
      </c>
      <c r="S434" s="329"/>
      <c r="T434" s="655">
        <v>0</v>
      </c>
    </row>
    <row r="435" spans="1:20" ht="14.1" customHeight="1" x14ac:dyDescent="0.2">
      <c r="A435" s="252">
        <v>32</v>
      </c>
      <c r="B435" s="273"/>
      <c r="C435" s="269">
        <v>39400</v>
      </c>
      <c r="D435" s="282" t="s">
        <v>269</v>
      </c>
      <c r="E435" s="282"/>
      <c r="F435" s="655">
        <v>5470089.46</v>
      </c>
      <c r="G435" s="329"/>
      <c r="H435" s="655">
        <v>1830888.02</v>
      </c>
      <c r="I435" s="329"/>
      <c r="J435" s="655">
        <v>-252555.85</v>
      </c>
      <c r="K435" s="329"/>
      <c r="L435" s="655">
        <v>0</v>
      </c>
      <c r="M435" s="329"/>
      <c r="N435" s="655">
        <v>0</v>
      </c>
      <c r="O435" s="329"/>
      <c r="P435" s="655">
        <v>0</v>
      </c>
      <c r="Q435" s="329"/>
      <c r="R435" s="655">
        <v>7048421.6300000008</v>
      </c>
      <c r="S435" s="329"/>
      <c r="T435" s="655">
        <v>6276250.0446153842</v>
      </c>
    </row>
    <row r="436" spans="1:20" ht="14.1" customHeight="1" x14ac:dyDescent="0.2">
      <c r="A436" s="252">
        <v>33</v>
      </c>
      <c r="B436" s="273"/>
      <c r="C436" s="269">
        <v>39401</v>
      </c>
      <c r="D436" s="685" t="s">
        <v>1384</v>
      </c>
      <c r="F436" s="655">
        <v>0</v>
      </c>
      <c r="G436" s="329"/>
      <c r="H436" s="655">
        <v>0</v>
      </c>
      <c r="I436" s="329"/>
      <c r="J436" s="655">
        <v>0</v>
      </c>
      <c r="K436" s="329"/>
      <c r="L436" s="655">
        <v>0</v>
      </c>
      <c r="M436" s="329"/>
      <c r="N436" s="655">
        <v>0</v>
      </c>
      <c r="O436" s="329"/>
      <c r="P436" s="655">
        <v>0</v>
      </c>
      <c r="Q436" s="329"/>
      <c r="R436" s="655">
        <v>0</v>
      </c>
      <c r="S436" s="329"/>
      <c r="T436" s="655">
        <v>0</v>
      </c>
    </row>
    <row r="437" spans="1:20" ht="14.1" customHeight="1" x14ac:dyDescent="0.2">
      <c r="A437" s="252">
        <v>34</v>
      </c>
      <c r="B437" s="273"/>
      <c r="C437" s="269">
        <v>39500</v>
      </c>
      <c r="D437" s="252" t="s">
        <v>270</v>
      </c>
      <c r="F437" s="655">
        <v>741865.12999999989</v>
      </c>
      <c r="G437" s="329"/>
      <c r="H437" s="655">
        <v>297088.45999999996</v>
      </c>
      <c r="I437" s="329"/>
      <c r="J437" s="655">
        <v>-112212.76999999999</v>
      </c>
      <c r="K437" s="329"/>
      <c r="L437" s="655">
        <v>0</v>
      </c>
      <c r="M437" s="329"/>
      <c r="N437" s="655">
        <v>0</v>
      </c>
      <c r="O437" s="329"/>
      <c r="P437" s="655">
        <v>0</v>
      </c>
      <c r="Q437" s="329"/>
      <c r="R437" s="655">
        <v>926740.81999999983</v>
      </c>
      <c r="S437" s="329"/>
      <c r="T437" s="655">
        <v>824064.44307692302</v>
      </c>
    </row>
    <row r="438" spans="1:20" ht="14.1" customHeight="1" x14ac:dyDescent="0.2">
      <c r="A438" s="252">
        <v>35</v>
      </c>
      <c r="B438" s="273"/>
      <c r="C438" s="269">
        <v>39600</v>
      </c>
      <c r="D438" s="252" t="s">
        <v>271</v>
      </c>
      <c r="F438" s="655">
        <v>0</v>
      </c>
      <c r="G438" s="329"/>
      <c r="H438" s="655">
        <v>0</v>
      </c>
      <c r="I438" s="329"/>
      <c r="J438" s="655">
        <v>0</v>
      </c>
      <c r="K438" s="329"/>
      <c r="L438" s="655">
        <v>0</v>
      </c>
      <c r="M438" s="329"/>
      <c r="N438" s="655">
        <v>0</v>
      </c>
      <c r="O438" s="329"/>
      <c r="P438" s="655">
        <v>0</v>
      </c>
      <c r="Q438" s="329"/>
      <c r="R438" s="655">
        <v>0</v>
      </c>
      <c r="S438" s="329"/>
      <c r="T438" s="655">
        <v>0</v>
      </c>
    </row>
    <row r="439" spans="1:20" ht="14.1" customHeight="1" x14ac:dyDescent="0.2">
      <c r="A439" s="252">
        <v>36</v>
      </c>
      <c r="B439" s="273"/>
      <c r="C439" s="269">
        <v>39700</v>
      </c>
      <c r="D439" s="282" t="s">
        <v>272</v>
      </c>
      <c r="E439" s="282"/>
      <c r="F439" s="655">
        <v>14221434.140000004</v>
      </c>
      <c r="G439" s="329"/>
      <c r="H439" s="655">
        <v>5041798.1000000006</v>
      </c>
      <c r="I439" s="329"/>
      <c r="J439" s="655">
        <v>-2707711.1599999992</v>
      </c>
      <c r="K439" s="329"/>
      <c r="L439" s="655">
        <v>0</v>
      </c>
      <c r="M439" s="329"/>
      <c r="N439" s="655">
        <v>0</v>
      </c>
      <c r="O439" s="329"/>
      <c r="P439" s="655">
        <v>0</v>
      </c>
      <c r="Q439" s="329"/>
      <c r="R439" s="655">
        <v>16555521.080000006</v>
      </c>
      <c r="S439" s="329"/>
      <c r="T439" s="655">
        <v>15259490.159230772</v>
      </c>
    </row>
    <row r="440" spans="1:20" ht="14.1" customHeight="1" x14ac:dyDescent="0.2">
      <c r="A440" s="252">
        <v>37</v>
      </c>
      <c r="B440" s="273"/>
      <c r="C440" s="267">
        <v>39725</v>
      </c>
      <c r="D440" s="282" t="s">
        <v>273</v>
      </c>
      <c r="E440" s="282"/>
      <c r="F440" s="655">
        <v>24391128.76999997</v>
      </c>
      <c r="G440" s="329"/>
      <c r="H440" s="655">
        <v>1674478.3600000003</v>
      </c>
      <c r="I440" s="329"/>
      <c r="J440" s="655">
        <v>-645404.74</v>
      </c>
      <c r="K440" s="329"/>
      <c r="L440" s="655">
        <v>-136194.23999999999</v>
      </c>
      <c r="M440" s="329"/>
      <c r="N440" s="655">
        <v>0</v>
      </c>
      <c r="O440" s="329"/>
      <c r="P440" s="655">
        <v>2019.64</v>
      </c>
      <c r="Q440" s="329"/>
      <c r="R440" s="655">
        <v>25286027.789999973</v>
      </c>
      <c r="S440" s="329"/>
      <c r="T440" s="655">
        <v>24870198.027692281</v>
      </c>
    </row>
    <row r="441" spans="1:20" ht="14.1" customHeight="1" x14ac:dyDescent="0.2">
      <c r="A441" s="252">
        <v>38</v>
      </c>
      <c r="B441" s="273"/>
      <c r="C441" s="267">
        <v>39800</v>
      </c>
      <c r="D441" s="282" t="s">
        <v>274</v>
      </c>
      <c r="E441" s="282"/>
      <c r="F441" s="655">
        <v>336202.06000000023</v>
      </c>
      <c r="G441" s="329"/>
      <c r="H441" s="655">
        <v>321604.56999999995</v>
      </c>
      <c r="I441" s="329"/>
      <c r="J441" s="655">
        <v>0</v>
      </c>
      <c r="K441" s="329"/>
      <c r="L441" s="655">
        <v>0</v>
      </c>
      <c r="M441" s="329"/>
      <c r="N441" s="655">
        <v>0</v>
      </c>
      <c r="O441" s="329"/>
      <c r="P441" s="655">
        <v>0</v>
      </c>
      <c r="Q441" s="329"/>
      <c r="R441" s="655">
        <v>657806.63000000012</v>
      </c>
      <c r="S441" s="329"/>
      <c r="T441" s="655">
        <v>484516.62076923094</v>
      </c>
    </row>
    <row r="442" spans="1:20" ht="14.1" customHeight="1" x14ac:dyDescent="0.2">
      <c r="A442" s="252">
        <v>39</v>
      </c>
      <c r="B442" s="273"/>
      <c r="C442" s="267"/>
      <c r="F442" s="723"/>
      <c r="G442" s="329"/>
      <c r="H442" s="723"/>
      <c r="I442" s="329"/>
      <c r="J442" s="723"/>
      <c r="K442" s="329"/>
      <c r="L442" s="723"/>
      <c r="M442" s="329"/>
      <c r="N442" s="723"/>
      <c r="O442" s="329"/>
      <c r="P442" s="723"/>
      <c r="Q442" s="329"/>
      <c r="R442" s="723"/>
      <c r="S442" s="329"/>
      <c r="T442" s="723"/>
    </row>
    <row r="443" spans="1:20" ht="14.1" customHeight="1" thickBot="1" x14ac:dyDescent="0.25">
      <c r="A443" s="252">
        <v>40</v>
      </c>
      <c r="B443" s="273"/>
      <c r="D443" s="300" t="s">
        <v>171</v>
      </c>
      <c r="E443" s="300"/>
      <c r="F443" s="665">
        <v>134212218.22</v>
      </c>
      <c r="G443" s="666"/>
      <c r="H443" s="665">
        <v>23353340.860000003</v>
      </c>
      <c r="I443" s="666"/>
      <c r="J443" s="665">
        <v>-13136852.42</v>
      </c>
      <c r="K443" s="666"/>
      <c r="L443" s="665">
        <v>-515725.23999999987</v>
      </c>
      <c r="M443" s="666"/>
      <c r="N443" s="665">
        <v>15233.229999999998</v>
      </c>
      <c r="O443" s="666"/>
      <c r="P443" s="665">
        <v>289128.38</v>
      </c>
      <c r="Q443" s="724"/>
      <c r="R443" s="665">
        <v>144217343.02999997</v>
      </c>
      <c r="S443" s="666"/>
      <c r="T443" s="665">
        <v>139621448.56769231</v>
      </c>
    </row>
    <row r="444" spans="1:20" ht="14.1" customHeight="1" thickTop="1" x14ac:dyDescent="0.2">
      <c r="A444" s="252">
        <v>41</v>
      </c>
      <c r="F444" s="659"/>
      <c r="G444" s="602"/>
      <c r="H444" s="659"/>
      <c r="I444" s="602"/>
      <c r="J444" s="659"/>
      <c r="K444" s="602"/>
      <c r="L444" s="659"/>
      <c r="M444" s="602"/>
      <c r="N444" s="659"/>
      <c r="O444" s="602"/>
      <c r="P444" s="659"/>
      <c r="Q444" s="602"/>
      <c r="R444" s="659"/>
      <c r="S444" s="602"/>
      <c r="T444" s="659"/>
    </row>
    <row r="445" spans="1:20" ht="14.1" customHeight="1" thickBot="1" x14ac:dyDescent="0.25">
      <c r="A445" s="252">
        <v>42</v>
      </c>
      <c r="C445" s="299"/>
      <c r="D445" s="302" t="s">
        <v>308</v>
      </c>
      <c r="E445" s="300"/>
      <c r="F445" s="326">
        <v>2987322322.0500002</v>
      </c>
      <c r="G445" s="666"/>
      <c r="H445" s="326">
        <v>336389327.36000001</v>
      </c>
      <c r="I445" s="666"/>
      <c r="J445" s="326">
        <v>-91077487.420000002</v>
      </c>
      <c r="K445" s="666"/>
      <c r="L445" s="326">
        <v>-58460243.550000004</v>
      </c>
      <c r="M445" s="666"/>
      <c r="N445" s="326">
        <v>3076487.47</v>
      </c>
      <c r="O445" s="666"/>
      <c r="P445" s="326">
        <v>3924166.2400000007</v>
      </c>
      <c r="Q445" s="724"/>
      <c r="R445" s="326">
        <v>3181174572.1500006</v>
      </c>
      <c r="S445" s="666"/>
      <c r="T445" s="326">
        <v>3080770208.7953844</v>
      </c>
    </row>
    <row r="446" spans="1:20" ht="14.1" customHeight="1" thickTop="1" x14ac:dyDescent="0.2">
      <c r="A446" s="252">
        <v>43</v>
      </c>
    </row>
    <row r="447" spans="1:20" ht="14.1" customHeight="1" thickBot="1" x14ac:dyDescent="0.25">
      <c r="A447" s="264">
        <v>44</v>
      </c>
      <c r="B447" s="667" t="s">
        <v>186</v>
      </c>
      <c r="C447" s="296"/>
      <c r="D447" s="264"/>
      <c r="E447" s="264"/>
      <c r="F447" s="264"/>
      <c r="G447" s="725"/>
      <c r="H447" s="725"/>
      <c r="I447" s="725"/>
      <c r="J447" s="725"/>
      <c r="K447" s="725"/>
      <c r="L447" s="725"/>
      <c r="M447" s="725"/>
      <c r="N447" s="725"/>
      <c r="O447" s="725"/>
      <c r="P447" s="725"/>
      <c r="Q447" s="725"/>
      <c r="R447" s="725"/>
      <c r="S447" s="725"/>
      <c r="T447" s="725"/>
    </row>
    <row r="448" spans="1:20" ht="14.1" customHeight="1" x14ac:dyDescent="0.2">
      <c r="A448" s="252" t="s">
        <v>60</v>
      </c>
      <c r="R448" s="252" t="s">
        <v>60</v>
      </c>
    </row>
    <row r="449" spans="1:29" ht="14.1" customHeight="1" thickBot="1" x14ac:dyDescent="0.25">
      <c r="A449" s="264" t="s">
        <v>301</v>
      </c>
      <c r="B449" s="264"/>
      <c r="C449" s="264"/>
      <c r="D449" s="264"/>
      <c r="E449" s="264"/>
      <c r="F449" s="264" t="s">
        <v>302</v>
      </c>
      <c r="G449" s="264"/>
      <c r="H449" s="264"/>
      <c r="I449" s="264"/>
      <c r="J449" s="264"/>
      <c r="K449" s="264"/>
      <c r="L449" s="264"/>
      <c r="M449" s="264"/>
      <c r="N449" s="264"/>
      <c r="O449" s="264"/>
      <c r="P449" s="264"/>
      <c r="Q449" s="264"/>
      <c r="R449" s="264"/>
      <c r="S449" s="264"/>
      <c r="T449" s="264" t="s">
        <v>331</v>
      </c>
    </row>
    <row r="450" spans="1:29" ht="14.1" customHeight="1" x14ac:dyDescent="0.2">
      <c r="A450" s="252" t="s">
        <v>129</v>
      </c>
      <c r="B450" s="285"/>
      <c r="E450" s="260" t="s">
        <v>130</v>
      </c>
      <c r="F450" s="252" t="s">
        <v>303</v>
      </c>
      <c r="J450" s="286"/>
      <c r="K450" s="286"/>
      <c r="P450" s="286"/>
      <c r="Q450" s="286"/>
      <c r="R450" s="286" t="s">
        <v>132</v>
      </c>
      <c r="T450" s="261"/>
    </row>
    <row r="451" spans="1:29" ht="14.1" customHeight="1" x14ac:dyDescent="0.2">
      <c r="B451" s="285"/>
      <c r="F451" s="252" t="s">
        <v>1399</v>
      </c>
      <c r="J451" s="260"/>
      <c r="K451" s="261"/>
      <c r="P451" s="260"/>
      <c r="Q451" s="260" t="s">
        <v>123</v>
      </c>
      <c r="R451" s="261" t="s">
        <v>1407</v>
      </c>
      <c r="T451" s="260"/>
    </row>
    <row r="452" spans="1:29" ht="14.1" customHeight="1" x14ac:dyDescent="0.2">
      <c r="A452" s="252" t="s">
        <v>134</v>
      </c>
      <c r="B452" s="285"/>
      <c r="F452" s="252" t="s">
        <v>123</v>
      </c>
      <c r="J452" s="260"/>
      <c r="K452" s="261"/>
      <c r="L452" s="260"/>
      <c r="N452" s="260"/>
      <c r="Q452" s="260" t="s">
        <v>123</v>
      </c>
      <c r="R452" s="261">
        <v>0</v>
      </c>
      <c r="T452" s="260"/>
    </row>
    <row r="453" spans="1:29" ht="14.1" customHeight="1" x14ac:dyDescent="0.2">
      <c r="B453" s="285"/>
      <c r="F453" s="252" t="s">
        <v>123</v>
      </c>
      <c r="J453" s="260"/>
      <c r="K453" s="261"/>
      <c r="L453" s="260"/>
      <c r="N453" s="260"/>
      <c r="Q453" s="260" t="s">
        <v>123</v>
      </c>
      <c r="R453" s="261"/>
      <c r="T453" s="260"/>
    </row>
    <row r="454" spans="1:29" ht="14.1" customHeight="1" thickBot="1" x14ac:dyDescent="0.25">
      <c r="A454" s="264" t="s">
        <v>135</v>
      </c>
      <c r="B454" s="287"/>
      <c r="C454" s="264"/>
      <c r="D454" s="264"/>
      <c r="E454" s="264"/>
      <c r="F454" s="264" t="s">
        <v>123</v>
      </c>
      <c r="G454" s="264"/>
      <c r="H454" s="266"/>
      <c r="I454" s="264"/>
      <c r="J454" s="264"/>
      <c r="K454" s="264"/>
      <c r="L454" s="264"/>
      <c r="M454" s="264"/>
      <c r="N454" s="264"/>
      <c r="O454" s="264"/>
      <c r="P454" s="264"/>
      <c r="Q454" s="264"/>
      <c r="R454" s="288"/>
      <c r="S454" s="264"/>
      <c r="T454" s="264"/>
    </row>
    <row r="455" spans="1:29" ht="14.1" customHeight="1" x14ac:dyDescent="0.2"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7"/>
      <c r="T455" s="267"/>
    </row>
    <row r="456" spans="1:29" ht="14.1" customHeight="1" x14ac:dyDescent="0.2">
      <c r="C456" s="267" t="s">
        <v>136</v>
      </c>
      <c r="D456" s="267" t="s">
        <v>137</v>
      </c>
      <c r="E456" s="267"/>
      <c r="F456" s="267" t="s">
        <v>138</v>
      </c>
      <c r="G456" s="267"/>
      <c r="H456" s="267" t="s">
        <v>139</v>
      </c>
      <c r="I456" s="267"/>
      <c r="J456" s="269" t="s">
        <v>140</v>
      </c>
      <c r="L456" s="267" t="s">
        <v>141</v>
      </c>
      <c r="M456" s="267"/>
      <c r="N456" s="267" t="s">
        <v>142</v>
      </c>
      <c r="O456" s="267"/>
      <c r="P456" s="267" t="s">
        <v>143</v>
      </c>
      <c r="Q456" s="267"/>
      <c r="R456" s="267" t="s">
        <v>144</v>
      </c>
      <c r="S456" s="267"/>
      <c r="T456" s="267" t="s">
        <v>305</v>
      </c>
    </row>
    <row r="457" spans="1:29" ht="14.1" customHeight="1" x14ac:dyDescent="0.2">
      <c r="C457" s="269" t="s">
        <v>145</v>
      </c>
      <c r="D457" s="269" t="s">
        <v>145</v>
      </c>
      <c r="F457" s="267" t="s">
        <v>41</v>
      </c>
      <c r="G457" s="269"/>
      <c r="H457" s="267" t="s">
        <v>40</v>
      </c>
      <c r="I457" s="269"/>
      <c r="J457" s="267"/>
      <c r="K457" s="269"/>
      <c r="L457" s="269"/>
      <c r="M457" s="269"/>
      <c r="N457" s="269"/>
      <c r="O457" s="269"/>
      <c r="P457" s="269"/>
      <c r="Q457" s="269"/>
      <c r="R457" s="269" t="s">
        <v>41</v>
      </c>
      <c r="T457" s="269"/>
    </row>
    <row r="458" spans="1:29" ht="14.1" customHeight="1" x14ac:dyDescent="0.2">
      <c r="A458" s="252" t="s">
        <v>146</v>
      </c>
      <c r="B458" s="269"/>
      <c r="C458" s="269" t="s">
        <v>147</v>
      </c>
      <c r="D458" s="269" t="s">
        <v>147</v>
      </c>
      <c r="E458" s="267"/>
      <c r="F458" s="269" t="s">
        <v>6</v>
      </c>
      <c r="G458" s="269"/>
      <c r="H458" s="269" t="s">
        <v>6</v>
      </c>
      <c r="I458" s="269"/>
      <c r="J458" s="269"/>
      <c r="K458" s="267"/>
      <c r="L458" s="269" t="s">
        <v>306</v>
      </c>
      <c r="M458" s="269"/>
      <c r="N458" s="269" t="s">
        <v>306</v>
      </c>
      <c r="O458" s="269"/>
      <c r="P458" s="269" t="s">
        <v>150</v>
      </c>
      <c r="Q458" s="267"/>
      <c r="R458" s="267" t="s">
        <v>6</v>
      </c>
      <c r="S458" s="267"/>
      <c r="T458" s="269" t="s">
        <v>151</v>
      </c>
    </row>
    <row r="459" spans="1:29" ht="14.1" customHeight="1" thickBot="1" x14ac:dyDescent="0.25">
      <c r="A459" s="264" t="s">
        <v>152</v>
      </c>
      <c r="B459" s="266"/>
      <c r="C459" s="266" t="s">
        <v>52</v>
      </c>
      <c r="D459" s="266" t="s">
        <v>153</v>
      </c>
      <c r="E459" s="266"/>
      <c r="F459" s="270" t="s">
        <v>154</v>
      </c>
      <c r="G459" s="270"/>
      <c r="H459" s="270" t="s">
        <v>307</v>
      </c>
      <c r="I459" s="271"/>
      <c r="J459" s="270" t="s">
        <v>18</v>
      </c>
      <c r="K459" s="271"/>
      <c r="L459" s="270" t="s">
        <v>19</v>
      </c>
      <c r="M459" s="271"/>
      <c r="N459" s="270" t="s">
        <v>54</v>
      </c>
      <c r="O459" s="271"/>
      <c r="P459" s="272" t="s">
        <v>157</v>
      </c>
      <c r="Q459" s="272"/>
      <c r="R459" s="272" t="s">
        <v>158</v>
      </c>
      <c r="S459" s="272"/>
      <c r="T459" s="272" t="s">
        <v>3</v>
      </c>
    </row>
    <row r="460" spans="1:29" ht="14.1" customHeight="1" x14ac:dyDescent="0.2">
      <c r="A460" s="252">
        <v>1</v>
      </c>
    </row>
    <row r="461" spans="1:29" ht="14.1" customHeight="1" x14ac:dyDescent="0.2">
      <c r="A461" s="252">
        <v>2</v>
      </c>
      <c r="B461" s="273"/>
      <c r="D461" s="83" t="s">
        <v>275</v>
      </c>
      <c r="F461" s="291"/>
      <c r="G461" s="602"/>
      <c r="H461" s="722"/>
      <c r="I461" s="602"/>
      <c r="J461" s="722"/>
      <c r="K461" s="602"/>
      <c r="L461" s="722"/>
      <c r="M461" s="602"/>
      <c r="N461" s="722"/>
      <c r="O461" s="602"/>
      <c r="P461" s="722"/>
      <c r="Q461" s="602"/>
      <c r="R461" s="722"/>
      <c r="S461" s="602"/>
      <c r="T461" s="722"/>
    </row>
    <row r="462" spans="1:29" ht="14.1" customHeight="1" x14ac:dyDescent="0.2">
      <c r="A462" s="252">
        <v>3</v>
      </c>
      <c r="B462" s="273"/>
      <c r="C462" s="269" t="s">
        <v>276</v>
      </c>
      <c r="D462" s="687" t="s">
        <v>277</v>
      </c>
      <c r="E462" s="653"/>
      <c r="F462" s="101">
        <v>0</v>
      </c>
      <c r="G462" s="602"/>
      <c r="H462" s="101">
        <v>0</v>
      </c>
      <c r="I462" s="602"/>
      <c r="J462" s="101">
        <v>0</v>
      </c>
      <c r="K462" s="602"/>
      <c r="L462" s="101">
        <v>0</v>
      </c>
      <c r="M462" s="602"/>
      <c r="N462" s="101">
        <v>0</v>
      </c>
      <c r="O462" s="602"/>
      <c r="P462" s="101">
        <v>0</v>
      </c>
      <c r="Q462" s="602"/>
      <c r="R462" s="101">
        <v>0</v>
      </c>
      <c r="S462" s="602"/>
      <c r="T462" s="101">
        <v>0</v>
      </c>
    </row>
    <row r="463" spans="1:29" ht="14.1" customHeight="1" x14ac:dyDescent="0.2">
      <c r="A463" s="252">
        <v>4</v>
      </c>
      <c r="B463" s="273"/>
      <c r="C463" s="269" t="s">
        <v>278</v>
      </c>
      <c r="D463" s="688" t="s">
        <v>279</v>
      </c>
      <c r="E463" s="689"/>
      <c r="F463" s="101">
        <v>0</v>
      </c>
      <c r="G463" s="602"/>
      <c r="H463" s="101">
        <v>0</v>
      </c>
      <c r="I463" s="602"/>
      <c r="J463" s="101">
        <v>0</v>
      </c>
      <c r="K463" s="602"/>
      <c r="L463" s="101">
        <v>0</v>
      </c>
      <c r="M463" s="602"/>
      <c r="N463" s="101">
        <v>0</v>
      </c>
      <c r="O463" s="602"/>
      <c r="P463" s="101">
        <v>0</v>
      </c>
      <c r="Q463" s="602"/>
      <c r="R463" s="101">
        <v>0</v>
      </c>
      <c r="S463" s="602"/>
      <c r="T463" s="101">
        <v>0</v>
      </c>
      <c r="AA463" s="603"/>
      <c r="AB463" s="603"/>
      <c r="AC463" s="603"/>
    </row>
    <row r="464" spans="1:29" ht="14.1" customHeight="1" x14ac:dyDescent="0.2">
      <c r="A464" s="252">
        <v>5</v>
      </c>
      <c r="B464" s="273"/>
      <c r="C464" s="269">
        <v>35000</v>
      </c>
      <c r="D464" s="589" t="s">
        <v>280</v>
      </c>
      <c r="E464" s="690"/>
      <c r="F464" s="655">
        <v>0</v>
      </c>
      <c r="G464" s="329"/>
      <c r="H464" s="655">
        <v>0</v>
      </c>
      <c r="I464" s="329"/>
      <c r="J464" s="655">
        <v>0</v>
      </c>
      <c r="K464" s="329"/>
      <c r="L464" s="655">
        <v>0</v>
      </c>
      <c r="M464" s="329"/>
      <c r="N464" s="655">
        <v>0</v>
      </c>
      <c r="O464" s="329"/>
      <c r="P464" s="655">
        <v>0</v>
      </c>
      <c r="Q464" s="329"/>
      <c r="R464" s="655">
        <v>0</v>
      </c>
      <c r="S464" s="329"/>
      <c r="T464" s="655">
        <v>0</v>
      </c>
      <c r="AA464" s="603"/>
      <c r="AB464" s="603"/>
      <c r="AC464" s="603"/>
    </row>
    <row r="465" spans="1:29" ht="14.1" customHeight="1" x14ac:dyDescent="0.2">
      <c r="A465" s="252">
        <v>6</v>
      </c>
      <c r="B465" s="273"/>
      <c r="C465" s="269">
        <v>36000</v>
      </c>
      <c r="D465" s="589" t="s">
        <v>281</v>
      </c>
      <c r="E465" s="690"/>
      <c r="F465" s="655">
        <v>0</v>
      </c>
      <c r="G465" s="329"/>
      <c r="H465" s="655">
        <v>0</v>
      </c>
      <c r="I465" s="329"/>
      <c r="J465" s="655">
        <v>0</v>
      </c>
      <c r="K465" s="329"/>
      <c r="L465" s="655">
        <v>0</v>
      </c>
      <c r="M465" s="329"/>
      <c r="N465" s="655">
        <v>0</v>
      </c>
      <c r="O465" s="329"/>
      <c r="P465" s="655">
        <v>0</v>
      </c>
      <c r="Q465" s="329"/>
      <c r="R465" s="655">
        <v>0</v>
      </c>
      <c r="S465" s="329"/>
      <c r="T465" s="655">
        <v>0</v>
      </c>
      <c r="AA465" s="603"/>
      <c r="AB465" s="603"/>
      <c r="AC465" s="603"/>
    </row>
    <row r="466" spans="1:29" ht="14.1" customHeight="1" x14ac:dyDescent="0.2">
      <c r="A466" s="252">
        <v>7</v>
      </c>
      <c r="B466" s="273"/>
      <c r="C466" s="269">
        <v>38900</v>
      </c>
      <c r="D466" s="589" t="s">
        <v>282</v>
      </c>
      <c r="E466" s="690"/>
      <c r="F466" s="655">
        <v>0</v>
      </c>
      <c r="G466" s="329"/>
      <c r="H466" s="655">
        <v>0</v>
      </c>
      <c r="I466" s="329"/>
      <c r="J466" s="655">
        <v>0</v>
      </c>
      <c r="K466" s="329"/>
      <c r="L466" s="655">
        <v>0</v>
      </c>
      <c r="M466" s="329"/>
      <c r="N466" s="655">
        <v>0</v>
      </c>
      <c r="O466" s="329"/>
      <c r="P466" s="655">
        <v>0</v>
      </c>
      <c r="Q466" s="329"/>
      <c r="R466" s="655">
        <v>0</v>
      </c>
      <c r="S466" s="329"/>
      <c r="T466" s="655">
        <v>0</v>
      </c>
      <c r="AA466" s="603"/>
      <c r="AB466" s="603"/>
      <c r="AC466" s="603"/>
    </row>
    <row r="467" spans="1:29" ht="14.1" customHeight="1" x14ac:dyDescent="0.2">
      <c r="A467" s="252">
        <v>8</v>
      </c>
      <c r="B467" s="273"/>
      <c r="C467" s="269"/>
      <c r="D467" s="726" t="s">
        <v>173</v>
      </c>
      <c r="E467" s="689"/>
      <c r="F467" s="664">
        <v>0</v>
      </c>
      <c r="G467" s="602"/>
      <c r="H467" s="664">
        <v>0</v>
      </c>
      <c r="I467" s="602"/>
      <c r="J467" s="664">
        <v>0</v>
      </c>
      <c r="K467" s="602"/>
      <c r="L467" s="664">
        <v>0</v>
      </c>
      <c r="M467" s="602"/>
      <c r="N467" s="664">
        <v>0</v>
      </c>
      <c r="O467" s="602"/>
      <c r="P467" s="664">
        <v>0</v>
      </c>
      <c r="Q467" s="602"/>
      <c r="R467" s="664">
        <v>0</v>
      </c>
      <c r="S467" s="602"/>
      <c r="T467" s="664">
        <v>0</v>
      </c>
      <c r="AA467" s="603"/>
      <c r="AB467" s="603"/>
      <c r="AC467" s="603"/>
    </row>
    <row r="468" spans="1:29" ht="14.1" customHeight="1" x14ac:dyDescent="0.2">
      <c r="A468" s="252">
        <v>9</v>
      </c>
      <c r="B468" s="273"/>
      <c r="C468" s="269"/>
      <c r="F468" s="602"/>
      <c r="G468" s="602"/>
      <c r="H468" s="602"/>
      <c r="I468" s="602"/>
      <c r="J468" s="602"/>
      <c r="K468" s="602"/>
      <c r="L468" s="602"/>
      <c r="M468" s="602"/>
      <c r="N468" s="602"/>
      <c r="O468" s="602"/>
      <c r="P468" s="602"/>
      <c r="Q468" s="602"/>
      <c r="R468" s="602"/>
      <c r="S468" s="602"/>
      <c r="T468" s="602"/>
      <c r="AA468" s="603"/>
      <c r="AB468" s="603"/>
      <c r="AC468" s="603"/>
    </row>
    <row r="469" spans="1:29" ht="14.1" customHeight="1" x14ac:dyDescent="0.2">
      <c r="A469" s="252">
        <v>10</v>
      </c>
      <c r="B469" s="273"/>
      <c r="C469" s="269"/>
      <c r="D469" s="691" t="s">
        <v>283</v>
      </c>
      <c r="E469" s="653"/>
      <c r="F469" s="602"/>
      <c r="G469" s="602"/>
      <c r="H469" s="329"/>
      <c r="I469" s="602"/>
      <c r="J469" s="329"/>
      <c r="K469" s="602"/>
      <c r="L469" s="329"/>
      <c r="M469" s="602"/>
      <c r="N469" s="329"/>
      <c r="O469" s="602"/>
      <c r="P469" s="329"/>
      <c r="Q469" s="602"/>
      <c r="R469" s="602"/>
      <c r="S469" s="602"/>
      <c r="T469" s="602"/>
      <c r="AA469" s="603"/>
      <c r="AB469" s="603"/>
      <c r="AC469" s="603"/>
    </row>
    <row r="470" spans="1:29" ht="14.1" customHeight="1" x14ac:dyDescent="0.2">
      <c r="A470" s="252">
        <v>11</v>
      </c>
      <c r="B470" s="273"/>
      <c r="C470" s="269">
        <v>30300</v>
      </c>
      <c r="D470" s="663" t="s">
        <v>1385</v>
      </c>
      <c r="E470" s="689"/>
      <c r="F470" s="655">
        <v>2.6848283596336842E-9</v>
      </c>
      <c r="G470" s="329"/>
      <c r="H470" s="655">
        <v>0</v>
      </c>
      <c r="I470" s="329"/>
      <c r="J470" s="655">
        <v>0</v>
      </c>
      <c r="K470" s="329"/>
      <c r="L470" s="655">
        <v>0</v>
      </c>
      <c r="M470" s="329"/>
      <c r="N470" s="655">
        <v>0</v>
      </c>
      <c r="O470" s="329"/>
      <c r="P470" s="655">
        <v>0</v>
      </c>
      <c r="Q470" s="329"/>
      <c r="R470" s="655">
        <v>2.6848283596336842E-9</v>
      </c>
      <c r="S470" s="329"/>
      <c r="T470" s="655">
        <v>2.6848283596336842E-9</v>
      </c>
      <c r="AA470" s="603"/>
      <c r="AB470" s="603"/>
      <c r="AC470" s="603"/>
    </row>
    <row r="471" spans="1:29" ht="14.1" customHeight="1" x14ac:dyDescent="0.2">
      <c r="A471" s="252">
        <v>12</v>
      </c>
      <c r="B471" s="273"/>
      <c r="C471" s="269">
        <v>30301</v>
      </c>
      <c r="D471" s="663" t="s">
        <v>1386</v>
      </c>
      <c r="E471" s="689"/>
      <c r="F471" s="655">
        <v>0</v>
      </c>
      <c r="G471" s="329"/>
      <c r="H471" s="655">
        <v>0</v>
      </c>
      <c r="I471" s="329"/>
      <c r="J471" s="655">
        <v>0</v>
      </c>
      <c r="K471" s="329"/>
      <c r="L471" s="655">
        <v>0</v>
      </c>
      <c r="M471" s="329"/>
      <c r="N471" s="655">
        <v>0</v>
      </c>
      <c r="O471" s="329"/>
      <c r="P471" s="655">
        <v>0</v>
      </c>
      <c r="Q471" s="329"/>
      <c r="R471" s="655">
        <v>0</v>
      </c>
      <c r="S471" s="329"/>
      <c r="T471" s="655">
        <v>0</v>
      </c>
      <c r="AA471" s="603"/>
      <c r="AB471" s="603"/>
      <c r="AC471" s="603"/>
    </row>
    <row r="472" spans="1:29" ht="14.1" customHeight="1" x14ac:dyDescent="0.2">
      <c r="A472" s="252">
        <v>13</v>
      </c>
      <c r="B472" s="273"/>
      <c r="C472" s="269">
        <v>30315</v>
      </c>
      <c r="D472" s="663" t="s">
        <v>284</v>
      </c>
      <c r="F472" s="655">
        <v>83086342.269999996</v>
      </c>
      <c r="G472" s="329"/>
      <c r="H472" s="655">
        <v>203345.79000000027</v>
      </c>
      <c r="I472" s="329"/>
      <c r="J472" s="655">
        <v>0</v>
      </c>
      <c r="K472" s="329"/>
      <c r="L472" s="655">
        <v>0</v>
      </c>
      <c r="M472" s="329"/>
      <c r="N472" s="655">
        <v>0</v>
      </c>
      <c r="O472" s="329"/>
      <c r="P472" s="655">
        <v>-287108.74</v>
      </c>
      <c r="Q472" s="329"/>
      <c r="R472" s="655">
        <v>83002579.320000008</v>
      </c>
      <c r="S472" s="329"/>
      <c r="T472" s="655">
        <v>84633098.695384607</v>
      </c>
      <c r="AA472" s="603"/>
      <c r="AB472" s="603"/>
      <c r="AC472" s="603"/>
    </row>
    <row r="473" spans="1:29" ht="14.1" customHeight="1" x14ac:dyDescent="0.2">
      <c r="A473" s="252">
        <v>14</v>
      </c>
      <c r="B473" s="273"/>
      <c r="C473" s="269">
        <v>30302</v>
      </c>
      <c r="D473" s="252" t="s">
        <v>1387</v>
      </c>
      <c r="F473" s="655">
        <v>0</v>
      </c>
      <c r="G473" s="329"/>
      <c r="H473" s="655">
        <v>0</v>
      </c>
      <c r="I473" s="329"/>
      <c r="J473" s="655">
        <v>0</v>
      </c>
      <c r="K473" s="329"/>
      <c r="L473" s="655">
        <v>0</v>
      </c>
      <c r="M473" s="329"/>
      <c r="N473" s="655">
        <v>0</v>
      </c>
      <c r="O473" s="329"/>
      <c r="P473" s="655">
        <v>0</v>
      </c>
      <c r="Q473" s="329" t="s">
        <v>1400</v>
      </c>
      <c r="R473" s="655">
        <v>0</v>
      </c>
      <c r="S473" s="329"/>
      <c r="T473" s="655">
        <v>0</v>
      </c>
      <c r="AA473" s="603"/>
      <c r="AB473" s="603"/>
      <c r="AC473" s="603"/>
    </row>
    <row r="474" spans="1:29" ht="14.1" customHeight="1" x14ac:dyDescent="0.2">
      <c r="A474" s="252">
        <v>15</v>
      </c>
      <c r="B474" s="273"/>
      <c r="C474" s="269">
        <v>30399</v>
      </c>
      <c r="D474" s="252" t="s">
        <v>1388</v>
      </c>
      <c r="F474" s="655">
        <v>4500.91</v>
      </c>
      <c r="G474" s="329"/>
      <c r="H474" s="655">
        <v>16242.839999999998</v>
      </c>
      <c r="I474" s="329"/>
      <c r="J474" s="655">
        <v>0</v>
      </c>
      <c r="K474" s="329"/>
      <c r="L474" s="655">
        <v>0</v>
      </c>
      <c r="M474" s="329"/>
      <c r="N474" s="655">
        <v>0</v>
      </c>
      <c r="O474" s="329"/>
      <c r="P474" s="655">
        <v>0</v>
      </c>
      <c r="Q474" s="329" t="s">
        <v>1400</v>
      </c>
      <c r="R474" s="655">
        <v>20743.75</v>
      </c>
      <c r="S474" s="329"/>
      <c r="T474" s="655">
        <v>12389.829999999998</v>
      </c>
      <c r="AA474" s="603"/>
      <c r="AB474" s="603"/>
      <c r="AC474" s="603"/>
    </row>
    <row r="475" spans="1:29" ht="14.1" customHeight="1" x14ac:dyDescent="0.2">
      <c r="A475" s="252">
        <v>16</v>
      </c>
      <c r="B475" s="273"/>
      <c r="D475" s="688" t="s">
        <v>175</v>
      </c>
      <c r="E475" s="692"/>
      <c r="F475" s="664">
        <v>83090843.179999992</v>
      </c>
      <c r="G475" s="602"/>
      <c r="H475" s="664">
        <v>219588.63000000027</v>
      </c>
      <c r="I475" s="602"/>
      <c r="J475" s="664">
        <v>0</v>
      </c>
      <c r="K475" s="602"/>
      <c r="L475" s="664">
        <v>0</v>
      </c>
      <c r="M475" s="602"/>
      <c r="N475" s="664">
        <v>0</v>
      </c>
      <c r="O475" s="602"/>
      <c r="P475" s="664">
        <v>-287108.74</v>
      </c>
      <c r="Q475" s="329"/>
      <c r="R475" s="664">
        <v>83023323.070000008</v>
      </c>
      <c r="S475" s="602"/>
      <c r="T475" s="664">
        <v>84645488.525384605</v>
      </c>
      <c r="AA475" s="603"/>
      <c r="AB475" s="603"/>
      <c r="AC475" s="603"/>
    </row>
    <row r="476" spans="1:29" ht="14.1" customHeight="1" x14ac:dyDescent="0.2">
      <c r="A476" s="252">
        <v>17</v>
      </c>
      <c r="B476" s="273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2"/>
      <c r="R476" s="602"/>
      <c r="S476" s="602"/>
      <c r="T476" s="602"/>
    </row>
    <row r="477" spans="1:29" ht="14.1" customHeight="1" x14ac:dyDescent="0.2">
      <c r="A477" s="252">
        <v>18</v>
      </c>
      <c r="B477" s="273"/>
      <c r="D477" s="693" t="s">
        <v>286</v>
      </c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2"/>
      <c r="R477" s="602"/>
      <c r="S477" s="602"/>
      <c r="T477" s="602"/>
    </row>
    <row r="478" spans="1:29" ht="14.1" customHeight="1" x14ac:dyDescent="0.2">
      <c r="A478" s="252">
        <v>19</v>
      </c>
      <c r="B478" s="273"/>
      <c r="C478" s="269">
        <v>31700</v>
      </c>
      <c r="D478" s="252" t="s">
        <v>1389</v>
      </c>
      <c r="F478" s="655">
        <v>15437207.989999995</v>
      </c>
      <c r="G478" s="329"/>
      <c r="H478" s="655">
        <v>5014177.0599999996</v>
      </c>
      <c r="I478" s="329"/>
      <c r="J478" s="655">
        <v>0</v>
      </c>
      <c r="K478" s="329"/>
      <c r="L478" s="655">
        <v>0</v>
      </c>
      <c r="M478" s="329"/>
      <c r="N478" s="655">
        <v>0</v>
      </c>
      <c r="O478" s="329"/>
      <c r="P478" s="655">
        <v>0</v>
      </c>
      <c r="Q478" s="329"/>
      <c r="R478" s="655">
        <v>20451385.049999993</v>
      </c>
      <c r="S478" s="329"/>
      <c r="T478" s="655">
        <v>17944296.556923073</v>
      </c>
    </row>
    <row r="479" spans="1:29" ht="14.1" customHeight="1" x14ac:dyDescent="0.2">
      <c r="A479" s="252">
        <v>20</v>
      </c>
      <c r="B479" s="273"/>
      <c r="C479" s="269">
        <v>34700</v>
      </c>
      <c r="D479" s="252" t="s">
        <v>1390</v>
      </c>
      <c r="F479" s="655">
        <v>301198.40000000014</v>
      </c>
      <c r="G479" s="329"/>
      <c r="H479" s="655">
        <v>130936.93000000001</v>
      </c>
      <c r="I479" s="329"/>
      <c r="J479" s="655">
        <v>0</v>
      </c>
      <c r="K479" s="329"/>
      <c r="L479" s="655">
        <v>0</v>
      </c>
      <c r="M479" s="329"/>
      <c r="N479" s="655">
        <v>0</v>
      </c>
      <c r="O479" s="329"/>
      <c r="P479" s="655">
        <v>0</v>
      </c>
      <c r="Q479" s="329"/>
      <c r="R479" s="655">
        <v>432135.33000000013</v>
      </c>
      <c r="S479" s="329"/>
      <c r="T479" s="655">
        <v>344395.94769230793</v>
      </c>
    </row>
    <row r="480" spans="1:29" ht="14.1" customHeight="1" x14ac:dyDescent="0.2">
      <c r="A480" s="252">
        <v>21</v>
      </c>
      <c r="B480" s="273"/>
      <c r="C480" s="269">
        <v>37400</v>
      </c>
      <c r="D480" s="252" t="s">
        <v>1391</v>
      </c>
      <c r="F480" s="655">
        <v>1352625.25</v>
      </c>
      <c r="G480" s="329"/>
      <c r="H480" s="655">
        <v>147003.18</v>
      </c>
      <c r="I480" s="329"/>
      <c r="J480" s="655">
        <v>0</v>
      </c>
      <c r="K480" s="329"/>
      <c r="L480" s="655">
        <v>0</v>
      </c>
      <c r="M480" s="329"/>
      <c r="N480" s="655">
        <v>0</v>
      </c>
      <c r="O480" s="329"/>
      <c r="P480" s="655">
        <v>0</v>
      </c>
      <c r="Q480" s="329"/>
      <c r="R480" s="655">
        <v>1499628.43</v>
      </c>
      <c r="S480" s="329"/>
      <c r="T480" s="655">
        <v>1426126.8438461539</v>
      </c>
    </row>
    <row r="481" spans="1:20" ht="14.1" customHeight="1" x14ac:dyDescent="0.2">
      <c r="A481" s="252">
        <v>22</v>
      </c>
      <c r="B481" s="273"/>
      <c r="C481" s="269">
        <v>39910</v>
      </c>
      <c r="D481" s="252" t="s">
        <v>1392</v>
      </c>
      <c r="F481" s="723">
        <v>83163.599999999933</v>
      </c>
      <c r="G481" s="329"/>
      <c r="H481" s="723">
        <v>10580.160000000002</v>
      </c>
      <c r="I481" s="329"/>
      <c r="J481" s="723">
        <v>0</v>
      </c>
      <c r="K481" s="329"/>
      <c r="L481" s="723">
        <v>0</v>
      </c>
      <c r="M481" s="329"/>
      <c r="N481" s="723">
        <v>0</v>
      </c>
      <c r="O481" s="329"/>
      <c r="P481" s="723">
        <v>0</v>
      </c>
      <c r="Q481" s="329"/>
      <c r="R481" s="723">
        <v>93743.759999999937</v>
      </c>
      <c r="S481" s="329"/>
      <c r="T481" s="723">
        <v>88453.679999999906</v>
      </c>
    </row>
    <row r="482" spans="1:20" ht="14.1" customHeight="1" x14ac:dyDescent="0.2">
      <c r="A482" s="252">
        <v>23</v>
      </c>
      <c r="B482" s="273"/>
      <c r="D482" s="695" t="s">
        <v>177</v>
      </c>
      <c r="F482" s="602">
        <v>17174195.239999995</v>
      </c>
      <c r="G482" s="602"/>
      <c r="H482" s="602">
        <v>5302697.3299999991</v>
      </c>
      <c r="I482" s="602"/>
      <c r="J482" s="602">
        <v>0</v>
      </c>
      <c r="K482" s="602"/>
      <c r="L482" s="602">
        <v>0</v>
      </c>
      <c r="M482" s="602"/>
      <c r="N482" s="602">
        <v>0</v>
      </c>
      <c r="O482" s="602"/>
      <c r="P482" s="602">
        <v>0</v>
      </c>
      <c r="Q482" s="602"/>
      <c r="R482" s="602">
        <v>22476892.569999997</v>
      </c>
      <c r="S482" s="602"/>
      <c r="T482" s="602">
        <v>19803273.028461535</v>
      </c>
    </row>
    <row r="483" spans="1:20" ht="14.1" customHeight="1" x14ac:dyDescent="0.2">
      <c r="A483" s="252">
        <v>24</v>
      </c>
      <c r="B483" s="273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2"/>
      <c r="R483" s="602"/>
      <c r="S483" s="602"/>
      <c r="T483" s="602"/>
    </row>
    <row r="484" spans="1:20" ht="14.1" customHeight="1" x14ac:dyDescent="0.2">
      <c r="A484" s="252">
        <v>25</v>
      </c>
      <c r="B484" s="273"/>
      <c r="D484" s="258" t="s">
        <v>309</v>
      </c>
      <c r="E484" s="83"/>
      <c r="F484" s="666">
        <v>3087587360.4699998</v>
      </c>
      <c r="G484" s="666"/>
      <c r="H484" s="666">
        <v>341911613.31999999</v>
      </c>
      <c r="I484" s="666"/>
      <c r="J484" s="666">
        <v>-91077487.420000002</v>
      </c>
      <c r="K484" s="666"/>
      <c r="L484" s="666">
        <v>-58460243.550000004</v>
      </c>
      <c r="M484" s="666"/>
      <c r="N484" s="666">
        <v>3076487.47</v>
      </c>
      <c r="O484" s="666"/>
      <c r="P484" s="666">
        <v>3637057.5000000009</v>
      </c>
      <c r="Q484" s="602" t="s">
        <v>1400</v>
      </c>
      <c r="R484" s="666">
        <v>3286674787.7900009</v>
      </c>
      <c r="S484" s="666"/>
      <c r="T484" s="666">
        <v>3185218970.3492303</v>
      </c>
    </row>
    <row r="485" spans="1:20" ht="14.1" customHeight="1" x14ac:dyDescent="0.2">
      <c r="A485" s="252">
        <v>26</v>
      </c>
      <c r="B485" s="273"/>
      <c r="F485" s="602"/>
      <c r="G485" s="602"/>
      <c r="H485" s="602"/>
      <c r="I485" s="602"/>
      <c r="J485" s="602"/>
      <c r="K485" s="602"/>
      <c r="L485" s="602"/>
      <c r="M485" s="602"/>
      <c r="N485" s="602"/>
      <c r="O485" s="602"/>
      <c r="P485" s="602"/>
      <c r="Q485" s="602"/>
      <c r="R485" s="602"/>
      <c r="S485" s="602"/>
      <c r="T485" s="602"/>
    </row>
    <row r="486" spans="1:20" ht="14.1" customHeight="1" x14ac:dyDescent="0.2">
      <c r="A486" s="252">
        <v>27</v>
      </c>
      <c r="B486" s="273"/>
      <c r="D486" s="258" t="s">
        <v>291</v>
      </c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02"/>
      <c r="R486" s="602"/>
      <c r="S486" s="602"/>
      <c r="T486" s="602"/>
    </row>
    <row r="487" spans="1:20" ht="14.1" customHeight="1" x14ac:dyDescent="0.2">
      <c r="A487" s="252">
        <v>28</v>
      </c>
      <c r="B487" s="273"/>
      <c r="C487" s="269">
        <v>11401</v>
      </c>
      <c r="D487" s="279" t="s">
        <v>292</v>
      </c>
      <c r="F487" s="655">
        <v>4929002.5000000019</v>
      </c>
      <c r="G487" s="329"/>
      <c r="H487" s="655">
        <v>185749.26</v>
      </c>
      <c r="I487" s="329"/>
      <c r="J487" s="655">
        <v>0</v>
      </c>
      <c r="K487" s="329"/>
      <c r="L487" s="655">
        <v>0</v>
      </c>
      <c r="M487" s="329"/>
      <c r="N487" s="655">
        <v>0</v>
      </c>
      <c r="O487" s="329"/>
      <c r="P487" s="655">
        <v>0</v>
      </c>
      <c r="Q487" s="329"/>
      <c r="R487" s="655">
        <v>5114751.7600000016</v>
      </c>
      <c r="S487" s="329"/>
      <c r="T487" s="655">
        <v>5021877.1276923101</v>
      </c>
    </row>
    <row r="488" spans="1:20" ht="14.1" customHeight="1" x14ac:dyDescent="0.2">
      <c r="A488" s="252">
        <v>29</v>
      </c>
      <c r="B488" s="273"/>
      <c r="C488" s="269">
        <v>11402</v>
      </c>
      <c r="D488" s="279" t="s">
        <v>293</v>
      </c>
      <c r="F488" s="655">
        <v>677211.96999999962</v>
      </c>
      <c r="G488" s="329"/>
      <c r="H488" s="655">
        <v>41900.58</v>
      </c>
      <c r="I488" s="329"/>
      <c r="J488" s="655">
        <v>0</v>
      </c>
      <c r="K488" s="329"/>
      <c r="L488" s="655">
        <v>0</v>
      </c>
      <c r="M488" s="329"/>
      <c r="N488" s="655">
        <v>0</v>
      </c>
      <c r="O488" s="329"/>
      <c r="P488" s="655">
        <v>0</v>
      </c>
      <c r="Q488" s="329"/>
      <c r="R488" s="655">
        <v>719112.54999999958</v>
      </c>
      <c r="S488" s="329"/>
      <c r="T488" s="655">
        <v>698162.25769230723</v>
      </c>
    </row>
    <row r="489" spans="1:20" ht="14.1" customHeight="1" x14ac:dyDescent="0.2">
      <c r="A489" s="252">
        <v>30</v>
      </c>
      <c r="B489" s="273"/>
      <c r="C489" s="269">
        <v>11403</v>
      </c>
      <c r="D489" s="252" t="s">
        <v>294</v>
      </c>
      <c r="F489" s="655">
        <v>93608.140000000072</v>
      </c>
      <c r="G489" s="329"/>
      <c r="H489" s="655">
        <v>9058.8499999999985</v>
      </c>
      <c r="I489" s="329"/>
      <c r="J489" s="655">
        <v>0</v>
      </c>
      <c r="K489" s="329"/>
      <c r="L489" s="655">
        <v>0</v>
      </c>
      <c r="M489" s="329"/>
      <c r="N489" s="655">
        <v>0</v>
      </c>
      <c r="O489" s="329"/>
      <c r="P489" s="655">
        <v>0</v>
      </c>
      <c r="Q489" s="329"/>
      <c r="R489" s="655">
        <v>102666.99000000008</v>
      </c>
      <c r="S489" s="329"/>
      <c r="T489" s="655">
        <v>98137.566153846215</v>
      </c>
    </row>
    <row r="490" spans="1:20" ht="14.1" customHeight="1" x14ac:dyDescent="0.2">
      <c r="A490" s="252">
        <v>31</v>
      </c>
      <c r="B490" s="273"/>
      <c r="D490" s="279" t="s">
        <v>179</v>
      </c>
      <c r="F490" s="664">
        <v>5699822.6100000013</v>
      </c>
      <c r="G490" s="602"/>
      <c r="H490" s="664">
        <v>236708.69000000003</v>
      </c>
      <c r="I490" s="602"/>
      <c r="J490" s="664">
        <v>0</v>
      </c>
      <c r="K490" s="602"/>
      <c r="L490" s="664">
        <v>0</v>
      </c>
      <c r="M490" s="602"/>
      <c r="N490" s="664">
        <v>0</v>
      </c>
      <c r="O490" s="602"/>
      <c r="P490" s="664">
        <v>0</v>
      </c>
      <c r="Q490" s="602"/>
      <c r="R490" s="664">
        <v>5936531.3000000017</v>
      </c>
      <c r="S490" s="602"/>
      <c r="T490" s="664">
        <v>5818176.9515384641</v>
      </c>
    </row>
    <row r="491" spans="1:20" ht="14.1" customHeight="1" x14ac:dyDescent="0.2">
      <c r="A491" s="252">
        <v>32</v>
      </c>
      <c r="B491" s="273"/>
    </row>
    <row r="492" spans="1:20" ht="14.1" customHeight="1" x14ac:dyDescent="0.2">
      <c r="A492" s="252">
        <v>33</v>
      </c>
      <c r="B492" s="273"/>
      <c r="F492" s="602"/>
      <c r="G492" s="602"/>
      <c r="H492" s="602"/>
      <c r="I492" s="602"/>
      <c r="J492" s="602"/>
      <c r="K492" s="602"/>
      <c r="L492" s="602"/>
      <c r="M492" s="602"/>
      <c r="N492" s="602"/>
      <c r="O492" s="602"/>
      <c r="P492" s="602"/>
      <c r="Q492" s="602"/>
      <c r="R492" s="602"/>
      <c r="S492" s="602"/>
      <c r="T492" s="602"/>
    </row>
    <row r="493" spans="1:20" ht="14.1" customHeight="1" x14ac:dyDescent="0.2">
      <c r="A493" s="252">
        <v>34</v>
      </c>
      <c r="B493" s="273"/>
      <c r="D493" s="83" t="s">
        <v>314</v>
      </c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2"/>
      <c r="R493" s="602"/>
      <c r="S493" s="602"/>
      <c r="T493" s="602"/>
    </row>
    <row r="494" spans="1:20" ht="14.1" customHeight="1" x14ac:dyDescent="0.2">
      <c r="A494" s="252">
        <v>35</v>
      </c>
      <c r="C494" s="303" t="s">
        <v>315</v>
      </c>
      <c r="D494" s="279" t="s">
        <v>316</v>
      </c>
      <c r="F494" s="602">
        <v>78579449.800000191</v>
      </c>
      <c r="G494" s="602"/>
      <c r="H494" s="602">
        <v>1094349</v>
      </c>
      <c r="I494" s="602"/>
      <c r="J494" s="602">
        <v>0</v>
      </c>
      <c r="K494" s="602"/>
      <c r="L494" s="602">
        <v>0</v>
      </c>
      <c r="M494" s="602"/>
      <c r="N494" s="602">
        <v>0</v>
      </c>
      <c r="O494" s="602"/>
      <c r="P494" s="602">
        <v>0</v>
      </c>
      <c r="Q494" s="602"/>
      <c r="R494" s="602">
        <v>79673798.800000206</v>
      </c>
      <c r="S494" s="602"/>
      <c r="T494" s="602">
        <v>79126624.300000206</v>
      </c>
    </row>
    <row r="495" spans="1:20" ht="14.1" customHeight="1" x14ac:dyDescent="0.2">
      <c r="A495" s="252">
        <v>36</v>
      </c>
      <c r="C495" s="304" t="s">
        <v>317</v>
      </c>
      <c r="D495" s="279" t="s">
        <v>318</v>
      </c>
      <c r="F495" s="330">
        <v>16943046.960000001</v>
      </c>
      <c r="G495" s="708"/>
      <c r="H495" s="330">
        <v>91745.04</v>
      </c>
      <c r="I495" s="329"/>
      <c r="J495" s="330">
        <v>0</v>
      </c>
      <c r="K495" s="329"/>
      <c r="L495" s="330">
        <v>0</v>
      </c>
      <c r="M495" s="329"/>
      <c r="N495" s="330">
        <v>0</v>
      </c>
      <c r="O495" s="329"/>
      <c r="P495" s="330">
        <v>0</v>
      </c>
      <c r="Q495" s="329"/>
      <c r="R495" s="330">
        <v>17034792</v>
      </c>
      <c r="S495" s="329"/>
      <c r="T495" s="330">
        <v>16988919.48</v>
      </c>
    </row>
    <row r="496" spans="1:20" ht="14.1" customHeight="1" x14ac:dyDescent="0.2">
      <c r="A496" s="252">
        <v>37</v>
      </c>
      <c r="D496" s="252" t="s">
        <v>310</v>
      </c>
      <c r="F496" s="602">
        <v>95522496.760000199</v>
      </c>
      <c r="G496" s="602"/>
      <c r="H496" s="602">
        <v>1186094.04</v>
      </c>
      <c r="I496" s="602"/>
      <c r="J496" s="602">
        <v>0</v>
      </c>
      <c r="K496" s="602"/>
      <c r="L496" s="602">
        <v>0</v>
      </c>
      <c r="M496" s="602"/>
      <c r="N496" s="602">
        <v>0</v>
      </c>
      <c r="O496" s="602"/>
      <c r="P496" s="602">
        <v>0</v>
      </c>
      <c r="Q496" s="602"/>
      <c r="R496" s="602">
        <v>96708590.800000206</v>
      </c>
      <c r="S496" s="602"/>
      <c r="T496" s="602">
        <v>96115543.78000021</v>
      </c>
    </row>
    <row r="497" spans="1:23" ht="14.1" customHeight="1" x14ac:dyDescent="0.2">
      <c r="A497" s="252">
        <v>38</v>
      </c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2"/>
      <c r="R497" s="602"/>
      <c r="S497" s="602"/>
      <c r="T497" s="602"/>
    </row>
    <row r="498" spans="1:23" ht="14.1" customHeight="1" x14ac:dyDescent="0.2">
      <c r="A498" s="252">
        <v>39</v>
      </c>
      <c r="C498" s="269">
        <v>10501</v>
      </c>
      <c r="D498" s="252" t="s">
        <v>183</v>
      </c>
      <c r="F498" s="655">
        <v>4383.010000000002</v>
      </c>
      <c r="G498" s="602"/>
      <c r="H498" s="602">
        <v>0</v>
      </c>
      <c r="I498" s="602"/>
      <c r="J498" s="602">
        <v>0</v>
      </c>
      <c r="K498" s="602"/>
      <c r="L498" s="602">
        <v>0</v>
      </c>
      <c r="M498" s="602"/>
      <c r="N498" s="602">
        <v>0</v>
      </c>
      <c r="O498" s="602"/>
      <c r="P498" s="602">
        <v>0</v>
      </c>
      <c r="Q498" s="602"/>
      <c r="R498" s="602">
        <v>4383.010000000002</v>
      </c>
      <c r="S498" s="602"/>
      <c r="T498" s="602">
        <v>4383.010000000002</v>
      </c>
    </row>
    <row r="499" spans="1:23" ht="14.1" customHeight="1" x14ac:dyDescent="0.2">
      <c r="A499" s="252">
        <v>40</v>
      </c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2"/>
      <c r="R499" s="602"/>
      <c r="S499" s="602"/>
      <c r="T499" s="602"/>
    </row>
    <row r="500" spans="1:23" ht="14.1" customHeight="1" x14ac:dyDescent="0.2">
      <c r="A500" s="252">
        <v>41</v>
      </c>
      <c r="C500" s="269">
        <v>10802</v>
      </c>
      <c r="D500" s="279" t="s">
        <v>311</v>
      </c>
      <c r="F500" s="329">
        <v>0</v>
      </c>
      <c r="G500" s="708"/>
      <c r="H500" s="329">
        <v>0</v>
      </c>
      <c r="I500" s="329"/>
      <c r="J500" s="329">
        <v>0</v>
      </c>
      <c r="K500" s="329"/>
      <c r="L500" s="329">
        <v>0</v>
      </c>
      <c r="M500" s="329"/>
      <c r="N500" s="329">
        <v>0</v>
      </c>
      <c r="O500" s="329"/>
      <c r="P500" s="329">
        <v>0</v>
      </c>
      <c r="Q500" s="329"/>
      <c r="R500" s="329">
        <v>0</v>
      </c>
      <c r="S500" s="329"/>
      <c r="T500" s="329">
        <v>0</v>
      </c>
    </row>
    <row r="501" spans="1:23" ht="14.1" customHeight="1" thickBot="1" x14ac:dyDescent="0.25">
      <c r="A501" s="252">
        <v>42</v>
      </c>
      <c r="D501" s="258" t="s">
        <v>312</v>
      </c>
      <c r="E501" s="728"/>
      <c r="F501" s="665">
        <v>3188814062.8500004</v>
      </c>
      <c r="G501" s="666"/>
      <c r="H501" s="665">
        <v>343334416.05000001</v>
      </c>
      <c r="I501" s="329" t="s">
        <v>1402</v>
      </c>
      <c r="J501" s="665">
        <v>-91077487.420000002</v>
      </c>
      <c r="K501" s="666"/>
      <c r="L501" s="665">
        <v>-58460243.550000004</v>
      </c>
      <c r="M501" s="666"/>
      <c r="N501" s="665">
        <v>3076487.47</v>
      </c>
      <c r="O501" s="666"/>
      <c r="P501" s="665">
        <v>3637057.5000000009</v>
      </c>
      <c r="Q501" s="329" t="s">
        <v>1400</v>
      </c>
      <c r="R501" s="665">
        <v>3389324292.9000015</v>
      </c>
      <c r="S501" s="666"/>
      <c r="T501" s="665">
        <v>3287157074.0907693</v>
      </c>
    </row>
    <row r="502" spans="1:23" ht="14.1" customHeight="1" thickTop="1" x14ac:dyDescent="0.2">
      <c r="A502" s="252">
        <v>43</v>
      </c>
      <c r="D502" s="278"/>
      <c r="E502" s="282"/>
      <c r="F502" s="729"/>
      <c r="G502" s="602"/>
      <c r="H502" s="729"/>
      <c r="I502" s="329"/>
      <c r="J502" s="729"/>
      <c r="K502" s="602"/>
      <c r="L502" s="729"/>
      <c r="M502" s="602"/>
      <c r="N502" s="729"/>
      <c r="O502" s="602"/>
      <c r="P502" s="729"/>
      <c r="Q502" s="773"/>
      <c r="R502" s="729"/>
      <c r="S502" s="602"/>
      <c r="T502" s="729"/>
    </row>
    <row r="503" spans="1:23" ht="14.1" customHeight="1" thickBot="1" x14ac:dyDescent="0.25">
      <c r="A503" s="252">
        <v>44</v>
      </c>
      <c r="B503" s="667" t="s">
        <v>186</v>
      </c>
      <c r="C503" s="296"/>
      <c r="D503" s="264"/>
      <c r="E503" s="264"/>
      <c r="F503" s="774"/>
      <c r="G503" s="774"/>
      <c r="H503" s="774"/>
      <c r="I503" s="774"/>
      <c r="J503" s="774"/>
      <c r="K503" s="774"/>
      <c r="L503" s="774"/>
      <c r="M503" s="774"/>
      <c r="N503" s="774"/>
      <c r="O503" s="774"/>
      <c r="P503" s="774"/>
      <c r="Q503" s="774"/>
      <c r="R503" s="774"/>
      <c r="S503" s="774"/>
      <c r="T503" s="774"/>
    </row>
    <row r="504" spans="1:23" ht="12.75" x14ac:dyDescent="0.2">
      <c r="A504" s="252" t="s">
        <v>60</v>
      </c>
      <c r="R504" s="252" t="s">
        <v>60</v>
      </c>
    </row>
    <row r="505" spans="1:23" ht="12.75" x14ac:dyDescent="0.2"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</row>
    <row r="506" spans="1:23" ht="12.75" x14ac:dyDescent="0.2">
      <c r="D506" s="252" t="s">
        <v>319</v>
      </c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</row>
    <row r="507" spans="1:23" ht="12.75" x14ac:dyDescent="0.2">
      <c r="D507" s="306">
        <v>105</v>
      </c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</row>
    <row r="508" spans="1:23" ht="12.75" x14ac:dyDescent="0.2">
      <c r="C508" s="252">
        <v>1080000</v>
      </c>
      <c r="D508" s="306" t="s">
        <v>320</v>
      </c>
      <c r="F508" s="283">
        <v>3030369675.4099994</v>
      </c>
      <c r="G508" s="283"/>
      <c r="H508" s="283">
        <v>336389327.36000001</v>
      </c>
      <c r="I508" s="283"/>
      <c r="J508" s="283">
        <v>-91077487.419999987</v>
      </c>
      <c r="K508" s="283"/>
      <c r="L508" s="283">
        <v>-36939435.219999999</v>
      </c>
      <c r="M508" s="283"/>
      <c r="N508" s="283">
        <v>1535618.99</v>
      </c>
      <c r="O508" s="283"/>
      <c r="P508" s="283">
        <v>3924166.24</v>
      </c>
      <c r="Q508" s="283"/>
      <c r="R508" s="283">
        <v>3244201865.3600001</v>
      </c>
      <c r="S508" s="283"/>
      <c r="T508" s="283">
        <v>3137163493.0161543</v>
      </c>
      <c r="U508" s="283"/>
      <c r="V508" s="283"/>
      <c r="W508" s="283">
        <v>0</v>
      </c>
    </row>
    <row r="509" spans="1:23" ht="12.75" x14ac:dyDescent="0.2">
      <c r="C509" s="252">
        <v>1080001</v>
      </c>
      <c r="D509" s="306">
        <v>108.02</v>
      </c>
      <c r="F509" s="283">
        <v>-43042970.349999987</v>
      </c>
      <c r="G509" s="283"/>
      <c r="H509" s="283">
        <v>0</v>
      </c>
      <c r="I509" s="283"/>
      <c r="J509" s="283">
        <v>0</v>
      </c>
      <c r="K509" s="283"/>
      <c r="L509" s="283">
        <v>-21520808.329999998</v>
      </c>
      <c r="M509" s="283"/>
      <c r="N509" s="283">
        <v>1540868.4799999997</v>
      </c>
      <c r="O509" s="283"/>
      <c r="P509" s="283">
        <v>0</v>
      </c>
      <c r="Q509" s="283"/>
      <c r="R509" s="283">
        <v>-63022910.199999981</v>
      </c>
      <c r="S509" s="283"/>
      <c r="T509" s="283">
        <v>-56388901.210769214</v>
      </c>
      <c r="U509" s="283"/>
      <c r="V509" s="283"/>
      <c r="W509" s="283">
        <v>0</v>
      </c>
    </row>
    <row r="510" spans="1:23" ht="12.75" x14ac:dyDescent="0.2">
      <c r="C510" s="252">
        <v>1080000</v>
      </c>
      <c r="D510" s="306" t="s">
        <v>321</v>
      </c>
      <c r="F510" s="283">
        <v>95522496.760000259</v>
      </c>
      <c r="G510" s="283"/>
      <c r="H510" s="283">
        <v>1186094.04</v>
      </c>
      <c r="I510" s="283"/>
      <c r="J510" s="283">
        <v>0</v>
      </c>
      <c r="K510" s="283"/>
      <c r="L510" s="283">
        <v>0</v>
      </c>
      <c r="M510" s="283"/>
      <c r="N510" s="283">
        <v>0</v>
      </c>
      <c r="O510" s="283"/>
      <c r="P510" s="283">
        <v>0</v>
      </c>
      <c r="Q510" s="283"/>
      <c r="R510" s="283">
        <v>96708590.80000028</v>
      </c>
      <c r="S510" s="283"/>
      <c r="T510" s="283">
        <v>96115543.780000299</v>
      </c>
      <c r="U510" s="283"/>
      <c r="V510" s="283"/>
      <c r="W510" s="283">
        <v>0</v>
      </c>
    </row>
    <row r="511" spans="1:23" ht="12.75" x14ac:dyDescent="0.2">
      <c r="C511" s="252">
        <v>1080000</v>
      </c>
      <c r="D511" s="306">
        <v>108.04</v>
      </c>
      <c r="F511" s="283">
        <v>0</v>
      </c>
      <c r="G511" s="283"/>
      <c r="H511" s="283">
        <v>0</v>
      </c>
      <c r="I511" s="283"/>
      <c r="J511" s="283">
        <v>0</v>
      </c>
      <c r="K511" s="283"/>
      <c r="L511" s="283">
        <v>0</v>
      </c>
      <c r="M511" s="283"/>
      <c r="N511" s="283">
        <v>0</v>
      </c>
      <c r="O511" s="283"/>
      <c r="P511" s="283">
        <v>0</v>
      </c>
      <c r="Q511" s="283"/>
      <c r="R511" s="283">
        <v>0</v>
      </c>
      <c r="S511" s="283"/>
      <c r="T511" s="283">
        <v>0</v>
      </c>
      <c r="U511" s="283"/>
      <c r="V511" s="283"/>
      <c r="W511" s="283">
        <v>0</v>
      </c>
    </row>
    <row r="512" spans="1:23" ht="12.75" x14ac:dyDescent="0.2">
      <c r="C512" s="252">
        <v>1080000</v>
      </c>
      <c r="D512" s="306">
        <v>108.05</v>
      </c>
      <c r="F512" s="283">
        <v>17174195.240000006</v>
      </c>
      <c r="G512" s="283"/>
      <c r="H512" s="283">
        <v>5302697.330000001</v>
      </c>
      <c r="I512" s="283"/>
      <c r="J512" s="283">
        <v>0</v>
      </c>
      <c r="K512" s="283"/>
      <c r="L512" s="283">
        <v>0</v>
      </c>
      <c r="M512" s="283"/>
      <c r="N512" s="283">
        <v>0</v>
      </c>
      <c r="O512" s="283"/>
      <c r="P512" s="283">
        <v>0</v>
      </c>
      <c r="Q512" s="283"/>
      <c r="R512" s="283">
        <v>22476892.570000004</v>
      </c>
      <c r="S512" s="283"/>
      <c r="T512" s="283">
        <v>19803273.028461542</v>
      </c>
      <c r="U512" s="283"/>
      <c r="V512" s="283"/>
      <c r="W512" s="283">
        <v>0</v>
      </c>
    </row>
    <row r="513" spans="3:23" ht="12.75" x14ac:dyDescent="0.2">
      <c r="C513" s="252">
        <v>1110000</v>
      </c>
      <c r="D513" s="306">
        <v>111</v>
      </c>
      <c r="F513" s="283">
        <v>83090843.179999977</v>
      </c>
      <c r="G513" s="283"/>
      <c r="H513" s="283">
        <v>219588.63000000114</v>
      </c>
      <c r="I513" s="283"/>
      <c r="J513" s="283">
        <v>0</v>
      </c>
      <c r="K513" s="283"/>
      <c r="L513" s="283"/>
      <c r="M513" s="283"/>
      <c r="N513" s="283"/>
      <c r="O513" s="283"/>
      <c r="P513" s="283">
        <v>-287108.74</v>
      </c>
      <c r="Q513" s="283"/>
      <c r="R513" s="283">
        <v>83023323.069999993</v>
      </c>
      <c r="S513" s="283"/>
      <c r="T513" s="283">
        <v>84645488.525384605</v>
      </c>
      <c r="U513" s="283"/>
      <c r="V513" s="283"/>
      <c r="W513" s="283">
        <v>0</v>
      </c>
    </row>
    <row r="514" spans="3:23" ht="12.75" x14ac:dyDescent="0.2">
      <c r="C514" s="252">
        <v>1150000</v>
      </c>
      <c r="D514" s="306" t="s">
        <v>322</v>
      </c>
      <c r="F514" s="283">
        <v>5699822.6100000013</v>
      </c>
      <c r="G514" s="283"/>
      <c r="H514" s="283">
        <v>236708.69</v>
      </c>
      <c r="I514" s="283"/>
      <c r="J514" s="283">
        <v>0</v>
      </c>
      <c r="K514" s="283"/>
      <c r="L514" s="283"/>
      <c r="M514" s="283"/>
      <c r="N514" s="283"/>
      <c r="O514" s="283"/>
      <c r="P514" s="283">
        <v>0</v>
      </c>
      <c r="Q514" s="283"/>
      <c r="R514" s="283">
        <v>5936531.3000000007</v>
      </c>
      <c r="S514" s="283"/>
      <c r="T514" s="283">
        <v>5818176.9515384631</v>
      </c>
      <c r="U514" s="283"/>
      <c r="V514" s="283"/>
      <c r="W514" s="283">
        <v>0</v>
      </c>
    </row>
    <row r="515" spans="3:23" ht="12.75" x14ac:dyDescent="0.2">
      <c r="F515" s="283">
        <v>3188814062.8499994</v>
      </c>
      <c r="G515" s="283"/>
      <c r="H515" s="283">
        <v>343334416.05000001</v>
      </c>
      <c r="I515" s="283"/>
      <c r="J515" s="283">
        <v>-91077487.419999987</v>
      </c>
      <c r="K515" s="283"/>
      <c r="L515" s="283">
        <v>-58460243.549999997</v>
      </c>
      <c r="M515" s="283"/>
      <c r="N515" s="283">
        <v>3076487.4699999997</v>
      </c>
      <c r="O515" s="283"/>
      <c r="P515" s="283">
        <v>3637057.5</v>
      </c>
      <c r="Q515" s="283"/>
      <c r="R515" s="283">
        <v>3389324292.900001</v>
      </c>
      <c r="S515" s="283"/>
      <c r="T515" s="283">
        <v>3287157074.0907698</v>
      </c>
      <c r="U515" s="283"/>
      <c r="V515" s="283"/>
      <c r="W515" s="283">
        <v>0</v>
      </c>
    </row>
    <row r="516" spans="3:23" ht="12.75" x14ac:dyDescent="0.2">
      <c r="F516" s="283">
        <v>0</v>
      </c>
      <c r="G516" s="283"/>
      <c r="H516" s="283">
        <v>0</v>
      </c>
      <c r="I516" s="283"/>
      <c r="J516" s="283">
        <v>0</v>
      </c>
      <c r="K516" s="283"/>
      <c r="L516" s="283">
        <v>0</v>
      </c>
      <c r="M516" s="283"/>
      <c r="N516" s="283">
        <v>0</v>
      </c>
      <c r="O516" s="283"/>
      <c r="P516" s="283">
        <v>0</v>
      </c>
      <c r="Q516" s="283"/>
      <c r="R516" s="283">
        <v>0</v>
      </c>
      <c r="S516" s="283"/>
      <c r="T516" s="283">
        <v>0</v>
      </c>
      <c r="U516" s="283"/>
      <c r="V516" s="283"/>
      <c r="W516" s="283"/>
    </row>
    <row r="517" spans="3:23" ht="12.75" x14ac:dyDescent="0.2"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</row>
    <row r="518" spans="3:23" ht="12.75" x14ac:dyDescent="0.2">
      <c r="D518" s="252" t="s">
        <v>300</v>
      </c>
      <c r="F518" s="283">
        <v>0</v>
      </c>
      <c r="G518" s="283"/>
      <c r="H518" s="283">
        <v>0</v>
      </c>
      <c r="I518" s="283"/>
      <c r="J518" s="283"/>
      <c r="K518" s="283"/>
      <c r="L518" s="283"/>
      <c r="M518" s="283"/>
      <c r="N518" s="283"/>
      <c r="O518" s="283"/>
      <c r="P518" s="283"/>
      <c r="Q518" s="283"/>
      <c r="R518" s="283">
        <v>0</v>
      </c>
      <c r="S518" s="283"/>
      <c r="T518" s="283">
        <v>0</v>
      </c>
      <c r="U518" s="283"/>
      <c r="V518" s="283"/>
      <c r="W518" s="283"/>
    </row>
    <row r="519" spans="3:23" ht="12.75" x14ac:dyDescent="0.2"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</row>
    <row r="520" spans="3:23" ht="12.75" x14ac:dyDescent="0.2"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</row>
    <row r="521" spans="3:23" ht="12.75" x14ac:dyDescent="0.2">
      <c r="D521" s="252" t="s">
        <v>1403</v>
      </c>
      <c r="F521" s="307">
        <v>2951795755.2501574</v>
      </c>
      <c r="G521" s="307"/>
      <c r="H521" s="307">
        <v>346318608.44444436</v>
      </c>
      <c r="I521" s="307"/>
      <c r="J521" s="307">
        <v>-113756411.54939227</v>
      </c>
      <c r="K521" s="307"/>
      <c r="L521" s="307">
        <v>-45535315.010000005</v>
      </c>
      <c r="M521" s="307"/>
      <c r="N521" s="307">
        <v>2830547.9800000004</v>
      </c>
      <c r="O521" s="307"/>
      <c r="P521" s="307">
        <v>9395730</v>
      </c>
      <c r="Q521" s="307"/>
      <c r="R521" s="307">
        <v>3151048915.1152077</v>
      </c>
      <c r="S521" s="307">
        <v>0</v>
      </c>
      <c r="T521" s="307">
        <v>3052847378.2729502</v>
      </c>
    </row>
    <row r="522" spans="3:23" ht="12.75" x14ac:dyDescent="0.2">
      <c r="F522" s="307">
        <v>237018307.59984207</v>
      </c>
      <c r="G522" s="307"/>
      <c r="H522" s="307">
        <v>-2984192.3944443464</v>
      </c>
      <c r="I522" s="307"/>
      <c r="J522" s="307">
        <v>22678924.129392281</v>
      </c>
      <c r="K522" s="307"/>
      <c r="L522" s="307">
        <v>-12924928.539999992</v>
      </c>
      <c r="M522" s="307"/>
      <c r="N522" s="307">
        <v>245939.48999999929</v>
      </c>
      <c r="O522" s="307"/>
      <c r="P522" s="307">
        <v>-5758672.5</v>
      </c>
      <c r="Q522" s="307"/>
      <c r="R522" s="307">
        <v>238275377.78479338</v>
      </c>
      <c r="S522" s="307"/>
      <c r="T522" s="307">
        <v>234309695.8178196</v>
      </c>
    </row>
    <row r="523" spans="3:23" ht="12.75" x14ac:dyDescent="0.2"/>
    <row r="524" spans="3:23" ht="12.75" x14ac:dyDescent="0.2"/>
    <row r="525" spans="3:23" ht="12.75" x14ac:dyDescent="0.2"/>
    <row r="526" spans="3:23" ht="12.75" x14ac:dyDescent="0.2"/>
    <row r="527" spans="3:23" ht="12.75" x14ac:dyDescent="0.2"/>
    <row r="528" spans="3:23" ht="12.75" x14ac:dyDescent="0.2"/>
    <row r="529" ht="12.75" x14ac:dyDescent="0.2"/>
    <row r="530" ht="12.75" x14ac:dyDescent="0.2"/>
    <row r="531" ht="12.75" x14ac:dyDescent="0.2"/>
    <row r="532" ht="12.75" x14ac:dyDescent="0.2"/>
    <row r="533" ht="12.75" x14ac:dyDescent="0.2"/>
    <row r="534" ht="12.75" x14ac:dyDescent="0.2"/>
    <row r="535" ht="12.75" x14ac:dyDescent="0.2"/>
    <row r="536" ht="12.75" x14ac:dyDescent="0.2"/>
    <row r="537" ht="12.75" x14ac:dyDescent="0.2"/>
    <row r="538" ht="12.75" x14ac:dyDescent="0.2"/>
    <row r="539" ht="12.75" x14ac:dyDescent="0.2"/>
    <row r="540" ht="12.75" x14ac:dyDescent="0.2"/>
    <row r="541" ht="12.75" x14ac:dyDescent="0.2"/>
    <row r="542" ht="12.75" x14ac:dyDescent="0.2"/>
    <row r="543" ht="12.75" x14ac:dyDescent="0.2"/>
    <row r="544" ht="12.75" x14ac:dyDescent="0.2"/>
    <row r="545" ht="12.75" x14ac:dyDescent="0.2"/>
    <row r="546" ht="12.75" x14ac:dyDescent="0.2"/>
    <row r="547" ht="12.75" x14ac:dyDescent="0.2"/>
    <row r="548" ht="12.75" x14ac:dyDescent="0.2"/>
    <row r="549" ht="12.75" x14ac:dyDescent="0.2"/>
    <row r="550" ht="12.75" x14ac:dyDescent="0.2"/>
    <row r="551" ht="12.75" x14ac:dyDescent="0.2"/>
    <row r="552" ht="12.75" x14ac:dyDescent="0.2"/>
    <row r="553" ht="12.75" x14ac:dyDescent="0.2"/>
    <row r="554" ht="12.75" x14ac:dyDescent="0.2"/>
    <row r="555" ht="12.75" x14ac:dyDescent="0.2"/>
    <row r="556" ht="12.75" x14ac:dyDescent="0.2"/>
    <row r="557" ht="12.75" x14ac:dyDescent="0.2"/>
    <row r="558" ht="12.75" x14ac:dyDescent="0.2"/>
    <row r="559" ht="12.75" x14ac:dyDescent="0.2"/>
    <row r="560" ht="12.75" x14ac:dyDescent="0.2"/>
    <row r="561" ht="12.75" x14ac:dyDescent="0.2"/>
    <row r="562" ht="12.75" x14ac:dyDescent="0.2"/>
    <row r="563" ht="12.75" x14ac:dyDescent="0.2"/>
    <row r="564" ht="12.75" x14ac:dyDescent="0.2"/>
    <row r="565" ht="12.75" x14ac:dyDescent="0.2"/>
    <row r="566" ht="12.75" x14ac:dyDescent="0.2"/>
    <row r="567" ht="12.75" x14ac:dyDescent="0.2"/>
    <row r="568" ht="12.75" x14ac:dyDescent="0.2"/>
    <row r="569" ht="12.75" x14ac:dyDescent="0.2"/>
    <row r="570" ht="12.75" x14ac:dyDescent="0.2"/>
    <row r="571" ht="12.75" x14ac:dyDescent="0.2"/>
    <row r="572" ht="12.75" x14ac:dyDescent="0.2"/>
    <row r="573" ht="12.75" x14ac:dyDescent="0.2"/>
    <row r="574" ht="12.75" x14ac:dyDescent="0.2"/>
    <row r="575" ht="12.75" x14ac:dyDescent="0.2"/>
    <row r="576" ht="12.75" x14ac:dyDescent="0.2"/>
    <row r="577" ht="12.75" x14ac:dyDescent="0.2"/>
    <row r="578" ht="12.75" x14ac:dyDescent="0.2"/>
    <row r="579" ht="12.75" x14ac:dyDescent="0.2"/>
    <row r="580" ht="12.75" x14ac:dyDescent="0.2"/>
    <row r="581" ht="12.75" x14ac:dyDescent="0.2"/>
    <row r="582" ht="12.75" x14ac:dyDescent="0.2"/>
    <row r="583" ht="12.75" x14ac:dyDescent="0.2"/>
    <row r="584" ht="12.75" x14ac:dyDescent="0.2"/>
    <row r="585" ht="12.75" x14ac:dyDescent="0.2"/>
    <row r="586" ht="12.75" x14ac:dyDescent="0.2"/>
    <row r="587" ht="12.75" x14ac:dyDescent="0.2"/>
    <row r="588" ht="12.75" x14ac:dyDescent="0.2"/>
    <row r="589" ht="12.75" x14ac:dyDescent="0.2"/>
    <row r="590" ht="12.75" x14ac:dyDescent="0.2"/>
    <row r="591" ht="12.75" x14ac:dyDescent="0.2"/>
    <row r="592" ht="12.75" x14ac:dyDescent="0.2"/>
    <row r="593" ht="12.75" x14ac:dyDescent="0.2"/>
    <row r="594" ht="12.75" x14ac:dyDescent="0.2"/>
    <row r="595" ht="12.75" x14ac:dyDescent="0.2"/>
    <row r="596" ht="12.75" x14ac:dyDescent="0.2"/>
    <row r="597" ht="12.75" x14ac:dyDescent="0.2"/>
    <row r="598" ht="12.75" x14ac:dyDescent="0.2"/>
    <row r="599" ht="12.75" x14ac:dyDescent="0.2"/>
    <row r="600" ht="12.75" x14ac:dyDescent="0.2"/>
    <row r="601" ht="12.75" x14ac:dyDescent="0.2"/>
    <row r="602" ht="12.75" x14ac:dyDescent="0.2"/>
    <row r="603" ht="12.75" x14ac:dyDescent="0.2"/>
    <row r="604" ht="12.75" x14ac:dyDescent="0.2"/>
    <row r="605" ht="12.75" x14ac:dyDescent="0.2"/>
    <row r="606" ht="12.75" x14ac:dyDescent="0.2"/>
    <row r="607" ht="12.75" x14ac:dyDescent="0.2"/>
    <row r="608" ht="12.75" x14ac:dyDescent="0.2"/>
    <row r="609" ht="12.75" x14ac:dyDescent="0.2"/>
    <row r="610" ht="12.75" x14ac:dyDescent="0.2"/>
    <row r="611" ht="12.75" x14ac:dyDescent="0.2"/>
    <row r="612" ht="12.75" x14ac:dyDescent="0.2"/>
    <row r="613" ht="12.75" x14ac:dyDescent="0.2"/>
    <row r="614" ht="12.75" x14ac:dyDescent="0.2"/>
    <row r="615" ht="12.75" x14ac:dyDescent="0.2"/>
    <row r="616" ht="12.75" x14ac:dyDescent="0.2"/>
    <row r="617" ht="12.75" x14ac:dyDescent="0.2"/>
    <row r="618" ht="12.75" x14ac:dyDescent="0.2"/>
    <row r="619" ht="12.75" x14ac:dyDescent="0.2"/>
    <row r="620" ht="12.75" x14ac:dyDescent="0.2"/>
    <row r="621" ht="12.75" x14ac:dyDescent="0.2"/>
    <row r="622" ht="12.75" x14ac:dyDescent="0.2"/>
    <row r="623" ht="12.75" x14ac:dyDescent="0.2"/>
    <row r="624" ht="12.75" x14ac:dyDescent="0.2"/>
    <row r="625" ht="12.75" x14ac:dyDescent="0.2"/>
    <row r="626" ht="12.75" x14ac:dyDescent="0.2"/>
    <row r="627" ht="12.75" x14ac:dyDescent="0.2"/>
    <row r="628" ht="12.75" x14ac:dyDescent="0.2"/>
    <row r="629" ht="12.75" x14ac:dyDescent="0.2"/>
    <row r="630" ht="12.75" x14ac:dyDescent="0.2"/>
    <row r="631" ht="12.75" x14ac:dyDescent="0.2"/>
    <row r="632" ht="12.75" x14ac:dyDescent="0.2"/>
    <row r="633" ht="12.75" x14ac:dyDescent="0.2"/>
    <row r="634" ht="12.75" x14ac:dyDescent="0.2"/>
    <row r="635" ht="12.75" x14ac:dyDescent="0.2"/>
    <row r="636" ht="12.75" x14ac:dyDescent="0.2"/>
    <row r="637" ht="12.75" x14ac:dyDescent="0.2"/>
    <row r="638" ht="12.75" x14ac:dyDescent="0.2"/>
    <row r="639" ht="12.75" x14ac:dyDescent="0.2"/>
    <row r="640" ht="12.75" x14ac:dyDescent="0.2"/>
    <row r="641" ht="12.75" x14ac:dyDescent="0.2"/>
    <row r="642" ht="12.75" x14ac:dyDescent="0.2"/>
    <row r="643" ht="12.75" x14ac:dyDescent="0.2"/>
    <row r="644" ht="12.75" x14ac:dyDescent="0.2"/>
    <row r="645" ht="12.75" x14ac:dyDescent="0.2"/>
    <row r="646" ht="12.75" x14ac:dyDescent="0.2"/>
    <row r="647" ht="12.75" x14ac:dyDescent="0.2"/>
    <row r="648" ht="12.75" x14ac:dyDescent="0.2"/>
    <row r="649" ht="12.75" x14ac:dyDescent="0.2"/>
    <row r="650" ht="12.75" x14ac:dyDescent="0.2"/>
    <row r="651" ht="12.75" x14ac:dyDescent="0.2"/>
    <row r="652" ht="12.75" x14ac:dyDescent="0.2"/>
    <row r="653" ht="12.75" x14ac:dyDescent="0.2"/>
    <row r="654" ht="12.75" x14ac:dyDescent="0.2"/>
    <row r="655" ht="12.75" x14ac:dyDescent="0.2"/>
    <row r="656" ht="12.75" x14ac:dyDescent="0.2"/>
    <row r="657" ht="12.75" x14ac:dyDescent="0.2"/>
    <row r="658" ht="12.75" x14ac:dyDescent="0.2"/>
    <row r="659" ht="12.75" x14ac:dyDescent="0.2"/>
    <row r="660" ht="12.75" x14ac:dyDescent="0.2"/>
    <row r="661" ht="12.75" x14ac:dyDescent="0.2"/>
    <row r="662" ht="12.75" x14ac:dyDescent="0.2"/>
    <row r="663" ht="12.75" x14ac:dyDescent="0.2"/>
    <row r="664" ht="12.75" x14ac:dyDescent="0.2"/>
    <row r="665" ht="12.75" x14ac:dyDescent="0.2"/>
    <row r="666" ht="12.75" x14ac:dyDescent="0.2"/>
    <row r="667" ht="12.75" x14ac:dyDescent="0.2"/>
    <row r="668" ht="12.75" x14ac:dyDescent="0.2"/>
    <row r="669" ht="12.75" x14ac:dyDescent="0.2"/>
    <row r="670" ht="12.75" x14ac:dyDescent="0.2"/>
    <row r="671" ht="12.75" x14ac:dyDescent="0.2"/>
    <row r="672" ht="12.75" x14ac:dyDescent="0.2"/>
    <row r="673" ht="12.75" x14ac:dyDescent="0.2"/>
    <row r="674" ht="12.75" x14ac:dyDescent="0.2"/>
    <row r="675" ht="12.75" x14ac:dyDescent="0.2"/>
    <row r="676" ht="12.75" x14ac:dyDescent="0.2"/>
    <row r="677" ht="12.75" x14ac:dyDescent="0.2"/>
    <row r="678" ht="12.75" x14ac:dyDescent="0.2"/>
    <row r="679" ht="12.75" x14ac:dyDescent="0.2"/>
    <row r="680" ht="12.75" x14ac:dyDescent="0.2"/>
    <row r="681" ht="12.75" x14ac:dyDescent="0.2"/>
    <row r="682" ht="12.75" x14ac:dyDescent="0.2"/>
    <row r="683" ht="12.75" x14ac:dyDescent="0.2"/>
    <row r="684" ht="12.75" x14ac:dyDescent="0.2"/>
    <row r="685" ht="12.75" x14ac:dyDescent="0.2"/>
    <row r="686" ht="12.75" x14ac:dyDescent="0.2"/>
    <row r="687" ht="12.75" x14ac:dyDescent="0.2"/>
    <row r="688" ht="12.75" x14ac:dyDescent="0.2"/>
    <row r="689" ht="12.75" x14ac:dyDescent="0.2"/>
    <row r="690" ht="12.75" x14ac:dyDescent="0.2"/>
    <row r="691" ht="12.75" x14ac:dyDescent="0.2"/>
    <row r="692" ht="12.75" x14ac:dyDescent="0.2"/>
    <row r="693" ht="12.75" x14ac:dyDescent="0.2"/>
    <row r="694" ht="12.75" x14ac:dyDescent="0.2"/>
    <row r="695" ht="12.75" x14ac:dyDescent="0.2"/>
    <row r="696" ht="12.75" x14ac:dyDescent="0.2"/>
    <row r="697" ht="12.75" x14ac:dyDescent="0.2"/>
    <row r="698" ht="12.75" x14ac:dyDescent="0.2"/>
    <row r="699" ht="12.75" x14ac:dyDescent="0.2"/>
    <row r="700" ht="12.75" x14ac:dyDescent="0.2"/>
    <row r="701" ht="12.75" x14ac:dyDescent="0.2"/>
    <row r="702" ht="12.75" x14ac:dyDescent="0.2"/>
    <row r="703" ht="12.75" x14ac:dyDescent="0.2"/>
    <row r="704" ht="12.75" x14ac:dyDescent="0.2"/>
    <row r="705" ht="12.75" x14ac:dyDescent="0.2"/>
    <row r="706" ht="12.75" x14ac:dyDescent="0.2"/>
    <row r="707" ht="12.75" x14ac:dyDescent="0.2"/>
    <row r="708" ht="12.75" x14ac:dyDescent="0.2"/>
    <row r="709" ht="12.75" x14ac:dyDescent="0.2"/>
    <row r="710" ht="12.75" x14ac:dyDescent="0.2"/>
    <row r="711" ht="12.75" x14ac:dyDescent="0.2"/>
    <row r="712" ht="12.75" x14ac:dyDescent="0.2"/>
    <row r="713" ht="12.75" x14ac:dyDescent="0.2"/>
    <row r="714" ht="12.75" x14ac:dyDescent="0.2"/>
    <row r="715" ht="12.75" x14ac:dyDescent="0.2"/>
    <row r="716" ht="12.75" x14ac:dyDescent="0.2"/>
    <row r="717" ht="12.75" x14ac:dyDescent="0.2"/>
    <row r="718" ht="12.75" x14ac:dyDescent="0.2"/>
    <row r="719" ht="12.75" x14ac:dyDescent="0.2"/>
    <row r="720" ht="12.75" x14ac:dyDescent="0.2"/>
    <row r="721" ht="12.75" x14ac:dyDescent="0.2"/>
    <row r="722" ht="12.75" x14ac:dyDescent="0.2"/>
    <row r="723" ht="12.75" x14ac:dyDescent="0.2"/>
    <row r="724" ht="12.75" x14ac:dyDescent="0.2"/>
    <row r="725" ht="12.75" x14ac:dyDescent="0.2"/>
    <row r="726" ht="12.75" x14ac:dyDescent="0.2"/>
    <row r="727" ht="12.75" x14ac:dyDescent="0.2"/>
    <row r="728" ht="12.75" x14ac:dyDescent="0.2"/>
    <row r="729" ht="12.75" x14ac:dyDescent="0.2"/>
    <row r="730" ht="12.75" x14ac:dyDescent="0.2"/>
    <row r="731" ht="12.75" x14ac:dyDescent="0.2"/>
    <row r="732" ht="12.75" x14ac:dyDescent="0.2"/>
    <row r="733" ht="12.75" x14ac:dyDescent="0.2"/>
    <row r="734" ht="12.75" x14ac:dyDescent="0.2"/>
    <row r="735" ht="12.75" x14ac:dyDescent="0.2"/>
    <row r="736" ht="12.75" x14ac:dyDescent="0.2"/>
    <row r="737" ht="12.75" x14ac:dyDescent="0.2"/>
    <row r="738" ht="12.75" x14ac:dyDescent="0.2"/>
    <row r="739" ht="12.75" x14ac:dyDescent="0.2"/>
    <row r="740" ht="12.75" x14ac:dyDescent="0.2"/>
    <row r="741" ht="12.75" x14ac:dyDescent="0.2"/>
    <row r="742" ht="12.75" x14ac:dyDescent="0.2"/>
    <row r="743" ht="12.75" x14ac:dyDescent="0.2"/>
    <row r="744" ht="12.75" x14ac:dyDescent="0.2"/>
    <row r="745" ht="12.75" x14ac:dyDescent="0.2"/>
    <row r="746" ht="12.75" x14ac:dyDescent="0.2"/>
    <row r="747" ht="12.75" x14ac:dyDescent="0.2"/>
    <row r="748" ht="12.75" x14ac:dyDescent="0.2"/>
    <row r="749" ht="12.75" x14ac:dyDescent="0.2"/>
    <row r="750" ht="12.75" x14ac:dyDescent="0.2"/>
    <row r="751" ht="12.75" x14ac:dyDescent="0.2"/>
    <row r="752" ht="12.75" x14ac:dyDescent="0.2"/>
  </sheetData>
  <printOptions horizontalCentered="1"/>
  <pageMargins left="0.25" right="0" top="1" bottom="0.5" header="0.5" footer="0.25"/>
  <pageSetup scale="67" fitToHeight="20" orientation="landscape" blackAndWhite="1" r:id="rId1"/>
  <headerFooter alignWithMargins="0"/>
  <rowBreaks count="9" manualBreakCount="9">
    <brk id="50" max="19" man="1"/>
    <brk id="103" max="19" man="1"/>
    <brk id="156" max="19" man="1"/>
    <brk id="207" max="19" man="1"/>
    <brk id="258" max="19" man="1"/>
    <brk id="309" max="19" man="1"/>
    <brk id="360" max="19" man="1"/>
    <brk id="415" max="19" man="1"/>
    <brk id="468" max="19" man="1"/>
  </rowBreaks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tabColor indexed="12"/>
  </sheetPr>
  <dimension ref="A1:BS369"/>
  <sheetViews>
    <sheetView view="pageBreakPreview" zoomScaleNormal="100" zoomScaleSheetLayoutView="100" workbookViewId="0">
      <pane xSplit="2" ySplit="12" topLeftCell="C33" activePane="bottomRight" state="frozen"/>
      <selection pane="topRight" activeCell="C1" sqref="C1"/>
      <selection pane="bottomLeft" activeCell="A12" sqref="A12"/>
      <selection pane="bottomRight" activeCell="C13" sqref="C13"/>
    </sheetView>
  </sheetViews>
  <sheetFormatPr defaultColWidth="11.42578125" defaultRowHeight="12.75" x14ac:dyDescent="0.2"/>
  <cols>
    <col min="1" max="1" width="9.85546875" style="62" customWidth="1"/>
    <col min="2" max="2" width="26.42578125" style="63" bestFit="1" customWidth="1"/>
    <col min="3" max="3" width="2.5703125" style="63" customWidth="1"/>
    <col min="4" max="5" width="8.5703125" style="63" bestFit="1" customWidth="1"/>
    <col min="6" max="6" width="10.28515625" style="63" bestFit="1" customWidth="1"/>
    <col min="7" max="7" width="9.42578125" style="63" customWidth="1"/>
    <col min="8" max="8" width="8" style="63" bestFit="1" customWidth="1"/>
    <col min="9" max="9" width="7" style="63" customWidth="1"/>
    <col min="10" max="10" width="7.42578125" style="63" hidden="1" customWidth="1"/>
    <col min="11" max="12" width="1.7109375" style="63" customWidth="1"/>
    <col min="13" max="13" width="8.85546875" style="64" hidden="1" customWidth="1"/>
    <col min="14" max="14" width="8.5703125" style="64" bestFit="1" customWidth="1"/>
    <col min="15" max="15" width="7.85546875" style="64" hidden="1" customWidth="1"/>
    <col min="16" max="16" width="9.7109375" style="64" customWidth="1"/>
    <col min="17" max="17" width="10.85546875" style="64" hidden="1" customWidth="1"/>
    <col min="18" max="18" width="11" style="64" customWidth="1"/>
    <col min="19" max="20" width="8.5703125" style="64" customWidth="1"/>
    <col min="21" max="21" width="7.140625" style="64" hidden="1" customWidth="1"/>
    <col min="22" max="22" width="9.5703125" style="64" customWidth="1"/>
    <col min="23" max="23" width="6.7109375" style="842" bestFit="1" customWidth="1"/>
    <col min="24" max="24" width="10" customWidth="1"/>
    <col min="25" max="30" width="7.5703125" customWidth="1"/>
    <col min="31" max="31" width="3.7109375" customWidth="1"/>
    <col min="32" max="32" width="20.28515625" bestFit="1" customWidth="1"/>
    <col min="33" max="33" width="12.28515625" customWidth="1"/>
    <col min="34" max="34" width="12" bestFit="1" customWidth="1"/>
    <col min="35" max="35" width="11.42578125" customWidth="1"/>
    <col min="51" max="51" width="3.7109375" style="63" customWidth="1"/>
    <col min="72" max="16384" width="11.42578125" style="63"/>
  </cols>
  <sheetData>
    <row r="1" spans="1:51" s="54" customFormat="1" ht="15.75" x14ac:dyDescent="0.2">
      <c r="A1" s="215" t="s">
        <v>0</v>
      </c>
      <c r="B1" s="216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842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Y1" s="117"/>
    </row>
    <row r="2" spans="1:51" s="54" customFormat="1" ht="15.75" x14ac:dyDescent="0.2">
      <c r="A2" s="217" t="str">
        <f>'Plant &amp; Reserve'!$A2</f>
        <v>2019 Annual Depreciation Analysis -  Rate Review</v>
      </c>
      <c r="B2" s="218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84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Y2" s="117"/>
    </row>
    <row r="3" spans="1:51" s="54" customFormat="1" ht="15.75" x14ac:dyDescent="0.2">
      <c r="A3" s="217" t="s">
        <v>1158</v>
      </c>
      <c r="B3" s="218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842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Y3" s="117"/>
    </row>
    <row r="4" spans="1:51" s="54" customFormat="1" ht="15.75" x14ac:dyDescent="0.2">
      <c r="A4" s="217" t="s">
        <v>1162</v>
      </c>
      <c r="B4" s="218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842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Y4" s="117"/>
    </row>
    <row r="5" spans="1:51" s="53" customFormat="1" x14ac:dyDescent="0.2">
      <c r="A5" s="489"/>
      <c r="B5" s="122"/>
      <c r="C5" s="490"/>
      <c r="D5" s="831"/>
      <c r="E5" s="831"/>
      <c r="F5" s="831"/>
      <c r="G5" s="831"/>
      <c r="H5" s="789"/>
      <c r="I5" s="490"/>
      <c r="J5" s="490"/>
      <c r="K5" s="490"/>
      <c r="L5" s="490"/>
      <c r="M5" s="128"/>
      <c r="N5" s="128"/>
      <c r="O5" s="128"/>
      <c r="P5" s="128"/>
      <c r="Q5" s="128"/>
      <c r="R5" s="128"/>
      <c r="S5" s="176"/>
      <c r="T5" s="118"/>
      <c r="U5" s="118"/>
      <c r="V5" s="118"/>
      <c r="W5" s="842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Y5" s="124"/>
    </row>
    <row r="6" spans="1:51" s="53" customFormat="1" ht="13.5" thickBot="1" x14ac:dyDescent="0.25">
      <c r="A6" s="490"/>
      <c r="B6" s="125"/>
      <c r="C6" s="817"/>
      <c r="D6" s="776" t="s">
        <v>1150</v>
      </c>
      <c r="E6" s="776"/>
      <c r="F6" s="776"/>
      <c r="G6" s="776"/>
      <c r="H6" s="776"/>
      <c r="I6" s="776"/>
      <c r="J6" s="776"/>
      <c r="K6" s="490"/>
      <c r="L6" s="490"/>
      <c r="M6" s="496"/>
      <c r="N6" s="496" t="s">
        <v>1443</v>
      </c>
      <c r="O6" s="818"/>
      <c r="P6" s="818"/>
      <c r="Q6" s="496"/>
      <c r="R6" s="496"/>
      <c r="S6" s="496"/>
      <c r="T6" s="496"/>
      <c r="U6" s="496"/>
      <c r="V6" s="496"/>
      <c r="W6" s="842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Y6" s="124"/>
    </row>
    <row r="7" spans="1:51" s="53" customFormat="1" x14ac:dyDescent="0.2">
      <c r="A7" s="490"/>
      <c r="B7" s="125"/>
      <c r="C7" s="128"/>
      <c r="D7" s="128"/>
      <c r="E7" s="128"/>
      <c r="F7" s="128"/>
      <c r="G7" s="128"/>
      <c r="H7" s="128"/>
      <c r="I7" s="128"/>
      <c r="J7" s="128"/>
      <c r="K7" s="490"/>
      <c r="L7" s="490"/>
      <c r="M7" s="832"/>
      <c r="N7" s="832"/>
      <c r="O7" s="832"/>
      <c r="P7" s="832"/>
      <c r="Q7" s="832"/>
      <c r="R7" s="832"/>
      <c r="S7" s="832"/>
      <c r="T7" s="832"/>
      <c r="U7" s="832"/>
      <c r="V7" s="832"/>
      <c r="W7" s="842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Y7" s="124"/>
    </row>
    <row r="8" spans="1:51" s="53" customFormat="1" x14ac:dyDescent="0.2">
      <c r="A8" s="490"/>
      <c r="B8" s="125"/>
      <c r="C8" s="817"/>
      <c r="D8" s="817"/>
      <c r="E8" s="817"/>
      <c r="F8" s="817"/>
      <c r="G8" s="817"/>
      <c r="H8" s="817"/>
      <c r="I8" s="817"/>
      <c r="J8" s="817"/>
      <c r="K8" s="490"/>
      <c r="L8" s="490"/>
      <c r="M8" s="832"/>
      <c r="N8" s="832"/>
      <c r="O8" s="832"/>
      <c r="P8" s="832"/>
      <c r="Q8" s="832"/>
      <c r="R8" s="832"/>
      <c r="S8" s="832"/>
      <c r="T8" s="832"/>
      <c r="U8" s="832"/>
      <c r="V8" s="832"/>
      <c r="W8" s="842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Y8" s="124"/>
    </row>
    <row r="9" spans="1:51" s="53" customFormat="1" x14ac:dyDescent="0.2">
      <c r="A9" s="489"/>
      <c r="B9" s="125"/>
      <c r="C9" s="128"/>
      <c r="D9" s="490"/>
      <c r="E9" s="490"/>
      <c r="F9" s="490"/>
      <c r="G9" s="128"/>
      <c r="H9" s="490"/>
      <c r="I9" s="490"/>
      <c r="J9" s="130" t="s">
        <v>91</v>
      </c>
      <c r="K9" s="833"/>
      <c r="L9" s="128"/>
      <c r="M9" s="843" t="s">
        <v>91</v>
      </c>
      <c r="N9" s="791"/>
      <c r="O9" s="130" t="s">
        <v>91</v>
      </c>
      <c r="P9" s="819" t="s">
        <v>79</v>
      </c>
      <c r="Q9" s="130" t="s">
        <v>91</v>
      </c>
      <c r="R9" s="819" t="s">
        <v>79</v>
      </c>
      <c r="S9" s="128" t="s">
        <v>79</v>
      </c>
      <c r="T9" s="128" t="s">
        <v>79</v>
      </c>
      <c r="U9" s="843" t="s">
        <v>91</v>
      </c>
      <c r="V9" s="819" t="s">
        <v>79</v>
      </c>
      <c r="W9" s="842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Y9" s="124"/>
    </row>
    <row r="10" spans="1:51" s="53" customFormat="1" x14ac:dyDescent="0.2">
      <c r="A10" s="489"/>
      <c r="B10" s="125"/>
      <c r="C10" s="128"/>
      <c r="D10" s="132"/>
      <c r="E10" s="132" t="s">
        <v>3</v>
      </c>
      <c r="F10" s="132" t="s">
        <v>3</v>
      </c>
      <c r="G10" s="128" t="s">
        <v>37</v>
      </c>
      <c r="H10" s="820" t="s">
        <v>17</v>
      </c>
      <c r="I10" s="132" t="s">
        <v>39</v>
      </c>
      <c r="J10" s="132" t="s">
        <v>853</v>
      </c>
      <c r="K10" s="833"/>
      <c r="L10" s="128"/>
      <c r="M10" s="844" t="s">
        <v>1152</v>
      </c>
      <c r="N10" s="777" t="s">
        <v>79</v>
      </c>
      <c r="O10" s="132" t="s">
        <v>1151</v>
      </c>
      <c r="P10" s="132" t="s">
        <v>3</v>
      </c>
      <c r="Q10" s="132" t="s">
        <v>1151</v>
      </c>
      <c r="R10" s="132" t="s">
        <v>3</v>
      </c>
      <c r="S10" s="128" t="s">
        <v>37</v>
      </c>
      <c r="T10" s="118" t="s">
        <v>17</v>
      </c>
      <c r="U10" s="844" t="s">
        <v>1152</v>
      </c>
      <c r="V10" s="132" t="s">
        <v>39</v>
      </c>
      <c r="W10" s="842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Y10" s="124"/>
    </row>
    <row r="11" spans="1:51" s="53" customFormat="1" x14ac:dyDescent="0.2">
      <c r="A11" s="118" t="s">
        <v>44</v>
      </c>
      <c r="B11" s="125"/>
      <c r="C11" s="128"/>
      <c r="D11" s="132" t="s">
        <v>3</v>
      </c>
      <c r="E11" s="132" t="s">
        <v>8</v>
      </c>
      <c r="F11" s="132" t="s">
        <v>45</v>
      </c>
      <c r="G11" s="592" t="s">
        <v>9</v>
      </c>
      <c r="H11" s="820" t="s">
        <v>46</v>
      </c>
      <c r="I11" s="132" t="s">
        <v>47</v>
      </c>
      <c r="J11" s="132" t="s">
        <v>24</v>
      </c>
      <c r="K11" s="833"/>
      <c r="L11" s="128"/>
      <c r="M11" s="777" t="s">
        <v>3</v>
      </c>
      <c r="N11" s="777" t="s">
        <v>3</v>
      </c>
      <c r="O11" s="132" t="s">
        <v>8</v>
      </c>
      <c r="P11" s="132" t="s">
        <v>8</v>
      </c>
      <c r="Q11" s="132" t="s">
        <v>45</v>
      </c>
      <c r="R11" s="132" t="s">
        <v>45</v>
      </c>
      <c r="S11" s="592" t="s">
        <v>9</v>
      </c>
      <c r="T11" s="118" t="s">
        <v>46</v>
      </c>
      <c r="U11" s="777" t="s">
        <v>80</v>
      </c>
      <c r="V11" s="132" t="s">
        <v>47</v>
      </c>
      <c r="W11" s="842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Y11" s="124"/>
    </row>
    <row r="12" spans="1:51" s="53" customFormat="1" ht="13.5" thickBot="1" x14ac:dyDescent="0.25">
      <c r="A12" s="531" t="s">
        <v>52</v>
      </c>
      <c r="B12" s="532" t="s">
        <v>53</v>
      </c>
      <c r="C12" s="529"/>
      <c r="D12" s="529" t="s">
        <v>11</v>
      </c>
      <c r="E12" s="529" t="s">
        <v>10</v>
      </c>
      <c r="F12" s="529" t="s">
        <v>10</v>
      </c>
      <c r="G12" s="834" t="s">
        <v>14</v>
      </c>
      <c r="H12" s="823" t="s">
        <v>54</v>
      </c>
      <c r="I12" s="529" t="s">
        <v>24</v>
      </c>
      <c r="J12" s="133" t="s">
        <v>854</v>
      </c>
      <c r="K12" s="833"/>
      <c r="L12" s="128"/>
      <c r="M12" s="835" t="s">
        <v>11</v>
      </c>
      <c r="N12" s="782" t="s">
        <v>11</v>
      </c>
      <c r="O12" s="529" t="s">
        <v>10</v>
      </c>
      <c r="P12" s="782" t="s">
        <v>10</v>
      </c>
      <c r="Q12" s="529" t="s">
        <v>10</v>
      </c>
      <c r="R12" s="782" t="s">
        <v>10</v>
      </c>
      <c r="S12" s="834" t="s">
        <v>14</v>
      </c>
      <c r="T12" s="531" t="s">
        <v>54</v>
      </c>
      <c r="U12" s="531" t="s">
        <v>24</v>
      </c>
      <c r="V12" s="529" t="s">
        <v>24</v>
      </c>
      <c r="W12" s="84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Y12" s="124"/>
    </row>
    <row r="13" spans="1:51" s="53" customFormat="1" ht="13.5" thickTop="1" x14ac:dyDescent="0.2">
      <c r="A13" s="118"/>
      <c r="B13" s="125"/>
      <c r="C13" s="128"/>
      <c r="D13" s="128" t="s">
        <v>15</v>
      </c>
      <c r="E13" s="128" t="s">
        <v>15</v>
      </c>
      <c r="F13" s="128" t="s">
        <v>15</v>
      </c>
      <c r="G13" s="128" t="s">
        <v>57</v>
      </c>
      <c r="H13" s="128" t="s">
        <v>57</v>
      </c>
      <c r="I13" s="128" t="s">
        <v>57</v>
      </c>
      <c r="J13" s="128"/>
      <c r="K13" s="833"/>
      <c r="L13" s="128"/>
      <c r="M13" s="128" t="s">
        <v>15</v>
      </c>
      <c r="N13" s="128" t="s">
        <v>15</v>
      </c>
      <c r="O13" s="128" t="s">
        <v>15</v>
      </c>
      <c r="P13" s="128" t="s">
        <v>15</v>
      </c>
      <c r="Q13" s="128" t="s">
        <v>15</v>
      </c>
      <c r="R13" s="128" t="s">
        <v>15</v>
      </c>
      <c r="S13" s="128" t="s">
        <v>57</v>
      </c>
      <c r="T13" s="128" t="s">
        <v>57</v>
      </c>
      <c r="U13" s="128" t="s">
        <v>57</v>
      </c>
      <c r="V13" s="128" t="s">
        <v>57</v>
      </c>
      <c r="W13" s="842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Y13" s="124"/>
    </row>
    <row r="14" spans="1:51" s="53" customFormat="1" x14ac:dyDescent="0.2">
      <c r="A14" s="134"/>
      <c r="B14" s="135"/>
      <c r="C14" s="130"/>
      <c r="D14" s="138"/>
      <c r="E14" s="138"/>
      <c r="F14" s="138"/>
      <c r="G14" s="138"/>
      <c r="H14" s="139"/>
      <c r="I14" s="138"/>
      <c r="J14" s="138"/>
      <c r="K14" s="137"/>
      <c r="L14" s="130"/>
      <c r="M14" s="138"/>
      <c r="N14" s="138"/>
      <c r="O14" s="138"/>
      <c r="P14" s="138"/>
      <c r="Q14" s="138"/>
      <c r="R14" s="138"/>
      <c r="S14" s="138"/>
      <c r="T14" s="139"/>
      <c r="U14" s="138"/>
      <c r="V14" s="138"/>
      <c r="W14" s="842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Y14" s="127"/>
    </row>
    <row r="15" spans="1:51" s="53" customFormat="1" x14ac:dyDescent="0.2">
      <c r="A15" s="134"/>
      <c r="B15" s="144" t="s">
        <v>58</v>
      </c>
      <c r="C15" s="130"/>
      <c r="D15" s="138"/>
      <c r="E15" s="138"/>
      <c r="F15" s="138"/>
      <c r="G15" s="138"/>
      <c r="H15" s="139"/>
      <c r="I15" s="138"/>
      <c r="J15" s="138"/>
      <c r="K15" s="137"/>
      <c r="L15" s="130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842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Y15" s="127"/>
    </row>
    <row r="16" spans="1:51" s="53" customFormat="1" x14ac:dyDescent="0.2">
      <c r="A16" s="134"/>
      <c r="B16" s="149"/>
      <c r="C16" s="130"/>
      <c r="D16" s="138"/>
      <c r="E16" s="138"/>
      <c r="F16" s="138"/>
      <c r="G16" s="138"/>
      <c r="H16" s="139"/>
      <c r="I16" s="138"/>
      <c r="J16" s="138"/>
      <c r="K16" s="137"/>
      <c r="L16" s="130"/>
      <c r="M16" s="138"/>
      <c r="N16" s="138"/>
      <c r="O16" s="138"/>
      <c r="P16" s="138"/>
      <c r="Q16" s="138"/>
      <c r="R16" s="138"/>
      <c r="S16" s="138"/>
      <c r="T16" s="139"/>
      <c r="U16" s="138"/>
      <c r="V16" s="138"/>
      <c r="W16" s="842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Y16" s="127"/>
    </row>
    <row r="17" spans="1:51" s="53" customFormat="1" x14ac:dyDescent="0.2">
      <c r="A17" s="134"/>
      <c r="B17" s="144" t="s">
        <v>59</v>
      </c>
      <c r="C17" s="130"/>
      <c r="D17" s="138"/>
      <c r="E17" s="138"/>
      <c r="F17" s="138"/>
      <c r="G17" s="138"/>
      <c r="H17" s="139"/>
      <c r="I17" s="138"/>
      <c r="J17" s="138"/>
      <c r="K17" s="137"/>
      <c r="L17" s="130"/>
      <c r="M17" s="138"/>
      <c r="N17" s="138"/>
      <c r="O17" s="138"/>
      <c r="P17" s="138"/>
      <c r="Q17" s="138"/>
      <c r="R17" s="138"/>
      <c r="S17" s="138"/>
      <c r="T17" s="139"/>
      <c r="U17" s="138"/>
      <c r="V17" s="138"/>
      <c r="W17" s="842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Y17" s="127"/>
    </row>
    <row r="18" spans="1:51" s="53" customFormat="1" x14ac:dyDescent="0.2">
      <c r="A18" s="491"/>
      <c r="B18" s="129"/>
      <c r="C18" s="130"/>
      <c r="D18" s="138"/>
      <c r="E18" s="138"/>
      <c r="F18" s="138"/>
      <c r="G18" s="130"/>
      <c r="H18" s="139"/>
      <c r="I18" s="138"/>
      <c r="J18" s="138"/>
      <c r="K18" s="137"/>
      <c r="L18" s="130"/>
      <c r="M18" s="138"/>
      <c r="N18" s="138"/>
      <c r="O18" s="138"/>
      <c r="P18" s="138"/>
      <c r="Q18" s="138"/>
      <c r="R18" s="138"/>
      <c r="S18" s="138"/>
      <c r="T18" s="139"/>
      <c r="U18" s="138"/>
      <c r="V18" s="138"/>
      <c r="W18" s="842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Y18" s="127"/>
    </row>
    <row r="19" spans="1:51" s="53" customFormat="1" x14ac:dyDescent="0.2">
      <c r="A19" s="140">
        <f>'Plant &amp; Reserve'!$A19</f>
        <v>31140</v>
      </c>
      <c r="B19" s="130" t="str">
        <f>'Plant &amp; Reserve'!$B19</f>
        <v>BB Common</v>
      </c>
      <c r="C19" s="130"/>
      <c r="D19" s="138">
        <v>9.7880538280359861</v>
      </c>
      <c r="E19" s="138">
        <v>39</v>
      </c>
      <c r="F19" s="138">
        <v>31</v>
      </c>
      <c r="G19" s="130">
        <v>16.579999999999998</v>
      </c>
      <c r="H19" s="139">
        <v>-5</v>
      </c>
      <c r="I19" s="138">
        <v>2.9</v>
      </c>
      <c r="J19" s="138">
        <f t="shared" ref="J19:J24" si="0">IF(F19=0,0,ROUND(((100-H19-G19)/F19),1))-I19</f>
        <v>0</v>
      </c>
      <c r="K19" s="137"/>
      <c r="L19" s="130"/>
      <c r="M19" s="138">
        <f>'Big Bend Common'!$G$16</f>
        <v>12.657577829999999</v>
      </c>
      <c r="N19" s="830">
        <f>ROUND(M19,1)</f>
        <v>12.7</v>
      </c>
      <c r="O19" s="138">
        <f>'Big Bend Common'!$I$16</f>
        <v>34.557105730000004</v>
      </c>
      <c r="P19" s="138">
        <f t="shared" ref="P19:P24" si="1">IF(O19&gt;20,ROUND(O19,0),ROUND(O19,1))</f>
        <v>35</v>
      </c>
      <c r="Q19" s="138">
        <f>'Big Bend Common'!$K$16</f>
        <v>24.21309973</v>
      </c>
      <c r="R19" s="138">
        <f t="shared" ref="R19:R24" si="2">IF(Q19&gt;20,ROUND(Q19,0),ROUND(Q19,1))</f>
        <v>24</v>
      </c>
      <c r="S19" s="130">
        <f>IF('Plant &amp; Reserve'!$D19=0,0,ROUND(('Plant &amp; Reserve'!$E19/'Plant &amp; Reserve'!$D19)*100,2))</f>
        <v>25.75</v>
      </c>
      <c r="T19" s="160">
        <f>ROUND(100*'Big Bend Common'!$O$16,0)</f>
        <v>-2</v>
      </c>
      <c r="U19" s="836">
        <f>IF(Q19=0,0,ROUND(((100-T19-S19)/Q19),3))</f>
        <v>3.149</v>
      </c>
      <c r="V19" s="138">
        <f t="shared" ref="V19:V23" si="3">IF(R19=0,0,ROUND(((100-T19-S19)/R19),1))</f>
        <v>3.2</v>
      </c>
      <c r="W19" s="842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Y19" s="127"/>
    </row>
    <row r="20" spans="1:51" s="53" customFormat="1" x14ac:dyDescent="0.2">
      <c r="A20" s="140">
        <f>'Plant &amp; Reserve'!$A20</f>
        <v>31240</v>
      </c>
      <c r="B20" s="130" t="str">
        <f>'Plant &amp; Reserve'!$B20</f>
        <v>BB Common</v>
      </c>
      <c r="C20" s="130"/>
      <c r="D20" s="138">
        <v>18.270949073151197</v>
      </c>
      <c r="E20" s="138">
        <v>36</v>
      </c>
      <c r="F20" s="138">
        <v>22</v>
      </c>
      <c r="G20" s="130">
        <v>34.090000000000003</v>
      </c>
      <c r="H20" s="139">
        <v>-8</v>
      </c>
      <c r="I20" s="138">
        <v>3.4</v>
      </c>
      <c r="J20" s="138">
        <f t="shared" si="0"/>
        <v>0</v>
      </c>
      <c r="K20" s="137"/>
      <c r="L20" s="130"/>
      <c r="M20" s="138">
        <f>'Big Bend Common'!$G$22</f>
        <v>11.65533239</v>
      </c>
      <c r="N20" s="830">
        <f t="shared" ref="N20:N24" si="4">ROUND(M20,1)</f>
        <v>11.7</v>
      </c>
      <c r="O20" s="138">
        <f>'Big Bend Common'!$I$22</f>
        <v>31.60496375</v>
      </c>
      <c r="P20" s="138">
        <f t="shared" si="1"/>
        <v>32</v>
      </c>
      <c r="Q20" s="138">
        <f>'Big Bend Common'!$K$22</f>
        <v>21.530482060000001</v>
      </c>
      <c r="R20" s="138">
        <f t="shared" si="2"/>
        <v>22</v>
      </c>
      <c r="S20" s="130">
        <f>IF('Plant &amp; Reserve'!$D20=0,0,ROUND(('Plant &amp; Reserve'!$E20/'Plant &amp; Reserve'!$D20)*100,2))</f>
        <v>4.28</v>
      </c>
      <c r="T20" s="160">
        <f>ROUND(100*'Big Bend Common'!$O$22,0)</f>
        <v>-5</v>
      </c>
      <c r="U20" s="836">
        <f t="shared" ref="U20:U24" si="5">IF(Q20=0,0,ROUND(((100-T20-S20)/Q20),3))</f>
        <v>4.6779999999999999</v>
      </c>
      <c r="V20" s="138">
        <f t="shared" si="3"/>
        <v>4.5999999999999996</v>
      </c>
      <c r="W20" s="842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Y20" s="127"/>
    </row>
    <row r="21" spans="1:51" s="53" customFormat="1" x14ac:dyDescent="0.2">
      <c r="A21" s="140">
        <f>'Plant &amp; Reserve'!$A21</f>
        <v>31440</v>
      </c>
      <c r="B21" s="130" t="str">
        <f>'Plant &amp; Reserve'!$B21</f>
        <v>BB Common</v>
      </c>
      <c r="C21" s="130"/>
      <c r="D21" s="138">
        <v>19.469166620948268</v>
      </c>
      <c r="E21" s="138">
        <v>45</v>
      </c>
      <c r="F21" s="138">
        <v>33</v>
      </c>
      <c r="G21" s="130">
        <v>29.26</v>
      </c>
      <c r="H21" s="139">
        <v>-6</v>
      </c>
      <c r="I21" s="138">
        <v>2.2999999999999998</v>
      </c>
      <c r="J21" s="138">
        <f t="shared" si="0"/>
        <v>0</v>
      </c>
      <c r="K21" s="137"/>
      <c r="L21" s="130"/>
      <c r="M21" s="138">
        <f>'Big Bend Common'!$G$28</f>
        <v>21.933242740000001</v>
      </c>
      <c r="N21" s="830">
        <f t="shared" si="4"/>
        <v>21.9</v>
      </c>
      <c r="O21" s="138">
        <f>'Big Bend Common'!$I$28</f>
        <v>43.117790059999997</v>
      </c>
      <c r="P21" s="138">
        <f t="shared" si="1"/>
        <v>43</v>
      </c>
      <c r="Q21" s="138">
        <f>'Big Bend Common'!$K$28</f>
        <v>24.131197870000001</v>
      </c>
      <c r="R21" s="138">
        <f t="shared" si="2"/>
        <v>24</v>
      </c>
      <c r="S21" s="130">
        <f>IF('Plant &amp; Reserve'!$D21=0,0,ROUND(('Plant &amp; Reserve'!$E21/'Plant &amp; Reserve'!$D21)*100,2))</f>
        <v>30.61</v>
      </c>
      <c r="T21" s="160">
        <f>ROUND(100*'Big Bend Common'!$O$28,0)</f>
        <v>-6</v>
      </c>
      <c r="U21" s="836">
        <f t="shared" si="5"/>
        <v>3.1240000000000001</v>
      </c>
      <c r="V21" s="138">
        <f t="shared" si="3"/>
        <v>3.1</v>
      </c>
      <c r="W21" s="842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Y21" s="127"/>
    </row>
    <row r="22" spans="1:51" s="53" customFormat="1" x14ac:dyDescent="0.2">
      <c r="A22" s="140">
        <f>'Plant &amp; Reserve'!$A22</f>
        <v>31540</v>
      </c>
      <c r="B22" s="130" t="str">
        <f>'Plant &amp; Reserve'!$B22</f>
        <v>BB Common</v>
      </c>
      <c r="C22" s="130"/>
      <c r="D22" s="138">
        <v>17.206963690029852</v>
      </c>
      <c r="E22" s="138">
        <v>29</v>
      </c>
      <c r="F22" s="138">
        <v>15.4</v>
      </c>
      <c r="G22" s="130">
        <v>49.63</v>
      </c>
      <c r="H22" s="139">
        <v>-6</v>
      </c>
      <c r="I22" s="138">
        <v>3.7</v>
      </c>
      <c r="J22" s="138">
        <f t="shared" si="0"/>
        <v>0</v>
      </c>
      <c r="K22" s="137"/>
      <c r="L22" s="130"/>
      <c r="M22" s="138">
        <f>'Big Bend Common'!$G$34</f>
        <v>11.07046935</v>
      </c>
      <c r="N22" s="830">
        <f t="shared" si="4"/>
        <v>11.1</v>
      </c>
      <c r="O22" s="138">
        <f>'Big Bend Common'!$I$34</f>
        <v>31.96533771</v>
      </c>
      <c r="P22" s="138">
        <f t="shared" si="1"/>
        <v>32</v>
      </c>
      <c r="Q22" s="138">
        <f>'Big Bend Common'!$K$34</f>
        <v>22.004689299999999</v>
      </c>
      <c r="R22" s="138">
        <f t="shared" si="2"/>
        <v>22</v>
      </c>
      <c r="S22" s="130">
        <f>IF('Plant &amp; Reserve'!$D22=0,0,ROUND(('Plant &amp; Reserve'!$E22/'Plant &amp; Reserve'!$D22)*100,2))</f>
        <v>28.28</v>
      </c>
      <c r="T22" s="160">
        <f>ROUND(100*'Big Bend Common'!$O$34,0)</f>
        <v>-5</v>
      </c>
      <c r="U22" s="836">
        <f t="shared" si="5"/>
        <v>3.4870000000000001</v>
      </c>
      <c r="V22" s="138">
        <f t="shared" si="3"/>
        <v>3.5</v>
      </c>
      <c r="W22" s="84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Y22" s="127"/>
    </row>
    <row r="23" spans="1:51" s="53" customFormat="1" x14ac:dyDescent="0.2">
      <c r="A23" s="140">
        <f>'Plant &amp; Reserve'!$A23</f>
        <v>31640</v>
      </c>
      <c r="B23" s="168" t="str">
        <f>'Plant &amp; Reserve'!$B23</f>
        <v>BB Common</v>
      </c>
      <c r="C23" s="130"/>
      <c r="D23" s="170">
        <v>11.187309663454839</v>
      </c>
      <c r="E23" s="170">
        <v>26</v>
      </c>
      <c r="F23" s="170">
        <v>17.399999999999999</v>
      </c>
      <c r="G23" s="168">
        <v>35.14</v>
      </c>
      <c r="H23" s="837">
        <v>-8</v>
      </c>
      <c r="I23" s="170">
        <v>4.2</v>
      </c>
      <c r="J23" s="170">
        <f t="shared" si="0"/>
        <v>0</v>
      </c>
      <c r="K23" s="137"/>
      <c r="L23" s="130"/>
      <c r="M23" s="170">
        <f>'Big Bend Common'!$G$40</f>
        <v>9.6352594699999994</v>
      </c>
      <c r="N23" s="779">
        <f t="shared" si="4"/>
        <v>9.6</v>
      </c>
      <c r="O23" s="170">
        <f>'Big Bend Common'!$I$40</f>
        <v>29.928834899999998</v>
      </c>
      <c r="P23" s="170">
        <f t="shared" si="1"/>
        <v>30</v>
      </c>
      <c r="Q23" s="170">
        <f>'Big Bend Common'!$K$40</f>
        <v>21.56636971</v>
      </c>
      <c r="R23" s="170">
        <f t="shared" si="2"/>
        <v>22</v>
      </c>
      <c r="S23" s="168">
        <f>IF('Plant &amp; Reserve'!$D23=0,0,ROUND(('Plant &amp; Reserve'!$E23/'Plant &amp; Reserve'!$D23)*100,2))</f>
        <v>30.34</v>
      </c>
      <c r="T23" s="169">
        <f>ROUND(100*'Big Bend Common'!$O$40,0)</f>
        <v>-2</v>
      </c>
      <c r="U23" s="838">
        <f t="shared" si="5"/>
        <v>3.323</v>
      </c>
      <c r="V23" s="170">
        <f t="shared" si="3"/>
        <v>3.3</v>
      </c>
      <c r="W23" s="842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Y23" s="127"/>
    </row>
    <row r="24" spans="1:51" s="53" customFormat="1" x14ac:dyDescent="0.2">
      <c r="A24" s="134"/>
      <c r="B24" s="125" t="s">
        <v>75</v>
      </c>
      <c r="C24" s="128"/>
      <c r="D24" s="177">
        <v>12.94435880684695</v>
      </c>
      <c r="E24" s="177">
        <v>37</v>
      </c>
      <c r="F24" s="177">
        <v>27</v>
      </c>
      <c r="G24" s="128">
        <v>24.66</v>
      </c>
      <c r="H24" s="820">
        <v>-6</v>
      </c>
      <c r="I24" s="177">
        <v>3</v>
      </c>
      <c r="J24" s="138">
        <f t="shared" si="0"/>
        <v>0</v>
      </c>
      <c r="K24" s="137"/>
      <c r="L24" s="130"/>
      <c r="M24" s="177">
        <f>'Big Bend Common'!$G$47</f>
        <v>12.151003180492463</v>
      </c>
      <c r="N24" s="845">
        <f t="shared" si="4"/>
        <v>12.2</v>
      </c>
      <c r="O24" s="177">
        <f>'Big Bend Common'!$I$47</f>
        <v>33.129504004322037</v>
      </c>
      <c r="P24" s="177">
        <f t="shared" si="1"/>
        <v>33</v>
      </c>
      <c r="Q24" s="177">
        <f>'Big Bend Common'!$K$47</f>
        <v>22.865921883125207</v>
      </c>
      <c r="R24" s="177">
        <f t="shared" si="2"/>
        <v>23</v>
      </c>
      <c r="S24" s="128">
        <f>IF('Plant &amp; Reserve'!$D24=0,0,ROUND(('Plant &amp; Reserve'!$E24/'Plant &amp; Reserve'!$D24)*100,2))</f>
        <v>18.2</v>
      </c>
      <c r="T24" s="175">
        <f>ROUND(100*'Big Bend Common'!$O$47,0)</f>
        <v>-3</v>
      </c>
      <c r="U24" s="836">
        <f t="shared" si="5"/>
        <v>3.7090000000000001</v>
      </c>
      <c r="V24" s="177">
        <f>IF(R24=0,0,ROUND(((100-T24-S24)/R24),1))</f>
        <v>3.7</v>
      </c>
      <c r="W24" s="842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Y24" s="127"/>
    </row>
    <row r="25" spans="1:51" s="53" customFormat="1" x14ac:dyDescent="0.2">
      <c r="A25" s="140"/>
      <c r="B25" s="129"/>
      <c r="C25" s="130"/>
      <c r="D25" s="138"/>
      <c r="E25" s="138"/>
      <c r="F25" s="138"/>
      <c r="G25" s="130"/>
      <c r="H25" s="139"/>
      <c r="I25" s="138"/>
      <c r="J25" s="138"/>
      <c r="K25" s="137"/>
      <c r="L25" s="130"/>
      <c r="M25" s="138"/>
      <c r="N25" s="138"/>
      <c r="O25" s="138"/>
      <c r="P25" s="138"/>
      <c r="Q25" s="138"/>
      <c r="R25" s="138"/>
      <c r="S25" s="138"/>
      <c r="T25" s="139"/>
      <c r="U25" s="138"/>
      <c r="V25" s="138"/>
      <c r="W25" s="842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Y25" s="127"/>
    </row>
    <row r="26" spans="1:51" s="53" customFormat="1" x14ac:dyDescent="0.2">
      <c r="A26" s="140">
        <f>'Plant &amp; Reserve'!$A26</f>
        <v>31141</v>
      </c>
      <c r="B26" s="130" t="str">
        <f>'Plant &amp; Reserve'!$B26</f>
        <v>BB Unit  No. 1</v>
      </c>
      <c r="C26" s="130"/>
      <c r="D26" s="138">
        <v>33.822270605697931</v>
      </c>
      <c r="E26" s="138">
        <v>50</v>
      </c>
      <c r="F26" s="138">
        <v>21</v>
      </c>
      <c r="G26" s="130">
        <v>58.12</v>
      </c>
      <c r="H26" s="139">
        <v>-1</v>
      </c>
      <c r="I26" s="138">
        <v>2</v>
      </c>
      <c r="J26" s="138">
        <f t="shared" ref="J26:J31" si="6">IF(F26=0,0,ROUND(((100-H26-G26)/F26),1))-I26</f>
        <v>0</v>
      </c>
      <c r="K26" s="137"/>
      <c r="L26" s="130"/>
      <c r="M26" s="138">
        <f>'Big Bend #1'!$G$16</f>
        <v>42.39475178</v>
      </c>
      <c r="N26" s="830">
        <f>ROUND(M26,1)</f>
        <v>42.4</v>
      </c>
      <c r="O26" s="138">
        <f>'Big Bend #1'!$I$16</f>
        <v>53.92120843</v>
      </c>
      <c r="P26" s="138">
        <f t="shared" ref="P26:P31" si="7">IF(O26&gt;20,ROUND(O26,0),ROUND(O26,1))</f>
        <v>54</v>
      </c>
      <c r="Q26" s="138">
        <f>'Big Bend #1'!$K$16</f>
        <v>15.08574662</v>
      </c>
      <c r="R26" s="138">
        <f t="shared" ref="R26:R31" si="8">IF(Q26&gt;20,ROUND(Q26,0),ROUND(Q26,1))</f>
        <v>15.1</v>
      </c>
      <c r="S26" s="130">
        <f>IF('Plant &amp; Reserve'!$D26=0,0,ROUND(('Plant &amp; Reserve'!$E26/'Plant &amp; Reserve'!$D26)*100,2))</f>
        <v>60</v>
      </c>
      <c r="T26" s="160">
        <f>ROUND(100*'Big Bend #1'!$O$16,0)</f>
        <v>-2</v>
      </c>
      <c r="U26" s="836">
        <f>IF(Q26=0,0,ROUND(((100-T26-S26)/Q26),3))</f>
        <v>2.7839999999999998</v>
      </c>
      <c r="V26" s="138">
        <f t="shared" ref="V26:V31" si="9">IF(R26=0,0,ROUND(((100-T26-S26)/R26),1))</f>
        <v>2.8</v>
      </c>
      <c r="W26" s="842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Y26" s="127"/>
    </row>
    <row r="27" spans="1:51" s="53" customFormat="1" x14ac:dyDescent="0.2">
      <c r="A27" s="140">
        <f>'Plant &amp; Reserve'!$A27</f>
        <v>31241</v>
      </c>
      <c r="B27" s="130" t="str">
        <f>'Plant &amp; Reserve'!$B27</f>
        <v>BB Unit  No. 1</v>
      </c>
      <c r="C27" s="130"/>
      <c r="D27" s="138">
        <v>13.157995972112715</v>
      </c>
      <c r="E27" s="138">
        <v>29</v>
      </c>
      <c r="F27" s="138">
        <v>19.2</v>
      </c>
      <c r="G27" s="130">
        <v>28.11</v>
      </c>
      <c r="H27" s="139">
        <v>-4</v>
      </c>
      <c r="I27" s="138">
        <v>4</v>
      </c>
      <c r="J27" s="138">
        <f t="shared" si="6"/>
        <v>0</v>
      </c>
      <c r="K27" s="137"/>
      <c r="L27" s="130"/>
      <c r="M27" s="138">
        <f>'Big Bend #1'!$G$22</f>
        <v>17.503194820000001</v>
      </c>
      <c r="N27" s="830">
        <f t="shared" ref="N27:N31" si="10">ROUND(M27,1)</f>
        <v>17.5</v>
      </c>
      <c r="O27" s="138">
        <f>'Big Bend #1'!$I$22</f>
        <v>28.052179580000001</v>
      </c>
      <c r="P27" s="138">
        <f t="shared" si="7"/>
        <v>28</v>
      </c>
      <c r="Q27" s="138">
        <f>'Big Bend #1'!$K$22</f>
        <v>14.123476419999999</v>
      </c>
      <c r="R27" s="138">
        <f t="shared" si="8"/>
        <v>14.1</v>
      </c>
      <c r="S27" s="130">
        <f>IF('Plant &amp; Reserve'!$D27=0,0,ROUND(('Plant &amp; Reserve'!$E27/'Plant &amp; Reserve'!$D27)*100,2))</f>
        <v>31.94</v>
      </c>
      <c r="T27" s="160">
        <f>ROUND(100*'Big Bend #1'!$O$22,0)</f>
        <v>-5</v>
      </c>
      <c r="U27" s="836">
        <f t="shared" ref="U27:U31" si="11">IF(Q27=0,0,ROUND(((100-T27-S27)/Q27),3))</f>
        <v>5.173</v>
      </c>
      <c r="V27" s="138">
        <f t="shared" si="9"/>
        <v>5.2</v>
      </c>
      <c r="W27" s="842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Y27" s="127"/>
    </row>
    <row r="28" spans="1:51" s="53" customFormat="1" x14ac:dyDescent="0.2">
      <c r="A28" s="140">
        <f>'Plant &amp; Reserve'!$A28</f>
        <v>31441</v>
      </c>
      <c r="B28" s="130" t="str">
        <f>'Plant &amp; Reserve'!$B28</f>
        <v>BB Unit  No. 1</v>
      </c>
      <c r="C28" s="130"/>
      <c r="D28" s="138">
        <v>22.067627036058507</v>
      </c>
      <c r="E28" s="138">
        <v>34</v>
      </c>
      <c r="F28" s="138">
        <v>18.3</v>
      </c>
      <c r="G28" s="130">
        <v>39.15</v>
      </c>
      <c r="H28" s="139">
        <v>-4</v>
      </c>
      <c r="I28" s="138">
        <v>3.5</v>
      </c>
      <c r="J28" s="138">
        <f t="shared" si="6"/>
        <v>0</v>
      </c>
      <c r="K28" s="137"/>
      <c r="L28" s="130"/>
      <c r="M28" s="138">
        <f>'Big Bend #1'!$G$28</f>
        <v>17.676057709999998</v>
      </c>
      <c r="N28" s="830">
        <f t="shared" si="10"/>
        <v>17.7</v>
      </c>
      <c r="O28" s="138">
        <f>'Big Bend #1'!$I$28</f>
        <v>26.719262400000002</v>
      </c>
      <c r="P28" s="138">
        <f t="shared" si="7"/>
        <v>27</v>
      </c>
      <c r="Q28" s="138">
        <f>'Big Bend #1'!$K$28</f>
        <v>13.16829345</v>
      </c>
      <c r="R28" s="138">
        <f t="shared" si="8"/>
        <v>13.2</v>
      </c>
      <c r="S28" s="130">
        <f>IF('Plant &amp; Reserve'!$D28=0,0,ROUND(('Plant &amp; Reserve'!$E28/'Plant &amp; Reserve'!$D28)*100,2))</f>
        <v>29.68</v>
      </c>
      <c r="T28" s="160">
        <f>ROUND(100*'Big Bend #1'!$O$28,0)</f>
        <v>-6</v>
      </c>
      <c r="U28" s="836">
        <f t="shared" si="11"/>
        <v>5.7960000000000003</v>
      </c>
      <c r="V28" s="138">
        <f t="shared" si="9"/>
        <v>5.8</v>
      </c>
      <c r="W28" s="842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Y28" s="127"/>
    </row>
    <row r="29" spans="1:51" s="53" customFormat="1" x14ac:dyDescent="0.2">
      <c r="A29" s="140">
        <f>'Plant &amp; Reserve'!$A29</f>
        <v>31541</v>
      </c>
      <c r="B29" s="130" t="str">
        <f>'Plant &amp; Reserve'!$B29</f>
        <v>BB Unit  No. 1</v>
      </c>
      <c r="C29" s="130"/>
      <c r="D29" s="138">
        <v>16.761955505216399</v>
      </c>
      <c r="E29" s="138">
        <v>29</v>
      </c>
      <c r="F29" s="138">
        <v>18.2</v>
      </c>
      <c r="G29" s="130">
        <v>39.18</v>
      </c>
      <c r="H29" s="139">
        <v>-3</v>
      </c>
      <c r="I29" s="138">
        <v>3.5</v>
      </c>
      <c r="J29" s="138">
        <f t="shared" si="6"/>
        <v>0</v>
      </c>
      <c r="K29" s="137"/>
      <c r="L29" s="130"/>
      <c r="M29" s="138">
        <f>'Big Bend #1'!$G$34</f>
        <v>19.668041680000002</v>
      </c>
      <c r="N29" s="830">
        <f t="shared" si="10"/>
        <v>19.7</v>
      </c>
      <c r="O29" s="138">
        <f>'Big Bend #1'!$I$34</f>
        <v>29.171272550000001</v>
      </c>
      <c r="P29" s="138">
        <f t="shared" si="7"/>
        <v>29</v>
      </c>
      <c r="Q29" s="138">
        <f>'Big Bend #1'!$K$34</f>
        <v>13.22700412</v>
      </c>
      <c r="R29" s="138">
        <f t="shared" si="8"/>
        <v>13.2</v>
      </c>
      <c r="S29" s="130">
        <f>IF('Plant &amp; Reserve'!$D29=0,0,ROUND(('Plant &amp; Reserve'!$E29/'Plant &amp; Reserve'!$D29)*100,2))</f>
        <v>46.27</v>
      </c>
      <c r="T29" s="160">
        <f>ROUND(100*'Big Bend #1'!$O$34,0)</f>
        <v>-5</v>
      </c>
      <c r="U29" s="836">
        <f t="shared" si="11"/>
        <v>4.4400000000000004</v>
      </c>
      <c r="V29" s="138">
        <f t="shared" si="9"/>
        <v>4.4000000000000004</v>
      </c>
      <c r="W29" s="842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Y29" s="127"/>
    </row>
    <row r="30" spans="1:51" s="53" customFormat="1" x14ac:dyDescent="0.2">
      <c r="A30" s="140">
        <f>'Plant &amp; Reserve'!$A30</f>
        <v>31641</v>
      </c>
      <c r="B30" s="168" t="str">
        <f>'Plant &amp; Reserve'!$B30</f>
        <v>BB Unit  No. 1</v>
      </c>
      <c r="C30" s="130"/>
      <c r="D30" s="170">
        <v>26.110380252332686</v>
      </c>
      <c r="E30" s="170">
        <v>35</v>
      </c>
      <c r="F30" s="170">
        <v>18</v>
      </c>
      <c r="G30" s="168">
        <v>49.1</v>
      </c>
      <c r="H30" s="837">
        <v>-2</v>
      </c>
      <c r="I30" s="170">
        <v>2.9</v>
      </c>
      <c r="J30" s="170">
        <f t="shared" si="6"/>
        <v>0</v>
      </c>
      <c r="K30" s="137"/>
      <c r="L30" s="130"/>
      <c r="M30" s="170">
        <f>'Big Bend #1'!$G$40</f>
        <v>27.946229160000001</v>
      </c>
      <c r="N30" s="779">
        <f t="shared" si="10"/>
        <v>27.9</v>
      </c>
      <c r="O30" s="170">
        <f>'Big Bend #1'!$I$40</f>
        <v>41.827763330000003</v>
      </c>
      <c r="P30" s="170">
        <f t="shared" si="7"/>
        <v>42</v>
      </c>
      <c r="Q30" s="170">
        <f>'Big Bend #1'!$K$40</f>
        <v>14.039998539999999</v>
      </c>
      <c r="R30" s="170">
        <f t="shared" si="8"/>
        <v>14</v>
      </c>
      <c r="S30" s="168">
        <f>IF('Plant &amp; Reserve'!$D30=0,0,ROUND(('Plant &amp; Reserve'!$E30/'Plant &amp; Reserve'!$D30)*100,2))</f>
        <v>52.1</v>
      </c>
      <c r="T30" s="169">
        <f>ROUND(100*'Big Bend #1'!$O$40,0)</f>
        <v>-2</v>
      </c>
      <c r="U30" s="838">
        <f t="shared" si="11"/>
        <v>3.5539999999999998</v>
      </c>
      <c r="V30" s="170">
        <f t="shared" si="9"/>
        <v>3.6</v>
      </c>
      <c r="W30" s="842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Y30" s="127"/>
    </row>
    <row r="31" spans="1:51" s="53" customFormat="1" x14ac:dyDescent="0.2">
      <c r="A31" s="134"/>
      <c r="B31" s="125" t="s">
        <v>75</v>
      </c>
      <c r="C31" s="128"/>
      <c r="D31" s="177">
        <v>16.287503759315005</v>
      </c>
      <c r="E31" s="177">
        <v>30</v>
      </c>
      <c r="F31" s="177">
        <v>19</v>
      </c>
      <c r="G31" s="128">
        <v>32.85</v>
      </c>
      <c r="H31" s="820">
        <v>-4</v>
      </c>
      <c r="I31" s="177">
        <v>3.7</v>
      </c>
      <c r="J31" s="138">
        <f t="shared" si="6"/>
        <v>0</v>
      </c>
      <c r="K31" s="137"/>
      <c r="L31" s="130"/>
      <c r="M31" s="177">
        <f>'Big Bend #1'!$G$47</f>
        <v>18.829394045858802</v>
      </c>
      <c r="N31" s="845">
        <f t="shared" si="10"/>
        <v>18.8</v>
      </c>
      <c r="O31" s="177">
        <f>'Big Bend #1'!$I$47</f>
        <v>28.911523033938597</v>
      </c>
      <c r="P31" s="177">
        <f t="shared" si="7"/>
        <v>29</v>
      </c>
      <c r="Q31" s="177">
        <f>'Big Bend #1'!$K$47</f>
        <v>13.807166911292949</v>
      </c>
      <c r="R31" s="177">
        <f t="shared" si="8"/>
        <v>13.8</v>
      </c>
      <c r="S31" s="128">
        <f>IF('Plant &amp; Reserve'!$D31=0,0,ROUND(('Plant &amp; Reserve'!$E31/'Plant &amp; Reserve'!$D31)*100,2))</f>
        <v>33.92</v>
      </c>
      <c r="T31" s="175">
        <f>ROUND(100*'Big Bend #1'!$O$47,0)</f>
        <v>-5</v>
      </c>
      <c r="U31" s="836">
        <f t="shared" si="11"/>
        <v>5.1479999999999997</v>
      </c>
      <c r="V31" s="177">
        <f t="shared" si="9"/>
        <v>5.2</v>
      </c>
      <c r="W31" s="842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Y31" s="127"/>
    </row>
    <row r="32" spans="1:51" s="53" customFormat="1" x14ac:dyDescent="0.2">
      <c r="A32" s="140"/>
      <c r="B32" s="129"/>
      <c r="C32" s="130"/>
      <c r="D32" s="138"/>
      <c r="E32" s="138"/>
      <c r="F32" s="138"/>
      <c r="G32" s="130"/>
      <c r="H32" s="139"/>
      <c r="I32" s="138"/>
      <c r="J32" s="138"/>
      <c r="K32" s="137"/>
      <c r="L32" s="130"/>
      <c r="M32" s="138"/>
      <c r="N32" s="138"/>
      <c r="O32" s="138"/>
      <c r="P32" s="138"/>
      <c r="Q32" s="138"/>
      <c r="R32" s="138"/>
      <c r="S32" s="138"/>
      <c r="T32" s="139"/>
      <c r="U32" s="138"/>
      <c r="V32" s="138"/>
      <c r="W32" s="84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Y32" s="127"/>
    </row>
    <row r="33" spans="1:51" s="53" customFormat="1" x14ac:dyDescent="0.2">
      <c r="A33" s="140">
        <f>'Plant &amp; Reserve'!$A33</f>
        <v>31142</v>
      </c>
      <c r="B33" s="130" t="str">
        <f>'Plant &amp; Reserve'!$B33</f>
        <v>BB Unit  No. 2</v>
      </c>
      <c r="C33" s="130"/>
      <c r="D33" s="138">
        <v>30.062970804083783</v>
      </c>
      <c r="E33" s="138">
        <v>50</v>
      </c>
      <c r="F33" s="138">
        <v>24</v>
      </c>
      <c r="G33" s="130">
        <v>51.99</v>
      </c>
      <c r="H33" s="139">
        <v>-1</v>
      </c>
      <c r="I33" s="138">
        <v>2</v>
      </c>
      <c r="J33" s="138">
        <f t="shared" ref="J33:J38" si="12">IF(F33=0,0,ROUND(((100-H33-G33)/F33),1))-I33</f>
        <v>0</v>
      </c>
      <c r="K33" s="137"/>
      <c r="L33" s="130"/>
      <c r="M33" s="138">
        <f>'Big Bend #2'!$G$16</f>
        <v>39.37781313</v>
      </c>
      <c r="N33" s="830">
        <f>ROUND(M33,1)</f>
        <v>39.4</v>
      </c>
      <c r="O33" s="138">
        <f>'Big Bend #2'!$I$16</f>
        <v>56.180373420000002</v>
      </c>
      <c r="P33" s="138">
        <f t="shared" ref="P33:P38" si="13">IF(O33&gt;20,ROUND(O33,0),ROUND(O33,1))</f>
        <v>56</v>
      </c>
      <c r="Q33" s="138">
        <f>'Big Bend #2'!$K$16</f>
        <v>18.293443010000001</v>
      </c>
      <c r="R33" s="138">
        <f t="shared" ref="R33:R38" si="14">IF(Q33&gt;20,ROUND(Q33,0),ROUND(Q33,1))</f>
        <v>18.3</v>
      </c>
      <c r="S33" s="130">
        <f>IF('Plant &amp; Reserve'!$D33=0,0,ROUND(('Plant &amp; Reserve'!$E33/'Plant &amp; Reserve'!$D33)*100,2))</f>
        <v>55.33</v>
      </c>
      <c r="T33" s="160">
        <f>ROUND(100*'Big Bend #2'!$O$16,0)</f>
        <v>-2</v>
      </c>
      <c r="U33" s="836">
        <f>IF(Q33=0,0,ROUND(((100-T33-S33)/Q33),3))</f>
        <v>2.5510000000000002</v>
      </c>
      <c r="V33" s="138">
        <f t="shared" ref="V33:V38" si="15">IF(R33=0,0,ROUND(((100-T33-S33)/R33),1))</f>
        <v>2.6</v>
      </c>
      <c r="W33" s="842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Y33" s="127"/>
    </row>
    <row r="34" spans="1:51" s="53" customFormat="1" x14ac:dyDescent="0.2">
      <c r="A34" s="140">
        <f>'Plant &amp; Reserve'!$A34</f>
        <v>31242</v>
      </c>
      <c r="B34" s="130" t="str">
        <f>'Plant &amp; Reserve'!$B34</f>
        <v>BB Unit  No. 2</v>
      </c>
      <c r="C34" s="130"/>
      <c r="D34" s="138">
        <v>12.154870632484219</v>
      </c>
      <c r="E34" s="138">
        <v>31</v>
      </c>
      <c r="F34" s="138">
        <v>22</v>
      </c>
      <c r="G34" s="130">
        <v>24.12</v>
      </c>
      <c r="H34" s="139">
        <v>-5</v>
      </c>
      <c r="I34" s="138">
        <v>3.7</v>
      </c>
      <c r="J34" s="138">
        <f t="shared" si="12"/>
        <v>0</v>
      </c>
      <c r="K34" s="137"/>
      <c r="L34" s="130"/>
      <c r="M34" s="138">
        <f>'Big Bend #2'!$G$22</f>
        <v>17.502884330000001</v>
      </c>
      <c r="N34" s="830">
        <f t="shared" ref="N34:N38" si="16">ROUND(M34,1)</f>
        <v>17.5</v>
      </c>
      <c r="O34" s="138">
        <f>'Big Bend #2'!$I$22</f>
        <v>31.480533139999999</v>
      </c>
      <c r="P34" s="138">
        <f t="shared" si="13"/>
        <v>31</v>
      </c>
      <c r="Q34" s="138">
        <f>'Big Bend #2'!$K$22</f>
        <v>16.652594860000001</v>
      </c>
      <c r="R34" s="138">
        <f t="shared" si="14"/>
        <v>16.7</v>
      </c>
      <c r="S34" s="130">
        <f>IF('Plant &amp; Reserve'!$D34=0,0,ROUND(('Plant &amp; Reserve'!$E34/'Plant &amp; Reserve'!$D34)*100,2))</f>
        <v>33.119999999999997</v>
      </c>
      <c r="T34" s="160">
        <f>ROUND(100*'Big Bend #2'!$O$22,0)</f>
        <v>-5</v>
      </c>
      <c r="U34" s="836">
        <f t="shared" ref="U34:U38" si="17">IF(Q34=0,0,ROUND(((100-T34-S34)/Q34),3))</f>
        <v>4.3159999999999998</v>
      </c>
      <c r="V34" s="138">
        <f t="shared" si="15"/>
        <v>4.3</v>
      </c>
      <c r="W34" s="842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Y34" s="127"/>
    </row>
    <row r="35" spans="1:51" s="53" customFormat="1" x14ac:dyDescent="0.2">
      <c r="A35" s="140">
        <f>'Plant &amp; Reserve'!$A35</f>
        <v>31442</v>
      </c>
      <c r="B35" s="130" t="str">
        <f>'Plant &amp; Reserve'!$B35</f>
        <v>BB Unit  No. 2</v>
      </c>
      <c r="C35" s="130"/>
      <c r="D35" s="138">
        <v>12.245897336340564</v>
      </c>
      <c r="E35" s="138">
        <v>30</v>
      </c>
      <c r="F35" s="138">
        <v>22</v>
      </c>
      <c r="G35" s="130">
        <v>20.27</v>
      </c>
      <c r="H35" s="139">
        <v>-4</v>
      </c>
      <c r="I35" s="138">
        <v>3.8</v>
      </c>
      <c r="J35" s="138">
        <f t="shared" si="12"/>
        <v>0</v>
      </c>
      <c r="K35" s="137"/>
      <c r="L35" s="130"/>
      <c r="M35" s="138">
        <f>'Big Bend #2'!$G$28</f>
        <v>18.244962900000001</v>
      </c>
      <c r="N35" s="830">
        <f t="shared" si="16"/>
        <v>18.2</v>
      </c>
      <c r="O35" s="138">
        <f>'Big Bend #2'!$I$28</f>
        <v>28.610825760000001</v>
      </c>
      <c r="P35" s="138">
        <f t="shared" si="13"/>
        <v>29</v>
      </c>
      <c r="Q35" s="138">
        <f>'Big Bend #2'!$K$28</f>
        <v>14.584123050000001</v>
      </c>
      <c r="R35" s="138">
        <f t="shared" si="14"/>
        <v>14.6</v>
      </c>
      <c r="S35" s="130">
        <f>IF('Plant &amp; Reserve'!$D35=0,0,ROUND(('Plant &amp; Reserve'!$E35/'Plant &amp; Reserve'!$D35)*100,2))</f>
        <v>45.62</v>
      </c>
      <c r="T35" s="160">
        <f>ROUND(100*'Big Bend #2'!$O$28,0)</f>
        <v>-6</v>
      </c>
      <c r="U35" s="836">
        <f t="shared" si="17"/>
        <v>4.1399999999999997</v>
      </c>
      <c r="V35" s="138">
        <f t="shared" si="15"/>
        <v>4.0999999999999996</v>
      </c>
      <c r="W35" s="842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Y35" s="127"/>
    </row>
    <row r="36" spans="1:51" s="53" customFormat="1" x14ac:dyDescent="0.2">
      <c r="A36" s="140">
        <f>'Plant &amp; Reserve'!$A36</f>
        <v>31542</v>
      </c>
      <c r="B36" s="130" t="str">
        <f>'Plant &amp; Reserve'!$B36</f>
        <v>BB Unit  No. 2</v>
      </c>
      <c r="C36" s="130"/>
      <c r="D36" s="138">
        <v>16.644801956569701</v>
      </c>
      <c r="E36" s="138">
        <v>32</v>
      </c>
      <c r="F36" s="138">
        <v>19.7</v>
      </c>
      <c r="G36" s="130">
        <v>40.950000000000003</v>
      </c>
      <c r="H36" s="139">
        <v>-5</v>
      </c>
      <c r="I36" s="138">
        <v>3.3</v>
      </c>
      <c r="J36" s="138">
        <f t="shared" si="12"/>
        <v>0</v>
      </c>
      <c r="K36" s="137"/>
      <c r="L36" s="130"/>
      <c r="M36" s="138">
        <f>'Big Bend #2'!$G$34</f>
        <v>15.92365869</v>
      </c>
      <c r="N36" s="830">
        <f t="shared" si="16"/>
        <v>15.9</v>
      </c>
      <c r="O36" s="138">
        <f>'Big Bend #2'!$I$34</f>
        <v>26.76287044</v>
      </c>
      <c r="P36" s="138">
        <f t="shared" si="13"/>
        <v>27</v>
      </c>
      <c r="Q36" s="138">
        <f>'Big Bend #2'!$K$34</f>
        <v>13.66667277</v>
      </c>
      <c r="R36" s="138">
        <f t="shared" si="14"/>
        <v>13.7</v>
      </c>
      <c r="S36" s="130">
        <f>IF('Plant &amp; Reserve'!$D36=0,0,ROUND(('Plant &amp; Reserve'!$E36/'Plant &amp; Reserve'!$D36)*100,2))</f>
        <v>37.07</v>
      </c>
      <c r="T36" s="160">
        <f>ROUND(100*'Big Bend #2'!$O$34,0)</f>
        <v>-5</v>
      </c>
      <c r="U36" s="836">
        <f t="shared" si="17"/>
        <v>4.97</v>
      </c>
      <c r="V36" s="138">
        <f t="shared" si="15"/>
        <v>5</v>
      </c>
      <c r="W36" s="842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Y36" s="127"/>
    </row>
    <row r="37" spans="1:51" s="53" customFormat="1" x14ac:dyDescent="0.2">
      <c r="A37" s="140">
        <f>'Plant &amp; Reserve'!$A37</f>
        <v>31642</v>
      </c>
      <c r="B37" s="168" t="str">
        <f>'Plant &amp; Reserve'!$B37</f>
        <v>BB Unit  No. 2</v>
      </c>
      <c r="C37" s="130"/>
      <c r="D37" s="170">
        <v>21.411689264775664</v>
      </c>
      <c r="E37" s="170">
        <v>36</v>
      </c>
      <c r="F37" s="170">
        <v>19.2</v>
      </c>
      <c r="G37" s="168">
        <v>50.1</v>
      </c>
      <c r="H37" s="837">
        <v>-8</v>
      </c>
      <c r="I37" s="170">
        <v>3</v>
      </c>
      <c r="J37" s="170">
        <f t="shared" si="12"/>
        <v>0</v>
      </c>
      <c r="K37" s="137"/>
      <c r="L37" s="130"/>
      <c r="M37" s="170">
        <f>'Big Bend #2'!$G$40</f>
        <v>34.256971870000001</v>
      </c>
      <c r="N37" s="779">
        <f t="shared" si="16"/>
        <v>34.299999999999997</v>
      </c>
      <c r="O37" s="170">
        <f>'Big Bend #2'!$I$40</f>
        <v>43.425666319999998</v>
      </c>
      <c r="P37" s="170">
        <f t="shared" si="13"/>
        <v>43</v>
      </c>
      <c r="Q37" s="170">
        <f>'Big Bend #2'!$K$40</f>
        <v>11.602117850000001</v>
      </c>
      <c r="R37" s="170">
        <f t="shared" si="14"/>
        <v>11.6</v>
      </c>
      <c r="S37" s="168">
        <f>IF('Plant &amp; Reserve'!$D37=0,0,ROUND(('Plant &amp; Reserve'!$E37/'Plant &amp; Reserve'!$D37)*100,2))</f>
        <v>85.75</v>
      </c>
      <c r="T37" s="169">
        <f>ROUND(100*'Big Bend #2'!$O$40,0)</f>
        <v>-2</v>
      </c>
      <c r="U37" s="838">
        <f t="shared" si="17"/>
        <v>1.401</v>
      </c>
      <c r="V37" s="170">
        <f t="shared" si="15"/>
        <v>1.4</v>
      </c>
      <c r="W37" s="842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Y37" s="127"/>
    </row>
    <row r="38" spans="1:51" s="53" customFormat="1" x14ac:dyDescent="0.2">
      <c r="A38" s="134"/>
      <c r="B38" s="125" t="s">
        <v>75</v>
      </c>
      <c r="C38" s="128"/>
      <c r="D38" s="177">
        <v>13.481966222946816</v>
      </c>
      <c r="E38" s="177">
        <v>31</v>
      </c>
      <c r="F38" s="177">
        <v>22</v>
      </c>
      <c r="G38" s="128">
        <v>25.93</v>
      </c>
      <c r="H38" s="820">
        <v>-4</v>
      </c>
      <c r="I38" s="177">
        <v>3.5</v>
      </c>
      <c r="J38" s="138">
        <f t="shared" si="12"/>
        <v>0</v>
      </c>
      <c r="K38" s="137"/>
      <c r="L38" s="130"/>
      <c r="M38" s="177">
        <f>'Big Bend #2'!$G$47</f>
        <v>18.551092993460063</v>
      </c>
      <c r="N38" s="845">
        <f t="shared" si="16"/>
        <v>18.600000000000001</v>
      </c>
      <c r="O38" s="177">
        <f>'Big Bend #2'!$I$47</f>
        <v>31.148943386353086</v>
      </c>
      <c r="P38" s="177">
        <f t="shared" si="13"/>
        <v>31</v>
      </c>
      <c r="Q38" s="177">
        <f>'Big Bend #2'!$K$47</f>
        <v>15.718388861094168</v>
      </c>
      <c r="R38" s="177">
        <f t="shared" si="14"/>
        <v>15.7</v>
      </c>
      <c r="S38" s="128">
        <f>IF('Plant &amp; Reserve'!$D38=0,0,ROUND(('Plant &amp; Reserve'!$E38/'Plant &amp; Reserve'!$D38)*100,2))</f>
        <v>38.6</v>
      </c>
      <c r="T38" s="175">
        <f>ROUND(100*'Big Bend #2'!$O$47,0)</f>
        <v>-5</v>
      </c>
      <c r="U38" s="836">
        <f t="shared" si="17"/>
        <v>4.2240000000000002</v>
      </c>
      <c r="V38" s="177">
        <f t="shared" si="15"/>
        <v>4.2</v>
      </c>
      <c r="W38" s="842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Y38" s="127"/>
    </row>
    <row r="39" spans="1:51" s="53" customFormat="1" x14ac:dyDescent="0.2">
      <c r="A39" s="140"/>
      <c r="B39" s="129"/>
      <c r="C39" s="130"/>
      <c r="D39" s="138"/>
      <c r="E39" s="138"/>
      <c r="F39" s="138"/>
      <c r="G39" s="130"/>
      <c r="H39" s="139"/>
      <c r="I39" s="138"/>
      <c r="J39" s="138"/>
      <c r="K39" s="137"/>
      <c r="L39" s="130"/>
      <c r="M39" s="138"/>
      <c r="N39" s="138"/>
      <c r="O39" s="138"/>
      <c r="P39" s="138"/>
      <c r="Q39" s="138"/>
      <c r="R39" s="138"/>
      <c r="S39" s="138"/>
      <c r="T39" s="139"/>
      <c r="U39" s="138"/>
      <c r="V39" s="138"/>
      <c r="W39" s="842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Y39" s="127"/>
    </row>
    <row r="40" spans="1:51" s="53" customFormat="1" x14ac:dyDescent="0.2">
      <c r="A40" s="140">
        <f>'Plant &amp; Reserve'!$A40</f>
        <v>31143</v>
      </c>
      <c r="B40" s="130" t="str">
        <f>'Plant &amp; Reserve'!$B40</f>
        <v>BB Unit  No. 3</v>
      </c>
      <c r="C40" s="130"/>
      <c r="D40" s="138">
        <v>33.964391610401968</v>
      </c>
      <c r="E40" s="138">
        <v>57</v>
      </c>
      <c r="F40" s="138">
        <v>25</v>
      </c>
      <c r="G40" s="130">
        <v>55.87</v>
      </c>
      <c r="H40" s="139">
        <v>-1</v>
      </c>
      <c r="I40" s="138">
        <v>1.8</v>
      </c>
      <c r="J40" s="138">
        <f t="shared" ref="J40:J45" si="18">IF(F40=0,0,ROUND(((100-H40-G40)/F40),1))-I40</f>
        <v>0</v>
      </c>
      <c r="K40" s="137"/>
      <c r="L40" s="130"/>
      <c r="M40" s="138">
        <f>'Big Bend #3'!$G$16</f>
        <v>40.77568102</v>
      </c>
      <c r="N40" s="830">
        <f>ROUND(M40,1)</f>
        <v>40.799999999999997</v>
      </c>
      <c r="O40" s="138">
        <f>'Big Bend #3'!$I$16</f>
        <v>60.436321110000002</v>
      </c>
      <c r="P40" s="138">
        <f t="shared" ref="P40:P45" si="19">IF(O40&gt;20,ROUND(O40,0),ROUND(O40,1))</f>
        <v>60</v>
      </c>
      <c r="Q40" s="138">
        <f>'Big Bend #3'!$K$16</f>
        <v>20.71211353</v>
      </c>
      <c r="R40" s="138">
        <f t="shared" ref="R40:R45" si="20">IF(Q40&gt;20,ROUND(Q40,0),ROUND(Q40,1))</f>
        <v>21</v>
      </c>
      <c r="S40" s="130">
        <f>IF('Plant &amp; Reserve'!$D40=0,0,ROUND(('Plant &amp; Reserve'!$E40/'Plant &amp; Reserve'!$D40)*100,2))</f>
        <v>65.55</v>
      </c>
      <c r="T40" s="160">
        <f>ROUND(100*'Big Bend #3'!$O$16,0)</f>
        <v>-2</v>
      </c>
      <c r="U40" s="836">
        <f>IF(Q40=0,0,ROUND(((100-T40-S40)/Q40),3))</f>
        <v>1.76</v>
      </c>
      <c r="V40" s="138">
        <f t="shared" ref="V40:V45" si="21">IF(R40=0,0,ROUND(((100-T40-S40)/R40),1))</f>
        <v>1.7</v>
      </c>
      <c r="W40" s="842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Y40" s="127"/>
    </row>
    <row r="41" spans="1:51" s="53" customFormat="1" x14ac:dyDescent="0.2">
      <c r="A41" s="140">
        <f>'Plant &amp; Reserve'!$A41</f>
        <v>31243</v>
      </c>
      <c r="B41" s="130" t="str">
        <f>'Plant &amp; Reserve'!$B41</f>
        <v>BB Unit  No. 3</v>
      </c>
      <c r="C41" s="130"/>
      <c r="D41" s="138">
        <v>18.211360244776575</v>
      </c>
      <c r="E41" s="138">
        <v>34</v>
      </c>
      <c r="F41" s="138">
        <v>20</v>
      </c>
      <c r="G41" s="130">
        <v>35.33</v>
      </c>
      <c r="H41" s="139">
        <v>-6</v>
      </c>
      <c r="I41" s="138">
        <v>3.5</v>
      </c>
      <c r="J41" s="138">
        <f t="shared" si="18"/>
        <v>0</v>
      </c>
      <c r="K41" s="137"/>
      <c r="L41" s="130"/>
      <c r="M41" s="138">
        <f>'Big Bend #3'!$G$22</f>
        <v>19.00728058</v>
      </c>
      <c r="N41" s="830">
        <f t="shared" ref="N41:N45" si="22">ROUND(M41,1)</f>
        <v>19</v>
      </c>
      <c r="O41" s="138">
        <f>'Big Bend #3'!$I$22</f>
        <v>35.028342100000003</v>
      </c>
      <c r="P41" s="138">
        <f t="shared" si="19"/>
        <v>35</v>
      </c>
      <c r="Q41" s="138">
        <f>'Big Bend #3'!$K$22</f>
        <v>19.323151419999999</v>
      </c>
      <c r="R41" s="138">
        <f t="shared" si="20"/>
        <v>19.3</v>
      </c>
      <c r="S41" s="130">
        <f>IF('Plant &amp; Reserve'!$D41=0,0,ROUND(('Plant &amp; Reserve'!$E41/'Plant &amp; Reserve'!$D41)*100,2))</f>
        <v>35.42</v>
      </c>
      <c r="T41" s="160">
        <f>ROUND(100*'Big Bend #3'!$O$22,0)</f>
        <v>-5</v>
      </c>
      <c r="U41" s="836">
        <f t="shared" ref="U41:U45" si="23">IF(Q41=0,0,ROUND(((100-T41-S41)/Q41),3))</f>
        <v>3.601</v>
      </c>
      <c r="V41" s="138">
        <f t="shared" si="21"/>
        <v>3.6</v>
      </c>
      <c r="W41" s="842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Y41" s="127"/>
    </row>
    <row r="42" spans="1:51" s="53" customFormat="1" x14ac:dyDescent="0.2">
      <c r="A42" s="140">
        <f>'Plant &amp; Reserve'!$A42</f>
        <v>31443</v>
      </c>
      <c r="B42" s="130" t="str">
        <f>'Plant &amp; Reserve'!$B42</f>
        <v>BB Unit  No. 3</v>
      </c>
      <c r="C42" s="130"/>
      <c r="D42" s="138">
        <v>22.876844197023981</v>
      </c>
      <c r="E42" s="138">
        <v>36</v>
      </c>
      <c r="F42" s="138">
        <v>19.7</v>
      </c>
      <c r="G42" s="130">
        <v>41.07</v>
      </c>
      <c r="H42" s="139">
        <v>-5</v>
      </c>
      <c r="I42" s="138">
        <v>3.2</v>
      </c>
      <c r="J42" s="138">
        <f t="shared" si="18"/>
        <v>0</v>
      </c>
      <c r="K42" s="137"/>
      <c r="L42" s="130"/>
      <c r="M42" s="138">
        <f>'Big Bend #3'!$G$28</f>
        <v>23.71880677</v>
      </c>
      <c r="N42" s="830">
        <f t="shared" si="22"/>
        <v>23.7</v>
      </c>
      <c r="O42" s="138">
        <f>'Big Bend #3'!$I$28</f>
        <v>36.281557970000001</v>
      </c>
      <c r="P42" s="138">
        <f t="shared" si="19"/>
        <v>36</v>
      </c>
      <c r="Q42" s="138">
        <f>'Big Bend #3'!$K$28</f>
        <v>16.45136832</v>
      </c>
      <c r="R42" s="138">
        <f t="shared" si="20"/>
        <v>16.5</v>
      </c>
      <c r="S42" s="130">
        <f>IF('Plant &amp; Reserve'!$D42=0,0,ROUND(('Plant &amp; Reserve'!$E42/'Plant &amp; Reserve'!$D42)*100,2))</f>
        <v>43.57</v>
      </c>
      <c r="T42" s="160">
        <f>ROUND(100*'Big Bend #3'!$O$28,0)</f>
        <v>-6</v>
      </c>
      <c r="U42" s="836">
        <f t="shared" si="23"/>
        <v>3.7949999999999999</v>
      </c>
      <c r="V42" s="138">
        <f t="shared" si="21"/>
        <v>3.8</v>
      </c>
      <c r="W42" s="8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Y42" s="127"/>
    </row>
    <row r="43" spans="1:51" s="53" customFormat="1" x14ac:dyDescent="0.2">
      <c r="A43" s="140">
        <f>'Plant &amp; Reserve'!$A43</f>
        <v>31543</v>
      </c>
      <c r="B43" s="130" t="str">
        <f>'Plant &amp; Reserve'!$B43</f>
        <v>BB Unit  No. 3</v>
      </c>
      <c r="C43" s="130"/>
      <c r="D43" s="138">
        <v>22.148718467348225</v>
      </c>
      <c r="E43" s="138">
        <v>29</v>
      </c>
      <c r="F43" s="138">
        <v>14.5</v>
      </c>
      <c r="G43" s="130">
        <v>53.64</v>
      </c>
      <c r="H43" s="139">
        <v>-6</v>
      </c>
      <c r="I43" s="138">
        <v>3.6</v>
      </c>
      <c r="J43" s="138">
        <f t="shared" si="18"/>
        <v>0</v>
      </c>
      <c r="K43" s="137"/>
      <c r="L43" s="130"/>
      <c r="M43" s="138">
        <f>'Big Bend #3'!$G$34</f>
        <v>23.52085181</v>
      </c>
      <c r="N43" s="830">
        <f t="shared" si="22"/>
        <v>23.5</v>
      </c>
      <c r="O43" s="138">
        <f>'Big Bend #3'!$I$34</f>
        <v>33.90412096</v>
      </c>
      <c r="P43" s="138">
        <f t="shared" si="19"/>
        <v>34</v>
      </c>
      <c r="Q43" s="138">
        <f>'Big Bend #3'!$K$34</f>
        <v>13.980553840000001</v>
      </c>
      <c r="R43" s="138">
        <f t="shared" si="20"/>
        <v>14</v>
      </c>
      <c r="S43" s="130">
        <f>IF('Plant &amp; Reserve'!$D43=0,0,ROUND(('Plant &amp; Reserve'!$E43/'Plant &amp; Reserve'!$D43)*100,2))</f>
        <v>58.98</v>
      </c>
      <c r="T43" s="160">
        <f>ROUND(100*'Big Bend #3'!$O$34,0)</f>
        <v>-5</v>
      </c>
      <c r="U43" s="836">
        <f t="shared" si="23"/>
        <v>3.2919999999999998</v>
      </c>
      <c r="V43" s="138">
        <f t="shared" si="21"/>
        <v>3.3</v>
      </c>
      <c r="W43" s="842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Y43" s="127"/>
    </row>
    <row r="44" spans="1:51" s="53" customFormat="1" x14ac:dyDescent="0.2">
      <c r="A44" s="140">
        <f>'Plant &amp; Reserve'!$A44</f>
        <v>31643</v>
      </c>
      <c r="B44" s="168" t="str">
        <f>'Plant &amp; Reserve'!$B44</f>
        <v>BB Unit  No. 3</v>
      </c>
      <c r="C44" s="130"/>
      <c r="D44" s="170">
        <v>20.736551702268521</v>
      </c>
      <c r="E44" s="170">
        <v>35</v>
      </c>
      <c r="F44" s="170">
        <v>21</v>
      </c>
      <c r="G44" s="168">
        <v>41.91</v>
      </c>
      <c r="H44" s="837">
        <v>-4</v>
      </c>
      <c r="I44" s="170">
        <v>3</v>
      </c>
      <c r="J44" s="170">
        <f t="shared" si="18"/>
        <v>0</v>
      </c>
      <c r="K44" s="137"/>
      <c r="L44" s="130"/>
      <c r="M44" s="170">
        <f>'Big Bend #3'!$G$40</f>
        <v>21.187847250000001</v>
      </c>
      <c r="N44" s="779">
        <f t="shared" si="22"/>
        <v>21.2</v>
      </c>
      <c r="O44" s="170">
        <f>'Big Bend #3'!$I$40</f>
        <v>36.762541839999997</v>
      </c>
      <c r="P44" s="170">
        <f t="shared" si="19"/>
        <v>37</v>
      </c>
      <c r="Q44" s="170">
        <f>'Big Bend #3'!$K$40</f>
        <v>16.675492989999999</v>
      </c>
      <c r="R44" s="170">
        <f t="shared" si="20"/>
        <v>16.7</v>
      </c>
      <c r="S44" s="168">
        <f>IF('Plant &amp; Reserve'!$D44=0,0,ROUND(('Plant &amp; Reserve'!$E44/'Plant &amp; Reserve'!$D44)*100,2))</f>
        <v>42.31</v>
      </c>
      <c r="T44" s="169">
        <f>ROUND(100*'Big Bend #3'!$O$40,0)</f>
        <v>-2</v>
      </c>
      <c r="U44" s="838">
        <f t="shared" si="23"/>
        <v>3.58</v>
      </c>
      <c r="V44" s="170">
        <f t="shared" si="21"/>
        <v>3.6</v>
      </c>
      <c r="W44" s="842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Y44" s="127"/>
    </row>
    <row r="45" spans="1:51" s="53" customFormat="1" x14ac:dyDescent="0.2">
      <c r="A45" s="134"/>
      <c r="B45" s="125" t="s">
        <v>75</v>
      </c>
      <c r="C45" s="128"/>
      <c r="D45" s="177">
        <v>20.645057167856404</v>
      </c>
      <c r="E45" s="177">
        <v>34</v>
      </c>
      <c r="F45" s="177">
        <v>19.7</v>
      </c>
      <c r="G45" s="128">
        <v>39.880000000000003</v>
      </c>
      <c r="H45" s="820">
        <v>-6</v>
      </c>
      <c r="I45" s="177">
        <v>3.4</v>
      </c>
      <c r="J45" s="138">
        <f t="shared" si="18"/>
        <v>0</v>
      </c>
      <c r="K45" s="137"/>
      <c r="L45" s="130"/>
      <c r="M45" s="177">
        <f>'Big Bend #3'!$G$47</f>
        <v>21.720771933197963</v>
      </c>
      <c r="N45" s="845">
        <f t="shared" si="22"/>
        <v>21.7</v>
      </c>
      <c r="O45" s="177">
        <f>'Big Bend #3'!$I$47</f>
        <v>36.707249496393118</v>
      </c>
      <c r="P45" s="177">
        <f t="shared" si="19"/>
        <v>37</v>
      </c>
      <c r="Q45" s="177">
        <f>'Big Bend #3'!$K$47</f>
        <v>18.28441233984195</v>
      </c>
      <c r="R45" s="177">
        <f t="shared" si="20"/>
        <v>18.3</v>
      </c>
      <c r="S45" s="128">
        <f>IF('Plant &amp; Reserve'!$D45=0,0,ROUND(('Plant &amp; Reserve'!$E45/'Plant &amp; Reserve'!$D45)*100,2))</f>
        <v>41.22</v>
      </c>
      <c r="T45" s="175">
        <f>ROUND(100*'Big Bend #3'!$O$47,0)</f>
        <v>-5</v>
      </c>
      <c r="U45" s="836">
        <f t="shared" si="23"/>
        <v>3.488</v>
      </c>
      <c r="V45" s="177">
        <f t="shared" si="21"/>
        <v>3.5</v>
      </c>
      <c r="W45" s="842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Y45" s="127"/>
    </row>
    <row r="46" spans="1:51" s="53" customFormat="1" x14ac:dyDescent="0.2">
      <c r="A46" s="140"/>
      <c r="B46" s="129"/>
      <c r="C46" s="130"/>
      <c r="D46" s="138"/>
      <c r="E46" s="138"/>
      <c r="F46" s="138"/>
      <c r="G46" s="130"/>
      <c r="H46" s="139"/>
      <c r="I46" s="138"/>
      <c r="J46" s="138"/>
      <c r="K46" s="137"/>
      <c r="L46" s="130"/>
      <c r="M46" s="138"/>
      <c r="N46" s="138"/>
      <c r="O46" s="138"/>
      <c r="P46" s="138"/>
      <c r="Q46" s="138"/>
      <c r="R46" s="138"/>
      <c r="S46" s="138"/>
      <c r="T46" s="139"/>
      <c r="U46" s="138"/>
      <c r="V46" s="138"/>
      <c r="W46" s="842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Y46" s="127"/>
    </row>
    <row r="47" spans="1:51" s="53" customFormat="1" x14ac:dyDescent="0.2">
      <c r="A47" s="140">
        <f>'Plant &amp; Reserve'!$A47</f>
        <v>31144</v>
      </c>
      <c r="B47" s="130" t="str">
        <f>'Plant &amp; Reserve'!$B47</f>
        <v>BB Unit  No. 4</v>
      </c>
      <c r="C47" s="130"/>
      <c r="D47" s="138">
        <v>25.837656398430347</v>
      </c>
      <c r="E47" s="138">
        <v>57</v>
      </c>
      <c r="F47" s="138">
        <v>33</v>
      </c>
      <c r="G47" s="130">
        <v>43.52</v>
      </c>
      <c r="H47" s="139">
        <v>-2</v>
      </c>
      <c r="I47" s="138">
        <v>1.8</v>
      </c>
      <c r="J47" s="138">
        <f t="shared" ref="J47:J52" si="24">IF(F47=0,0,ROUND(((100-H47-G47)/F47),1))-I47</f>
        <v>0</v>
      </c>
      <c r="K47" s="137"/>
      <c r="L47" s="130"/>
      <c r="M47" s="138">
        <f>'Big Bend #4'!$G$16</f>
        <v>33.068777050000001</v>
      </c>
      <c r="N47" s="830">
        <f>ROUND(M47,1)</f>
        <v>33.1</v>
      </c>
      <c r="O47" s="138">
        <f>'Big Bend #4'!$I$16</f>
        <v>57.02065451</v>
      </c>
      <c r="P47" s="138">
        <f t="shared" ref="P47:P52" si="25">IF(O47&gt;20,ROUND(O47,0),ROUND(O47,1))</f>
        <v>57</v>
      </c>
      <c r="Q47" s="138">
        <f>'Big Bend #4'!$K$16</f>
        <v>24.860592019999999</v>
      </c>
      <c r="R47" s="138">
        <f t="shared" ref="R47:R52" si="26">IF(Q47&gt;20,ROUND(Q47,0),ROUND(Q47,1))</f>
        <v>25</v>
      </c>
      <c r="S47" s="130">
        <f>IF('Plant &amp; Reserve'!$D47=0,0,ROUND(('Plant &amp; Reserve'!$E47/'Plant &amp; Reserve'!$D47)*100,2))</f>
        <v>55.37</v>
      </c>
      <c r="T47" s="160">
        <f>ROUND(100*'Big Bend #4'!$O$16,0)</f>
        <v>-2</v>
      </c>
      <c r="U47" s="836">
        <f>IF(Q47=0,0,ROUND(((100-T47-S47)/Q47),3))</f>
        <v>1.8759999999999999</v>
      </c>
      <c r="V47" s="138">
        <f t="shared" ref="V47:V52" si="27">IF(R47=0,0,ROUND(((100-T47-S47)/R47),1))</f>
        <v>1.9</v>
      </c>
      <c r="W47" s="842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Y47" s="127"/>
    </row>
    <row r="48" spans="1:51" s="53" customFormat="1" x14ac:dyDescent="0.2">
      <c r="A48" s="140">
        <f>'Plant &amp; Reserve'!$A48</f>
        <v>31244</v>
      </c>
      <c r="B48" s="130" t="str">
        <f>'Plant &amp; Reserve'!$B48</f>
        <v>BB Unit  No. 4</v>
      </c>
      <c r="C48" s="130"/>
      <c r="D48" s="138">
        <v>20.822755065403054</v>
      </c>
      <c r="E48" s="138">
        <v>40</v>
      </c>
      <c r="F48" s="138">
        <v>22</v>
      </c>
      <c r="G48" s="130">
        <v>42.2</v>
      </c>
      <c r="H48" s="139">
        <v>-8</v>
      </c>
      <c r="I48" s="138">
        <v>3</v>
      </c>
      <c r="J48" s="138">
        <f t="shared" si="24"/>
        <v>0</v>
      </c>
      <c r="K48" s="137"/>
      <c r="L48" s="130"/>
      <c r="M48" s="138">
        <f>'Big Bend #4'!$G$22</f>
        <v>24.127674200000001</v>
      </c>
      <c r="N48" s="830">
        <f t="shared" ref="N48:N88" si="28">ROUND(M48,1)</f>
        <v>24.1</v>
      </c>
      <c r="O48" s="138">
        <f>'Big Bend #4'!$I$22</f>
        <v>40.588450430000002</v>
      </c>
      <c r="P48" s="138">
        <f t="shared" si="25"/>
        <v>41</v>
      </c>
      <c r="Q48" s="138">
        <f>'Big Bend #4'!$K$22</f>
        <v>19.294360050000002</v>
      </c>
      <c r="R48" s="138">
        <f t="shared" si="26"/>
        <v>19.3</v>
      </c>
      <c r="S48" s="130">
        <f>IF('Plant &amp; Reserve'!$D48=0,0,ROUND(('Plant &amp; Reserve'!$E48/'Plant &amp; Reserve'!$D48)*100,2))</f>
        <v>42.08</v>
      </c>
      <c r="T48" s="160">
        <f>ROUND(100*'Big Bend #4'!$O$22,0)</f>
        <v>-5</v>
      </c>
      <c r="U48" s="836">
        <f t="shared" ref="U48:U88" si="29">IF(Q48=0,0,ROUND(((100-T48-S48)/Q48),3))</f>
        <v>3.2610000000000001</v>
      </c>
      <c r="V48" s="138">
        <f t="shared" si="27"/>
        <v>3.3</v>
      </c>
      <c r="W48" s="842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Y48" s="127"/>
    </row>
    <row r="49" spans="1:51" s="53" customFormat="1" x14ac:dyDescent="0.2">
      <c r="A49" s="140">
        <f>'Plant &amp; Reserve'!$A49</f>
        <v>31444</v>
      </c>
      <c r="B49" s="130" t="str">
        <f>'Plant &amp; Reserve'!$B49</f>
        <v>BB Unit  No. 4</v>
      </c>
      <c r="C49" s="130"/>
      <c r="D49" s="138">
        <v>21.566803990518647</v>
      </c>
      <c r="E49" s="138">
        <v>43</v>
      </c>
      <c r="F49" s="138">
        <v>25</v>
      </c>
      <c r="G49" s="130">
        <v>37.32</v>
      </c>
      <c r="H49" s="139">
        <v>-7</v>
      </c>
      <c r="I49" s="138">
        <v>2.8</v>
      </c>
      <c r="J49" s="138">
        <f t="shared" si="24"/>
        <v>0</v>
      </c>
      <c r="K49" s="137"/>
      <c r="L49" s="130"/>
      <c r="M49" s="138">
        <f>'Big Bend #4'!$G$28</f>
        <v>26.953061160000001</v>
      </c>
      <c r="N49" s="830">
        <f t="shared" si="28"/>
        <v>27</v>
      </c>
      <c r="O49" s="138">
        <f>'Big Bend #4'!$I$28</f>
        <v>43.096929070000002</v>
      </c>
      <c r="P49" s="138">
        <f t="shared" si="25"/>
        <v>43</v>
      </c>
      <c r="Q49" s="138">
        <f>'Big Bend #4'!$K$28</f>
        <v>18.445684109999998</v>
      </c>
      <c r="R49" s="138">
        <f t="shared" si="26"/>
        <v>18.399999999999999</v>
      </c>
      <c r="S49" s="130">
        <f>IF('Plant &amp; Reserve'!$D49=0,0,ROUND(('Plant &amp; Reserve'!$E49/'Plant &amp; Reserve'!$D49)*100,2))</f>
        <v>47.88</v>
      </c>
      <c r="T49" s="160">
        <f>ROUND(100*'Big Bend #4'!$O$28,0)</f>
        <v>-6</v>
      </c>
      <c r="U49" s="836">
        <f t="shared" si="29"/>
        <v>3.1509999999999998</v>
      </c>
      <c r="V49" s="138">
        <f t="shared" si="27"/>
        <v>3.2</v>
      </c>
      <c r="W49" s="842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Y49" s="127"/>
    </row>
    <row r="50" spans="1:51" s="53" customFormat="1" x14ac:dyDescent="0.2">
      <c r="A50" s="140">
        <f>'Plant &amp; Reserve'!$A50</f>
        <v>31544</v>
      </c>
      <c r="B50" s="130" t="str">
        <f>'Plant &amp; Reserve'!$B50</f>
        <v>BB Unit  No. 4</v>
      </c>
      <c r="C50" s="130"/>
      <c r="D50" s="138">
        <v>19.855203079046394</v>
      </c>
      <c r="E50" s="138">
        <v>33</v>
      </c>
      <c r="F50" s="138">
        <v>18.2</v>
      </c>
      <c r="G50" s="130">
        <v>48.57</v>
      </c>
      <c r="H50" s="139">
        <v>-7</v>
      </c>
      <c r="I50" s="138">
        <v>3.2</v>
      </c>
      <c r="J50" s="138">
        <f t="shared" si="24"/>
        <v>0</v>
      </c>
      <c r="K50" s="137"/>
      <c r="L50" s="130"/>
      <c r="M50" s="138">
        <f>'Big Bend #4'!$G$34</f>
        <v>25.302165670000001</v>
      </c>
      <c r="N50" s="830">
        <f t="shared" si="28"/>
        <v>25.3</v>
      </c>
      <c r="O50" s="138">
        <f>'Big Bend #4'!$I$34</f>
        <v>37.747038240000002</v>
      </c>
      <c r="P50" s="138">
        <f t="shared" si="25"/>
        <v>38</v>
      </c>
      <c r="Q50" s="138">
        <f>'Big Bend #4'!$K$34</f>
        <v>14.517638829999999</v>
      </c>
      <c r="R50" s="138">
        <f t="shared" si="26"/>
        <v>14.5</v>
      </c>
      <c r="S50" s="130">
        <f>IF('Plant &amp; Reserve'!$D50=0,0,ROUND(('Plant &amp; Reserve'!$E50/'Plant &amp; Reserve'!$D50)*100,2))</f>
        <v>62.54</v>
      </c>
      <c r="T50" s="160">
        <f>ROUND(100*'Big Bend #4'!$O$34,0)</f>
        <v>-5</v>
      </c>
      <c r="U50" s="836">
        <f t="shared" si="29"/>
        <v>2.9249999999999998</v>
      </c>
      <c r="V50" s="138">
        <f t="shared" si="27"/>
        <v>2.9</v>
      </c>
      <c r="W50" s="842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Y50" s="127"/>
    </row>
    <row r="51" spans="1:51" s="53" customFormat="1" x14ac:dyDescent="0.2">
      <c r="A51" s="140">
        <f>'Plant &amp; Reserve'!$A51</f>
        <v>31644</v>
      </c>
      <c r="B51" s="168" t="str">
        <f>'Plant &amp; Reserve'!$B51</f>
        <v>BB Unit  No. 4</v>
      </c>
      <c r="C51" s="130"/>
      <c r="D51" s="170">
        <v>24.18977256826404</v>
      </c>
      <c r="E51" s="170">
        <v>41</v>
      </c>
      <c r="F51" s="170">
        <v>22</v>
      </c>
      <c r="G51" s="168">
        <v>48.97</v>
      </c>
      <c r="H51" s="837">
        <v>-5</v>
      </c>
      <c r="I51" s="170">
        <v>2.5</v>
      </c>
      <c r="J51" s="170">
        <f t="shared" si="24"/>
        <v>0</v>
      </c>
      <c r="K51" s="137"/>
      <c r="L51" s="130"/>
      <c r="M51" s="170">
        <f>'Big Bend #4'!$G$40</f>
        <v>31.057376999999999</v>
      </c>
      <c r="N51" s="779">
        <f t="shared" si="28"/>
        <v>31.1</v>
      </c>
      <c r="O51" s="170">
        <f>'Big Bend #4'!$I$40</f>
        <v>49.207464469999998</v>
      </c>
      <c r="P51" s="170">
        <f t="shared" si="25"/>
        <v>49</v>
      </c>
      <c r="Q51" s="170">
        <f>'Big Bend #4'!$K$40</f>
        <v>20.969716550000001</v>
      </c>
      <c r="R51" s="170">
        <f t="shared" si="26"/>
        <v>21</v>
      </c>
      <c r="S51" s="168">
        <f>IF('Plant &amp; Reserve'!$D51=0,0,ROUND(('Plant &amp; Reserve'!$E51/'Plant &amp; Reserve'!$D51)*100,2))</f>
        <v>64.61</v>
      </c>
      <c r="T51" s="169">
        <f>ROUND(100*'Big Bend #4'!$O$40,0)</f>
        <v>-2</v>
      </c>
      <c r="U51" s="838">
        <f t="shared" si="29"/>
        <v>1.7829999999999999</v>
      </c>
      <c r="V51" s="170">
        <f t="shared" si="27"/>
        <v>1.8</v>
      </c>
      <c r="W51" s="842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Y51" s="127"/>
    </row>
    <row r="52" spans="1:51" s="53" customFormat="1" x14ac:dyDescent="0.2">
      <c r="A52" s="134"/>
      <c r="B52" s="125" t="s">
        <v>75</v>
      </c>
      <c r="C52" s="128"/>
      <c r="D52" s="177">
        <v>21.622870638610475</v>
      </c>
      <c r="E52" s="177">
        <v>41</v>
      </c>
      <c r="F52" s="177">
        <v>23</v>
      </c>
      <c r="G52" s="128">
        <v>42.07</v>
      </c>
      <c r="H52" s="820">
        <v>-7</v>
      </c>
      <c r="I52" s="177">
        <v>2.8</v>
      </c>
      <c r="J52" s="138">
        <f t="shared" si="24"/>
        <v>0</v>
      </c>
      <c r="K52" s="137"/>
      <c r="L52" s="130"/>
      <c r="M52" s="177">
        <f>'Big Bend #4'!$G$47</f>
        <v>26.127274076456818</v>
      </c>
      <c r="N52" s="845">
        <f t="shared" si="28"/>
        <v>26.1</v>
      </c>
      <c r="O52" s="177">
        <f>'Big Bend #4'!$I$47</f>
        <v>43.173313878979883</v>
      </c>
      <c r="P52" s="177">
        <f t="shared" si="25"/>
        <v>43</v>
      </c>
      <c r="Q52" s="177">
        <f>'Big Bend #4'!$K$47</f>
        <v>19.435102012632981</v>
      </c>
      <c r="R52" s="177">
        <f t="shared" si="26"/>
        <v>19.399999999999999</v>
      </c>
      <c r="S52" s="128">
        <f>IF('Plant &amp; Reserve'!$D52=0,0,ROUND(('Plant &amp; Reserve'!$E52/'Plant &amp; Reserve'!$D52)*100,2))</f>
        <v>47.33</v>
      </c>
      <c r="T52" s="175">
        <f>ROUND(100*'Big Bend #4'!$O$47,0)</f>
        <v>-5</v>
      </c>
      <c r="U52" s="836">
        <f t="shared" si="29"/>
        <v>2.9670000000000001</v>
      </c>
      <c r="V52" s="177">
        <f t="shared" si="27"/>
        <v>3</v>
      </c>
      <c r="W52" s="84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Y52" s="127"/>
    </row>
    <row r="53" spans="1:51" s="53" customFormat="1" x14ac:dyDescent="0.2">
      <c r="A53" s="140"/>
      <c r="B53" s="129"/>
      <c r="C53" s="130"/>
      <c r="D53" s="138"/>
      <c r="E53" s="138"/>
      <c r="F53" s="138"/>
      <c r="G53" s="130"/>
      <c r="H53" s="139"/>
      <c r="I53" s="138"/>
      <c r="J53" s="138"/>
      <c r="K53" s="137"/>
      <c r="L53" s="130"/>
      <c r="M53" s="138"/>
      <c r="N53" s="138"/>
      <c r="O53" s="138"/>
      <c r="P53" s="138"/>
      <c r="Q53" s="138"/>
      <c r="R53" s="138"/>
      <c r="S53" s="138"/>
      <c r="T53" s="160"/>
      <c r="U53" s="138"/>
      <c r="V53" s="138"/>
      <c r="W53" s="842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Y53" s="127"/>
    </row>
    <row r="54" spans="1:51" s="53" customFormat="1" x14ac:dyDescent="0.2">
      <c r="A54" s="140">
        <f>'Plant &amp; Reserve'!$A54</f>
        <v>31146</v>
      </c>
      <c r="B54" s="130" t="str">
        <f>'Plant &amp; Reserve'!$B54</f>
        <v>No. 1 &amp; 2  FGD System</v>
      </c>
      <c r="C54" s="130"/>
      <c r="D54" s="138">
        <v>12.496078949162358</v>
      </c>
      <c r="E54" s="138">
        <v>35</v>
      </c>
      <c r="F54" s="138">
        <v>23</v>
      </c>
      <c r="G54" s="130">
        <v>36.369999999999997</v>
      </c>
      <c r="H54" s="139">
        <v>-4</v>
      </c>
      <c r="I54" s="138">
        <v>2.9</v>
      </c>
      <c r="J54" s="138">
        <f>IF(F54=0,0,ROUND(((100-H54-G54)/F54),1))-I54</f>
        <v>0</v>
      </c>
      <c r="K54" s="137"/>
      <c r="L54" s="130"/>
      <c r="M54" s="138">
        <f>'BB 1&amp;2 FGD'!$G$16</f>
        <v>19.925041100000001</v>
      </c>
      <c r="N54" s="830">
        <f t="shared" si="28"/>
        <v>19.899999999999999</v>
      </c>
      <c r="O54" s="138">
        <f>'BB 1&amp;2 FGD'!$I$16</f>
        <v>35.704365809999999</v>
      </c>
      <c r="P54" s="138">
        <f>IF(O54&gt;20,ROUND(O54,0),ROUND(O54,1))</f>
        <v>36</v>
      </c>
      <c r="Q54" s="138">
        <f>'BB 1&amp;2 FGD'!$K$16</f>
        <v>16.382237580000002</v>
      </c>
      <c r="R54" s="138">
        <f>IF(Q54&gt;20,ROUND(Q54,0),ROUND(Q54,1))</f>
        <v>16.399999999999999</v>
      </c>
      <c r="S54" s="130">
        <f>IF('Plant &amp; Reserve'!$D54=0,0,ROUND(('Plant &amp; Reserve'!$E54/'Plant &amp; Reserve'!$D54)*100,2))</f>
        <v>54.81</v>
      </c>
      <c r="T54" s="160">
        <f>ROUND(100*'BB 1&amp;2 FGD'!$O$16,0)</f>
        <v>-2</v>
      </c>
      <c r="U54" s="836">
        <f t="shared" si="29"/>
        <v>2.8809999999999998</v>
      </c>
      <c r="V54" s="138">
        <f>IF(R54=0,0,ROUND(((100-T54-S54)/R54),1))</f>
        <v>2.9</v>
      </c>
      <c r="W54" s="842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Y54" s="127"/>
    </row>
    <row r="55" spans="1:51" s="53" customFormat="1" x14ac:dyDescent="0.2">
      <c r="A55" s="140">
        <f>'Plant &amp; Reserve'!$A55</f>
        <v>31246</v>
      </c>
      <c r="B55" s="130" t="str">
        <f>'Plant &amp; Reserve'!$B55</f>
        <v>No. 1 &amp; 2  FGD System</v>
      </c>
      <c r="C55" s="130"/>
      <c r="D55" s="138">
        <v>12.00190318300881</v>
      </c>
      <c r="E55" s="138">
        <v>33</v>
      </c>
      <c r="F55" s="138">
        <v>21</v>
      </c>
      <c r="G55" s="130">
        <v>36.619999999999997</v>
      </c>
      <c r="H55" s="139">
        <v>-5</v>
      </c>
      <c r="I55" s="138">
        <v>3.3</v>
      </c>
      <c r="J55" s="138">
        <f>IF(F55=0,0,ROUND(((100-H55-G55)/F55),1))-I55</f>
        <v>0</v>
      </c>
      <c r="K55" s="137"/>
      <c r="L55" s="130"/>
      <c r="M55" s="138">
        <f>'BB 1&amp;2 FGD'!$G$22</f>
        <v>17.678151069999998</v>
      </c>
      <c r="N55" s="830">
        <f t="shared" si="28"/>
        <v>17.7</v>
      </c>
      <c r="O55" s="138">
        <f>'BB 1&amp;2 FGD'!$I$22</f>
        <v>33.714868959999997</v>
      </c>
      <c r="P55" s="138">
        <f>IF(O55&gt;20,ROUND(O55,0),ROUND(O55,1))</f>
        <v>34</v>
      </c>
      <c r="Q55" s="138">
        <f>'BB 1&amp;2 FGD'!$K$22</f>
        <v>16.87898388</v>
      </c>
      <c r="R55" s="138">
        <f>IF(Q55&gt;20,ROUND(Q55,0),ROUND(Q55,1))</f>
        <v>16.899999999999999</v>
      </c>
      <c r="S55" s="130">
        <f>IF('Plant &amp; Reserve'!$D55=0,0,ROUND(('Plant &amp; Reserve'!$E55/'Plant &amp; Reserve'!$D55)*100,2))</f>
        <v>32.020000000000003</v>
      </c>
      <c r="T55" s="160">
        <f>ROUND(100*'BB 1&amp;2 FGD'!$O$22,0)</f>
        <v>-5</v>
      </c>
      <c r="U55" s="836">
        <f t="shared" si="29"/>
        <v>4.3239999999999998</v>
      </c>
      <c r="V55" s="138">
        <f>IF(R55=0,0,ROUND(((100-T55-S55)/R55),1))</f>
        <v>4.3</v>
      </c>
      <c r="W55" s="842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Y55" s="127"/>
    </row>
    <row r="56" spans="1:51" s="53" customFormat="1" x14ac:dyDescent="0.2">
      <c r="A56" s="140">
        <f>'Plant &amp; Reserve'!$A56</f>
        <v>31546</v>
      </c>
      <c r="B56" s="130" t="str">
        <f>'Plant &amp; Reserve'!$B56</f>
        <v>No. 1 &amp; 2  FGD System</v>
      </c>
      <c r="C56" s="130"/>
      <c r="D56" s="138">
        <v>11.991481669518407</v>
      </c>
      <c r="E56" s="138">
        <v>30</v>
      </c>
      <c r="F56" s="138">
        <v>18.600000000000001</v>
      </c>
      <c r="G56" s="130">
        <v>40.17</v>
      </c>
      <c r="H56" s="139">
        <v>-5</v>
      </c>
      <c r="I56" s="138">
        <v>3.5</v>
      </c>
      <c r="J56" s="138">
        <f>IF(F56=0,0,ROUND(((100-H56-G56)/F56),1))-I56</f>
        <v>0</v>
      </c>
      <c r="K56" s="137"/>
      <c r="L56" s="130"/>
      <c r="M56" s="138">
        <f>'BB 1&amp;2 FGD'!$G$34</f>
        <v>16.104290639999999</v>
      </c>
      <c r="N56" s="830">
        <f t="shared" si="28"/>
        <v>16.100000000000001</v>
      </c>
      <c r="O56" s="138">
        <f>'BB 1&amp;2 FGD'!$I$34</f>
        <v>32.236165999999997</v>
      </c>
      <c r="P56" s="138">
        <f>IF(O56&gt;20,ROUND(O56,0),ROUND(O56,1))</f>
        <v>32</v>
      </c>
      <c r="Q56" s="138">
        <f>'BB 1&amp;2 FGD'!$K$34</f>
        <v>16.966206119999999</v>
      </c>
      <c r="R56" s="138">
        <f>IF(Q56&gt;20,ROUND(Q56,0),ROUND(Q56,1))</f>
        <v>17</v>
      </c>
      <c r="S56" s="130">
        <f>IF('Plant &amp; Reserve'!$D56=0,0,ROUND(('Plant &amp; Reserve'!$E56/'Plant &amp; Reserve'!$D56)*100,2))</f>
        <v>45.8</v>
      </c>
      <c r="T56" s="160">
        <f>ROUND(100*'BB 1&amp;2 FGD'!$O$34,0)</f>
        <v>-5</v>
      </c>
      <c r="U56" s="836">
        <f t="shared" si="29"/>
        <v>3.4889999999999999</v>
      </c>
      <c r="V56" s="138">
        <f>IF(R56=0,0,ROUND(((100-T56-S56)/R56),1))</f>
        <v>3.5</v>
      </c>
      <c r="W56" s="842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Y56" s="127"/>
    </row>
    <row r="57" spans="1:51" s="53" customFormat="1" x14ac:dyDescent="0.2">
      <c r="A57" s="140">
        <f>'Plant &amp; Reserve'!$A57</f>
        <v>31646</v>
      </c>
      <c r="B57" s="168" t="str">
        <f>'Plant &amp; Reserve'!$B57</f>
        <v>No. 1 &amp; 2  FGD System</v>
      </c>
      <c r="C57" s="130"/>
      <c r="D57" s="170">
        <v>12.5</v>
      </c>
      <c r="E57" s="170">
        <v>36</v>
      </c>
      <c r="F57" s="170">
        <v>24</v>
      </c>
      <c r="G57" s="168">
        <v>34.35</v>
      </c>
      <c r="H57" s="837">
        <v>-4</v>
      </c>
      <c r="I57" s="170">
        <v>2.9</v>
      </c>
      <c r="J57" s="170">
        <f>IF(F57=0,0,ROUND(((100-H57-G57)/F57),1))-I57</f>
        <v>0</v>
      </c>
      <c r="K57" s="137"/>
      <c r="L57" s="130"/>
      <c r="M57" s="170">
        <f>'BB 1&amp;2 FGD'!$G$40</f>
        <v>20.362816080000002</v>
      </c>
      <c r="N57" s="779">
        <f t="shared" si="28"/>
        <v>20.399999999999999</v>
      </c>
      <c r="O57" s="170">
        <f>'BB 1&amp;2 FGD'!$I$40</f>
        <v>37.871494460000001</v>
      </c>
      <c r="P57" s="170">
        <f>IF(O57&gt;20,ROUND(O57,0),ROUND(O57,1))</f>
        <v>38</v>
      </c>
      <c r="Q57" s="170">
        <f>'BB 1&amp;2 FGD'!$K$40</f>
        <v>17.528365050000001</v>
      </c>
      <c r="R57" s="170">
        <f>IF(Q57&gt;20,ROUND(Q57,0),ROUND(Q57,1))</f>
        <v>17.5</v>
      </c>
      <c r="S57" s="168">
        <f>IF('Plant &amp; Reserve'!$D57=0,0,ROUND(('Plant &amp; Reserve'!$E57/'Plant &amp; Reserve'!$D57)*100,2))</f>
        <v>54.52</v>
      </c>
      <c r="T57" s="169">
        <f>ROUND(100*'BB 1&amp;2 FGD'!$O$40,0)</f>
        <v>-2</v>
      </c>
      <c r="U57" s="838">
        <f t="shared" si="29"/>
        <v>2.7090000000000001</v>
      </c>
      <c r="V57" s="170">
        <f>IF(R57=0,0,ROUND(((100-T57-S57)/R57),1))</f>
        <v>2.7</v>
      </c>
      <c r="W57" s="842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Y57" s="127"/>
    </row>
    <row r="58" spans="1:51" s="53" customFormat="1" x14ac:dyDescent="0.2">
      <c r="A58" s="134"/>
      <c r="B58" s="125" t="s">
        <v>75</v>
      </c>
      <c r="C58" s="128"/>
      <c r="D58" s="177">
        <v>12.084459884481033</v>
      </c>
      <c r="E58" s="177">
        <v>33</v>
      </c>
      <c r="F58" s="177">
        <v>21</v>
      </c>
      <c r="G58" s="128">
        <v>36.909999999999997</v>
      </c>
      <c r="H58" s="820">
        <v>-5</v>
      </c>
      <c r="I58" s="177">
        <v>3.2</v>
      </c>
      <c r="J58" s="138">
        <f>IF(F58=0,0,ROUND(((100-H58-G58)/F58),1))-I58</f>
        <v>0</v>
      </c>
      <c r="K58" s="137"/>
      <c r="L58" s="130"/>
      <c r="M58" s="177">
        <f>'BB 1&amp;2 FGD'!$G$47</f>
        <v>17.903404878747395</v>
      </c>
      <c r="N58" s="845">
        <f t="shared" si="28"/>
        <v>17.899999999999999</v>
      </c>
      <c r="O58" s="177">
        <f>'BB 1&amp;2 FGD'!$I$47</f>
        <v>33.942641656743589</v>
      </c>
      <c r="P58" s="177">
        <f>IF(O58&gt;20,ROUND(O58,0),ROUND(O58,1))</f>
        <v>34</v>
      </c>
      <c r="Q58" s="177">
        <f>'BB 1&amp;2 FGD'!$K$47</f>
        <v>16.824103989339864</v>
      </c>
      <c r="R58" s="177">
        <f>IF(Q58&gt;20,ROUND(Q58,0),ROUND(Q58,1))</f>
        <v>16.8</v>
      </c>
      <c r="S58" s="128">
        <f>IF('Plant &amp; Reserve'!$D58=0,0,ROUND(('Plant &amp; Reserve'!$E58/'Plant &amp; Reserve'!$D58)*100,2))</f>
        <v>37.869999999999997</v>
      </c>
      <c r="T58" s="175">
        <f>ROUND(100*'BB 1&amp;2 FGD'!$O$47,0)</f>
        <v>-4</v>
      </c>
      <c r="U58" s="836">
        <f t="shared" si="29"/>
        <v>3.931</v>
      </c>
      <c r="V58" s="177">
        <f>IF(R58=0,0,ROUND(((100-T58-S58)/R58),1))</f>
        <v>3.9</v>
      </c>
      <c r="W58" s="842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Y58" s="127"/>
    </row>
    <row r="59" spans="1:51" s="53" customFormat="1" x14ac:dyDescent="0.2">
      <c r="A59" s="140"/>
      <c r="B59" s="129"/>
      <c r="C59" s="130"/>
      <c r="D59" s="138"/>
      <c r="E59" s="138"/>
      <c r="F59" s="138"/>
      <c r="G59" s="130"/>
      <c r="H59" s="139"/>
      <c r="I59" s="138"/>
      <c r="J59" s="138"/>
      <c r="K59" s="137"/>
      <c r="L59" s="130"/>
      <c r="M59" s="138"/>
      <c r="N59" s="138"/>
      <c r="O59" s="138"/>
      <c r="P59" s="138"/>
      <c r="Q59" s="138"/>
      <c r="R59" s="138"/>
      <c r="S59" s="138"/>
      <c r="T59" s="139"/>
      <c r="U59" s="138"/>
      <c r="V59" s="138"/>
      <c r="W59" s="842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Y59" s="127"/>
    </row>
    <row r="60" spans="1:51" s="53" customFormat="1" x14ac:dyDescent="0.2">
      <c r="A60" s="140">
        <f>'Plant &amp; Reserve'!$A60</f>
        <v>31145</v>
      </c>
      <c r="B60" s="130" t="str">
        <f>'Plant &amp; Reserve'!$B60</f>
        <v>No. 3 &amp; 4  FGD System</v>
      </c>
      <c r="C60" s="130"/>
      <c r="D60" s="138">
        <v>24.788817403779117</v>
      </c>
      <c r="E60" s="138">
        <v>52</v>
      </c>
      <c r="F60" s="138">
        <v>30</v>
      </c>
      <c r="G60" s="130">
        <v>44.06</v>
      </c>
      <c r="H60" s="139">
        <v>-3</v>
      </c>
      <c r="I60" s="138">
        <v>2</v>
      </c>
      <c r="J60" s="138">
        <f>IF(F60=0,0,ROUND(((100-H60-G60)/F60),1))-I60</f>
        <v>0</v>
      </c>
      <c r="K60" s="137"/>
      <c r="L60" s="130"/>
      <c r="M60" s="138">
        <f>'BB 3&amp;4 FGD'!$G$16</f>
        <v>29.810771379999998</v>
      </c>
      <c r="N60" s="830">
        <f t="shared" si="28"/>
        <v>29.8</v>
      </c>
      <c r="O60" s="138">
        <f>'BB 3&amp;4 FGD'!$I$16</f>
        <v>51.092006759999997</v>
      </c>
      <c r="P60" s="138">
        <f>IF(O60&gt;20,ROUND(O60,0),ROUND(O60,1))</f>
        <v>51</v>
      </c>
      <c r="Q60" s="138">
        <f>'BB 3&amp;4 FGD'!$K$16</f>
        <v>23.785626069999999</v>
      </c>
      <c r="R60" s="138">
        <f>IF(Q60&gt;20,ROUND(Q60,0),ROUND(Q60,1))</f>
        <v>24</v>
      </c>
      <c r="S60" s="130">
        <f>IF('Plant &amp; Reserve'!$D60=0,0,ROUND(('Plant &amp; Reserve'!$E60/'Plant &amp; Reserve'!$D60)*100,2))</f>
        <v>51.98</v>
      </c>
      <c r="T60" s="160">
        <f>ROUND(100*'BB 3&amp;4 FGD'!$O$16,0)</f>
        <v>-2</v>
      </c>
      <c r="U60" s="836">
        <f t="shared" si="29"/>
        <v>2.1030000000000002</v>
      </c>
      <c r="V60" s="138">
        <f>IF(R60=0,0,ROUND(((100-T60-S60)/R60),1))</f>
        <v>2.1</v>
      </c>
      <c r="W60" s="842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Y60" s="127"/>
    </row>
    <row r="61" spans="1:51" s="53" customFormat="1" x14ac:dyDescent="0.2">
      <c r="A61" s="140">
        <f>'Plant &amp; Reserve'!$A61</f>
        <v>31245</v>
      </c>
      <c r="B61" s="130" t="str">
        <f>'Plant &amp; Reserve'!$B61</f>
        <v>No. 3 &amp; 4  FGD System</v>
      </c>
      <c r="C61" s="130"/>
      <c r="D61" s="138">
        <v>21.082426837818868</v>
      </c>
      <c r="E61" s="138">
        <v>41</v>
      </c>
      <c r="F61" s="138">
        <v>24</v>
      </c>
      <c r="G61" s="130">
        <v>46.3</v>
      </c>
      <c r="H61" s="139">
        <v>-7</v>
      </c>
      <c r="I61" s="138">
        <v>2.5</v>
      </c>
      <c r="J61" s="138">
        <f>IF(F61=0,0,ROUND(((100-H61-G61)/F61),1))-I61</f>
        <v>0</v>
      </c>
      <c r="K61" s="137"/>
      <c r="L61" s="130"/>
      <c r="M61" s="138">
        <f>'BB 3&amp;4 FGD'!$G$22</f>
        <v>23.44613519</v>
      </c>
      <c r="N61" s="830">
        <f t="shared" si="28"/>
        <v>23.4</v>
      </c>
      <c r="O61" s="138">
        <f>'BB 3&amp;4 FGD'!$I$22</f>
        <v>42.332283330000003</v>
      </c>
      <c r="P61" s="138">
        <f>IF(O61&gt;20,ROUND(O61,0),ROUND(O61,1))</f>
        <v>42</v>
      </c>
      <c r="Q61" s="138">
        <f>'BB 3&amp;4 FGD'!$K$22</f>
        <v>21.928861600000001</v>
      </c>
      <c r="R61" s="138">
        <f>IF(Q61&gt;20,ROUND(Q61,0),ROUND(Q61,1))</f>
        <v>22</v>
      </c>
      <c r="S61" s="130">
        <f>IF('Plant &amp; Reserve'!$D61=0,0,ROUND(('Plant &amp; Reserve'!$E61/'Plant &amp; Reserve'!$D61)*100,2))</f>
        <v>37.65</v>
      </c>
      <c r="T61" s="160">
        <f>ROUND(100*'BB 3&amp;4 FGD'!$O$22,0)</f>
        <v>-5</v>
      </c>
      <c r="U61" s="836">
        <f t="shared" si="29"/>
        <v>3.0710000000000002</v>
      </c>
      <c r="V61" s="138">
        <f>IF(R61=0,0,ROUND(((100-T61-S61)/R61),1))</f>
        <v>3.1</v>
      </c>
      <c r="W61" s="842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Y61" s="127"/>
    </row>
    <row r="62" spans="1:51" s="53" customFormat="1" x14ac:dyDescent="0.2">
      <c r="A62" s="140">
        <f>'Plant &amp; Reserve'!$A62</f>
        <v>31545</v>
      </c>
      <c r="B62" s="130" t="str">
        <f>'Plant &amp; Reserve'!$B62</f>
        <v>No. 3 &amp; 4  FGD System</v>
      </c>
      <c r="C62" s="130"/>
      <c r="D62" s="138">
        <v>21.146727898058007</v>
      </c>
      <c r="E62" s="138">
        <v>34</v>
      </c>
      <c r="F62" s="138">
        <v>18.3</v>
      </c>
      <c r="G62" s="130">
        <v>49.82</v>
      </c>
      <c r="H62" s="139">
        <v>-7</v>
      </c>
      <c r="I62" s="138">
        <v>3.1</v>
      </c>
      <c r="J62" s="138">
        <f>IF(F62=0,0,ROUND(((100-H62-G62)/F62),1))-I62</f>
        <v>0</v>
      </c>
      <c r="K62" s="137"/>
      <c r="L62" s="130"/>
      <c r="M62" s="138">
        <f>'BB 3&amp;4 FGD'!$G$34</f>
        <v>24.090043739999999</v>
      </c>
      <c r="N62" s="830">
        <f t="shared" si="28"/>
        <v>24.1</v>
      </c>
      <c r="O62" s="138">
        <f>'BB 3&amp;4 FGD'!$I$34</f>
        <v>41.418286809999998</v>
      </c>
      <c r="P62" s="138">
        <f>IF(O62&gt;20,ROUND(O62,0),ROUND(O62,1))</f>
        <v>41</v>
      </c>
      <c r="Q62" s="138">
        <f>'BB 3&amp;4 FGD'!$K$34</f>
        <v>19.42876068</v>
      </c>
      <c r="R62" s="138">
        <f>IF(Q62&gt;20,ROUND(Q62,0),ROUND(Q62,1))</f>
        <v>19.399999999999999</v>
      </c>
      <c r="S62" s="130">
        <f>IF('Plant &amp; Reserve'!$D62=0,0,ROUND(('Plant &amp; Reserve'!$E62/'Plant &amp; Reserve'!$D62)*100,2))</f>
        <v>58.42</v>
      </c>
      <c r="T62" s="160">
        <f>ROUND(100*'BB 3&amp;4 FGD'!$O$34,0)</f>
        <v>-5</v>
      </c>
      <c r="U62" s="836">
        <f t="shared" si="29"/>
        <v>2.3969999999999998</v>
      </c>
      <c r="V62" s="138">
        <f>IF(R62=0,0,ROUND(((100-T62-S62)/R62),1))</f>
        <v>2.4</v>
      </c>
      <c r="W62" s="84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Y62" s="127"/>
    </row>
    <row r="63" spans="1:51" s="53" customFormat="1" x14ac:dyDescent="0.2">
      <c r="A63" s="140">
        <f>'Plant &amp; Reserve'!$A63</f>
        <v>31645</v>
      </c>
      <c r="B63" s="168" t="str">
        <f>'Plant &amp; Reserve'!$B63</f>
        <v>No. 3 &amp; 4  FGD System</v>
      </c>
      <c r="C63" s="130"/>
      <c r="D63" s="170">
        <v>25.672377453481484</v>
      </c>
      <c r="E63" s="170">
        <v>34</v>
      </c>
      <c r="F63" s="170">
        <v>10.4</v>
      </c>
      <c r="G63" s="168">
        <v>78.3</v>
      </c>
      <c r="H63" s="837">
        <v>-12</v>
      </c>
      <c r="I63" s="170">
        <v>3.2</v>
      </c>
      <c r="J63" s="170">
        <f>IF(F63=0,0,ROUND(((100-H63-G63)/F63),1))-I63</f>
        <v>0</v>
      </c>
      <c r="K63" s="137"/>
      <c r="L63" s="130"/>
      <c r="M63" s="170">
        <f>'BB 3&amp;4 FGD'!$G$40</f>
        <v>33.7036278</v>
      </c>
      <c r="N63" s="779">
        <f t="shared" si="28"/>
        <v>33.700000000000003</v>
      </c>
      <c r="O63" s="170">
        <f>'BB 3&amp;4 FGD'!$I$40</f>
        <v>56.048172569999998</v>
      </c>
      <c r="P63" s="170">
        <f>IF(O63&gt;20,ROUND(O63,0),ROUND(O63,1))</f>
        <v>56</v>
      </c>
      <c r="Q63" s="170">
        <f>'BB 3&amp;4 FGD'!$K$40</f>
        <v>23.149489150000001</v>
      </c>
      <c r="R63" s="170">
        <f>IF(Q63&gt;20,ROUND(Q63,0),ROUND(Q63,1))</f>
        <v>23</v>
      </c>
      <c r="S63" s="168">
        <f>IF('Plant &amp; Reserve'!$D63=0,0,ROUND(('Plant &amp; Reserve'!$E63/'Plant &amp; Reserve'!$D63)*100,2))</f>
        <v>88.65</v>
      </c>
      <c r="T63" s="169">
        <f>ROUND(100*'BB 3&amp;4 FGD'!$O$40,0)</f>
        <v>-2</v>
      </c>
      <c r="U63" s="838">
        <f t="shared" si="29"/>
        <v>0.57699999999999996</v>
      </c>
      <c r="V63" s="170">
        <f>IF(R63=0,0,ROUND(((100-T63-S63)/R63),1))</f>
        <v>0.6</v>
      </c>
      <c r="W63" s="842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Y63" s="127"/>
    </row>
    <row r="64" spans="1:51" s="53" customFormat="1" x14ac:dyDescent="0.2">
      <c r="A64" s="134"/>
      <c r="B64" s="125" t="s">
        <v>75</v>
      </c>
      <c r="C64" s="128"/>
      <c r="D64" s="177">
        <v>21.511264856405269</v>
      </c>
      <c r="E64" s="177">
        <v>41</v>
      </c>
      <c r="F64" s="177">
        <v>23</v>
      </c>
      <c r="G64" s="128">
        <v>46.57</v>
      </c>
      <c r="H64" s="820">
        <v>-7</v>
      </c>
      <c r="I64" s="177">
        <v>2.6</v>
      </c>
      <c r="J64" s="138">
        <f>IF(F64=0,0,ROUND(((100-H64-G64)/F64),1))-I64</f>
        <v>0</v>
      </c>
      <c r="K64" s="137"/>
      <c r="L64" s="130"/>
      <c r="M64" s="177">
        <f>'BB 3&amp;4 FGD'!$G$47</f>
        <v>24.284180078200471</v>
      </c>
      <c r="N64" s="845">
        <f t="shared" si="28"/>
        <v>24.3</v>
      </c>
      <c r="O64" s="177">
        <f>'BB 3&amp;4 FGD'!$I$47</f>
        <v>43.254343004581351</v>
      </c>
      <c r="P64" s="177">
        <f>IF(O64&gt;20,ROUND(O64,0),ROUND(O64,1))</f>
        <v>43</v>
      </c>
      <c r="Q64" s="177">
        <f>'BB 3&amp;4 FGD'!$K$47</f>
        <v>21.82407412872708</v>
      </c>
      <c r="R64" s="177">
        <f>IF(Q64&gt;20,ROUND(Q64,0),ROUND(Q64,1))</f>
        <v>22</v>
      </c>
      <c r="S64" s="128">
        <f>IF('Plant &amp; Reserve'!$D64=0,0,ROUND(('Plant &amp; Reserve'!$E64/'Plant &amp; Reserve'!$D64)*100,2))</f>
        <v>42.1</v>
      </c>
      <c r="T64" s="175">
        <f>ROUND(100*'BB 3&amp;4 FGD'!$O$47,0)</f>
        <v>-5</v>
      </c>
      <c r="U64" s="836">
        <f t="shared" si="29"/>
        <v>2.8820000000000001</v>
      </c>
      <c r="V64" s="177">
        <f>IF(R64=0,0,ROUND(((100-T64-S64)/R64),1))</f>
        <v>2.9</v>
      </c>
      <c r="W64" s="842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Y64" s="127"/>
    </row>
    <row r="65" spans="1:51" s="53" customFormat="1" x14ac:dyDescent="0.2">
      <c r="A65" s="140"/>
      <c r="B65" s="129"/>
      <c r="C65" s="130"/>
      <c r="D65" s="138"/>
      <c r="E65" s="138"/>
      <c r="F65" s="138"/>
      <c r="G65" s="130"/>
      <c r="H65" s="139"/>
      <c r="I65" s="138"/>
      <c r="J65" s="138"/>
      <c r="K65" s="137"/>
      <c r="L65" s="130"/>
      <c r="M65" s="138"/>
      <c r="N65" s="138"/>
      <c r="O65" s="138"/>
      <c r="P65" s="138"/>
      <c r="Q65" s="138"/>
      <c r="R65" s="138"/>
      <c r="S65" s="138"/>
      <c r="T65" s="160"/>
      <c r="U65" s="138"/>
      <c r="V65" s="138"/>
      <c r="W65" s="842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Y65" s="127"/>
    </row>
    <row r="66" spans="1:51" s="53" customFormat="1" x14ac:dyDescent="0.2">
      <c r="A66" s="140">
        <f>'Plant &amp; Reserve'!$A66</f>
        <v>31151</v>
      </c>
      <c r="B66" s="130" t="str">
        <f>'Plant &amp; Reserve'!$B66</f>
        <v>No. 1 SCR System</v>
      </c>
      <c r="C66" s="130"/>
      <c r="D66" s="138">
        <v>1.5</v>
      </c>
      <c r="E66" s="138">
        <v>25</v>
      </c>
      <c r="F66" s="138">
        <v>23</v>
      </c>
      <c r="G66" s="130">
        <v>6.07</v>
      </c>
      <c r="H66" s="139">
        <v>0</v>
      </c>
      <c r="I66" s="138">
        <v>4.0999999999999996</v>
      </c>
      <c r="J66" s="138">
        <f>IF(F66=0,0,ROUND(((100-H66-G66)/F66),1))-I66</f>
        <v>0</v>
      </c>
      <c r="K66" s="137"/>
      <c r="L66" s="130"/>
      <c r="M66" s="138">
        <f>'BB SCR 1'!$G$16</f>
        <v>9.5</v>
      </c>
      <c r="N66" s="830">
        <f t="shared" si="28"/>
        <v>9.5</v>
      </c>
      <c r="O66" s="138">
        <f>'BB SCR 1'!$I$16</f>
        <v>24.989722010000001</v>
      </c>
      <c r="P66" s="138">
        <f>IF(O66&gt;20,ROUND(O66,0),ROUND(O66,1))</f>
        <v>25</v>
      </c>
      <c r="Q66" s="138">
        <f>'BB SCR 1'!$K$16</f>
        <v>15.489192579999999</v>
      </c>
      <c r="R66" s="138">
        <f>IF(Q66&gt;20,ROUND(Q66,0),ROUND(Q66,1))</f>
        <v>15.5</v>
      </c>
      <c r="S66" s="130">
        <f>IF('Plant &amp; Reserve'!$D66=0,0,ROUND(('Plant &amp; Reserve'!$E66/'Plant &amp; Reserve'!$D66)*100,2))</f>
        <v>38.950000000000003</v>
      </c>
      <c r="T66" s="160">
        <f>ROUND(100*'BB SCR 1'!$O$16,0)</f>
        <v>-1</v>
      </c>
      <c r="U66" s="836">
        <f t="shared" si="29"/>
        <v>4.0060000000000002</v>
      </c>
      <c r="V66" s="138">
        <f>IF(R66=0,0,ROUND(((100-T66-S66)/R66),1))</f>
        <v>4</v>
      </c>
      <c r="W66" s="842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Y66" s="127"/>
    </row>
    <row r="67" spans="1:51" s="53" customFormat="1" x14ac:dyDescent="0.2">
      <c r="A67" s="140">
        <f>'Plant &amp; Reserve'!$A67</f>
        <v>31251</v>
      </c>
      <c r="B67" s="130" t="str">
        <f>'Plant &amp; Reserve'!$B67</f>
        <v>No. 1 SCR System</v>
      </c>
      <c r="C67" s="130"/>
      <c r="D67" s="138">
        <v>1.5</v>
      </c>
      <c r="E67" s="138">
        <v>23</v>
      </c>
      <c r="F67" s="138">
        <v>22</v>
      </c>
      <c r="G67" s="130">
        <v>6.57</v>
      </c>
      <c r="H67" s="139">
        <v>-2</v>
      </c>
      <c r="I67" s="138">
        <v>4.3</v>
      </c>
      <c r="J67" s="138">
        <f>IF(F67=0,0,ROUND(((100-H67-G67)/F67),1))-I67</f>
        <v>0</v>
      </c>
      <c r="K67" s="137"/>
      <c r="L67" s="130"/>
      <c r="M67" s="138">
        <f>'BB SCR 1'!$G$22</f>
        <v>9.3601093399999993</v>
      </c>
      <c r="N67" s="830">
        <f t="shared" si="28"/>
        <v>9.4</v>
      </c>
      <c r="O67" s="138">
        <f>'BB SCR 1'!$I$22</f>
        <v>23.524589110000001</v>
      </c>
      <c r="P67" s="138">
        <f>IF(O67&gt;20,ROUND(O67,0),ROUND(O67,1))</f>
        <v>24</v>
      </c>
      <c r="Q67" s="138">
        <f>'BB SCR 1'!$K$22</f>
        <v>14.094192469999999</v>
      </c>
      <c r="R67" s="138">
        <f>IF(Q67&gt;20,ROUND(Q67,0),ROUND(Q67,1))</f>
        <v>14.1</v>
      </c>
      <c r="S67" s="130">
        <f>IF('Plant &amp; Reserve'!$D67=0,0,ROUND(('Plant &amp; Reserve'!$E67/'Plant &amp; Reserve'!$D67)*100,2))</f>
        <v>42.98</v>
      </c>
      <c r="T67" s="160">
        <f>ROUND(100*'BB SCR 1'!$O$22,0)</f>
        <v>-3</v>
      </c>
      <c r="U67" s="836">
        <f t="shared" si="29"/>
        <v>4.258</v>
      </c>
      <c r="V67" s="138">
        <f>IF(R67=0,0,ROUND(((100-T67-S67)/R67),1))</f>
        <v>4.3</v>
      </c>
      <c r="W67" s="842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Y67" s="127"/>
    </row>
    <row r="68" spans="1:51" s="53" customFormat="1" x14ac:dyDescent="0.2">
      <c r="A68" s="140">
        <f>'Plant &amp; Reserve'!$A68</f>
        <v>31551</v>
      </c>
      <c r="B68" s="130" t="str">
        <f>'Plant &amp; Reserve'!$B68</f>
        <v>No. 1 SCR System</v>
      </c>
      <c r="C68" s="130"/>
      <c r="D68" s="138">
        <v>1.5</v>
      </c>
      <c r="E68" s="138">
        <v>22</v>
      </c>
      <c r="F68" s="138">
        <v>20</v>
      </c>
      <c r="G68" s="130">
        <v>7.22</v>
      </c>
      <c r="H68" s="139">
        <v>-4</v>
      </c>
      <c r="I68" s="138">
        <v>4.8</v>
      </c>
      <c r="J68" s="138">
        <f>IF(F68=0,0,ROUND(((100-H68-G68)/F68),1))-I68</f>
        <v>0</v>
      </c>
      <c r="K68" s="137"/>
      <c r="L68" s="130"/>
      <c r="M68" s="138">
        <f>'BB SCR 1'!$G$34</f>
        <v>9.5</v>
      </c>
      <c r="N68" s="830">
        <f t="shared" si="28"/>
        <v>9.5</v>
      </c>
      <c r="O68" s="138">
        <f>'BB SCR 1'!$I$34</f>
        <v>23.882499809999999</v>
      </c>
      <c r="P68" s="138">
        <f>IF(O68&gt;20,ROUND(O68,0),ROUND(O68,1))</f>
        <v>24</v>
      </c>
      <c r="Q68" s="138">
        <f>'BB SCR 1'!$K$34</f>
        <v>14.319386189999999</v>
      </c>
      <c r="R68" s="138">
        <f>IF(Q68&gt;20,ROUND(Q68,0),ROUND(Q68,1))</f>
        <v>14.3</v>
      </c>
      <c r="S68" s="130">
        <f>IF('Plant &amp; Reserve'!$D68=0,0,ROUND(('Plant &amp; Reserve'!$E68/'Plant &amp; Reserve'!$D68)*100,2))</f>
        <v>45.46</v>
      </c>
      <c r="T68" s="160">
        <f>ROUND(100*'BB SCR 1'!$O$34,0)</f>
        <v>-3</v>
      </c>
      <c r="U68" s="836">
        <f t="shared" si="29"/>
        <v>4.0179999999999998</v>
      </c>
      <c r="V68" s="138">
        <f>IF(R68=0,0,ROUND(((100-T68-S68)/R68),1))</f>
        <v>4</v>
      </c>
      <c r="W68" s="842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Y68" s="127"/>
    </row>
    <row r="69" spans="1:51" s="53" customFormat="1" x14ac:dyDescent="0.2">
      <c r="A69" s="140">
        <f>'Plant &amp; Reserve'!$A69</f>
        <v>31651</v>
      </c>
      <c r="B69" s="168" t="str">
        <f>'Plant &amp; Reserve'!$B69</f>
        <v>No. 1 SCR System</v>
      </c>
      <c r="C69" s="130"/>
      <c r="D69" s="170">
        <v>1.5</v>
      </c>
      <c r="E69" s="170">
        <v>25</v>
      </c>
      <c r="F69" s="170">
        <v>23</v>
      </c>
      <c r="G69" s="168">
        <v>6.07</v>
      </c>
      <c r="H69" s="837">
        <v>-1</v>
      </c>
      <c r="I69" s="170">
        <v>4.0999999999999996</v>
      </c>
      <c r="J69" s="170">
        <f>IF(F69=0,0,ROUND(((100-H69-G69)/F69),1))-I69</f>
        <v>0</v>
      </c>
      <c r="K69" s="137"/>
      <c r="L69" s="130"/>
      <c r="M69" s="170">
        <f>'BB SCR 1'!$G$40</f>
        <v>9.5</v>
      </c>
      <c r="N69" s="779">
        <f t="shared" si="28"/>
        <v>9.5</v>
      </c>
      <c r="O69" s="170">
        <f>'BB SCR 1'!$I$40</f>
        <v>24.779231339999999</v>
      </c>
      <c r="P69" s="170">
        <f>IF(O69&gt;20,ROUND(O69,0),ROUND(O69,1))</f>
        <v>25</v>
      </c>
      <c r="Q69" s="170">
        <f>'BB SCR 1'!$K$40</f>
        <v>15.26556094</v>
      </c>
      <c r="R69" s="170">
        <f>IF(Q69&gt;20,ROUND(Q69,0),ROUND(Q69,1))</f>
        <v>15.3</v>
      </c>
      <c r="S69" s="168">
        <f>IF('Plant &amp; Reserve'!$D69=0,0,ROUND(('Plant &amp; Reserve'!$E69/'Plant &amp; Reserve'!$D69)*100,2))</f>
        <v>39.54</v>
      </c>
      <c r="T69" s="169">
        <f>ROUND(100*'BB SCR 1'!$O$40,0)</f>
        <v>-1</v>
      </c>
      <c r="U69" s="838">
        <f t="shared" si="29"/>
        <v>4.0259999999999998</v>
      </c>
      <c r="V69" s="170">
        <f>IF(R69=0,0,ROUND(((100-T69-S69)/R69),1))</f>
        <v>4</v>
      </c>
      <c r="W69" s="842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Y69" s="127"/>
    </row>
    <row r="70" spans="1:51" s="53" customFormat="1" x14ac:dyDescent="0.2">
      <c r="A70" s="492"/>
      <c r="B70" s="125" t="s">
        <v>75</v>
      </c>
      <c r="C70" s="128"/>
      <c r="D70" s="177">
        <v>1.5</v>
      </c>
      <c r="E70" s="177">
        <v>23</v>
      </c>
      <c r="F70" s="177">
        <v>22</v>
      </c>
      <c r="G70" s="128">
        <v>6.54</v>
      </c>
      <c r="H70" s="820">
        <v>-2</v>
      </c>
      <c r="I70" s="177">
        <v>4.3</v>
      </c>
      <c r="J70" s="138">
        <f>IF(F70=0,0,ROUND(((100-H70-G70)/F70),1))-I70</f>
        <v>0</v>
      </c>
      <c r="K70" s="137"/>
      <c r="L70" s="130"/>
      <c r="M70" s="177">
        <f>'BB SCR 1'!$G$47</f>
        <v>9.4231951028743275</v>
      </c>
      <c r="N70" s="845">
        <f t="shared" si="28"/>
        <v>9.4</v>
      </c>
      <c r="O70" s="177">
        <f>'BB SCR 1'!$I$47</f>
        <v>23.994560405514967</v>
      </c>
      <c r="P70" s="177">
        <f>IF(O70&gt;20,ROUND(O70,0),ROUND(O70,1))</f>
        <v>24</v>
      </c>
      <c r="Q70" s="177">
        <f>'BB SCR 1'!$K$47</f>
        <v>14.521741571256443</v>
      </c>
      <c r="R70" s="177">
        <f>IF(Q70&gt;20,ROUND(Q70,0),ROUND(Q70,1))</f>
        <v>14.5</v>
      </c>
      <c r="S70" s="128">
        <f>IF('Plant &amp; Reserve'!$D70=0,0,ROUND(('Plant &amp; Reserve'!$E70/'Plant &amp; Reserve'!$D70)*100,2))</f>
        <v>42.27</v>
      </c>
      <c r="T70" s="175">
        <f>ROUND(100*'BB SCR 1'!$O$47,0)</f>
        <v>-2</v>
      </c>
      <c r="U70" s="836">
        <f t="shared" si="29"/>
        <v>4.1130000000000004</v>
      </c>
      <c r="V70" s="177">
        <f>IF(R70=0,0,ROUND(((100-T70-S70)/R70),1))</f>
        <v>4.0999999999999996</v>
      </c>
      <c r="W70" s="842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Y70" s="127"/>
    </row>
    <row r="71" spans="1:51" s="53" customFormat="1" x14ac:dyDescent="0.2">
      <c r="A71" s="492"/>
      <c r="B71" s="129"/>
      <c r="C71" s="130"/>
      <c r="D71" s="143"/>
      <c r="E71" s="138"/>
      <c r="F71" s="138"/>
      <c r="G71" s="138"/>
      <c r="H71" s="139"/>
      <c r="I71" s="138"/>
      <c r="J71" s="138"/>
      <c r="K71" s="137"/>
      <c r="L71" s="130"/>
      <c r="M71" s="138"/>
      <c r="N71" s="138"/>
      <c r="O71" s="138"/>
      <c r="P71" s="138"/>
      <c r="Q71" s="138"/>
      <c r="R71" s="138"/>
      <c r="S71" s="138"/>
      <c r="T71" s="160"/>
      <c r="U71" s="138"/>
      <c r="V71" s="138"/>
      <c r="W71" s="842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Y71" s="127"/>
    </row>
    <row r="72" spans="1:51" s="53" customFormat="1" x14ac:dyDescent="0.2">
      <c r="A72" s="140">
        <f>'Plant &amp; Reserve'!$A72</f>
        <v>31152</v>
      </c>
      <c r="B72" s="130" t="str">
        <f>'Plant &amp; Reserve'!$B72</f>
        <v>No. 2 SCR System</v>
      </c>
      <c r="C72" s="130"/>
      <c r="D72" s="138">
        <v>2.5</v>
      </c>
      <c r="E72" s="138">
        <v>29</v>
      </c>
      <c r="F72" s="138">
        <v>26</v>
      </c>
      <c r="G72" s="130">
        <v>8.75</v>
      </c>
      <c r="H72" s="139">
        <v>0</v>
      </c>
      <c r="I72" s="138">
        <v>3.5</v>
      </c>
      <c r="J72" s="138">
        <f>IF(F72=0,0,ROUND(((100-H72-G72)/F72),1))-I72</f>
        <v>0</v>
      </c>
      <c r="K72" s="137"/>
      <c r="L72" s="130"/>
      <c r="M72" s="138">
        <f>'BB SCR 2'!$G$16</f>
        <v>10.5</v>
      </c>
      <c r="N72" s="830">
        <f t="shared" si="28"/>
        <v>10.5</v>
      </c>
      <c r="O72" s="138">
        <f>'BB SCR 2'!$I$16</f>
        <v>28.980814339999998</v>
      </c>
      <c r="P72" s="138">
        <f>IF(O72&gt;20,ROUND(O72,0),ROUND(O72,1))</f>
        <v>29</v>
      </c>
      <c r="Q72" s="138">
        <f>'BB SCR 2'!$K$16</f>
        <v>18.481066949999999</v>
      </c>
      <c r="R72" s="138">
        <f>IF(Q72&gt;20,ROUND(Q72,0),ROUND(Q72,1))</f>
        <v>18.5</v>
      </c>
      <c r="S72" s="130">
        <f>IF('Plant &amp; Reserve'!$D72=0,0,ROUND(('Plant &amp; Reserve'!$E72/'Plant &amp; Reserve'!$D72)*100,2))</f>
        <v>36.75</v>
      </c>
      <c r="T72" s="160">
        <f>ROUND(100*'BB SCR 2'!$O$16,0)</f>
        <v>-1</v>
      </c>
      <c r="U72" s="836">
        <f t="shared" si="29"/>
        <v>3.4769999999999999</v>
      </c>
      <c r="V72" s="138">
        <f>IF(R72=0,0,ROUND(((100-T72-S72)/R72),1))</f>
        <v>3.5</v>
      </c>
      <c r="W72" s="84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Y72" s="127"/>
    </row>
    <row r="73" spans="1:51" s="53" customFormat="1" x14ac:dyDescent="0.2">
      <c r="A73" s="140">
        <f>'Plant &amp; Reserve'!$A73</f>
        <v>31252</v>
      </c>
      <c r="B73" s="130" t="str">
        <f>'Plant &amp; Reserve'!$B73</f>
        <v>No. 2 SCR System</v>
      </c>
      <c r="C73" s="130"/>
      <c r="D73" s="138">
        <v>2.5</v>
      </c>
      <c r="E73" s="138">
        <v>26</v>
      </c>
      <c r="F73" s="138">
        <v>23</v>
      </c>
      <c r="G73" s="130">
        <v>10.06</v>
      </c>
      <c r="H73" s="139">
        <v>-3</v>
      </c>
      <c r="I73" s="138">
        <v>4</v>
      </c>
      <c r="J73" s="138">
        <f>IF(F73=0,0,ROUND(((100-H73-G73)/F73),1))-I73</f>
        <v>0</v>
      </c>
      <c r="K73" s="137"/>
      <c r="L73" s="130"/>
      <c r="M73" s="138">
        <f>'BB SCR 2'!$G$22</f>
        <v>9.9795351700000001</v>
      </c>
      <c r="N73" s="830">
        <f t="shared" si="28"/>
        <v>10</v>
      </c>
      <c r="O73" s="138">
        <f>'BB SCR 2'!$I$22</f>
        <v>26.207693410000001</v>
      </c>
      <c r="P73" s="138">
        <f>IF(O73&gt;20,ROUND(O73,0),ROUND(O73,1))</f>
        <v>26</v>
      </c>
      <c r="Q73" s="138">
        <f>'BB SCR 2'!$K$22</f>
        <v>16.245114640000001</v>
      </c>
      <c r="R73" s="138">
        <f>IF(Q73&gt;20,ROUND(Q73,0),ROUND(Q73,1))</f>
        <v>16.2</v>
      </c>
      <c r="S73" s="130">
        <f>IF('Plant &amp; Reserve'!$D73=0,0,ROUND(('Plant &amp; Reserve'!$E73/'Plant &amp; Reserve'!$D73)*100,2))</f>
        <v>35.76</v>
      </c>
      <c r="T73" s="160">
        <f>ROUND(100*'BB SCR 2'!$O$22,0)</f>
        <v>-3</v>
      </c>
      <c r="U73" s="836">
        <f t="shared" si="29"/>
        <v>4.1390000000000002</v>
      </c>
      <c r="V73" s="138">
        <f>IF(R73=0,0,ROUND(((100-T73-S73)/R73),1))</f>
        <v>4.2</v>
      </c>
      <c r="W73" s="842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Y73" s="127"/>
    </row>
    <row r="74" spans="1:51" s="53" customFormat="1" x14ac:dyDescent="0.2">
      <c r="A74" s="140">
        <f>'Plant &amp; Reserve'!$A74</f>
        <v>31552</v>
      </c>
      <c r="B74" s="130" t="str">
        <f>'Plant &amp; Reserve'!$B74</f>
        <v>No. 2 SCR System</v>
      </c>
      <c r="C74" s="130"/>
      <c r="D74" s="138">
        <v>2.5000000000000004</v>
      </c>
      <c r="E74" s="138">
        <v>25</v>
      </c>
      <c r="F74" s="138">
        <v>23</v>
      </c>
      <c r="G74" s="130">
        <v>10.36</v>
      </c>
      <c r="H74" s="139">
        <v>-4</v>
      </c>
      <c r="I74" s="138">
        <v>4.0999999999999996</v>
      </c>
      <c r="J74" s="138">
        <f>IF(F74=0,0,ROUND(((100-H74-G74)/F74),1))-I74</f>
        <v>0</v>
      </c>
      <c r="K74" s="137"/>
      <c r="L74" s="130"/>
      <c r="M74" s="138">
        <f>'BB SCR 2'!$G$34</f>
        <v>10.4488822</v>
      </c>
      <c r="N74" s="830">
        <f t="shared" si="28"/>
        <v>10.4</v>
      </c>
      <c r="O74" s="138">
        <f>'BB SCR 2'!$I$34</f>
        <v>26.804814830000002</v>
      </c>
      <c r="P74" s="138">
        <f>IF(O74&gt;20,ROUND(O74,0),ROUND(O74,1))</f>
        <v>27</v>
      </c>
      <c r="Q74" s="138">
        <f>'BB SCR 2'!$K$34</f>
        <v>16.363360579999998</v>
      </c>
      <c r="R74" s="138">
        <f>IF(Q74&gt;20,ROUND(Q74,0),ROUND(Q74,1))</f>
        <v>16.399999999999999</v>
      </c>
      <c r="S74" s="130">
        <f>IF('Plant &amp; Reserve'!$D74=0,0,ROUND(('Plant &amp; Reserve'!$E74/'Plant &amp; Reserve'!$D74)*100,2))</f>
        <v>42.48</v>
      </c>
      <c r="T74" s="160">
        <f>ROUND(100*'BB SCR 2'!$O$34,0)</f>
        <v>-3</v>
      </c>
      <c r="U74" s="836">
        <f t="shared" si="29"/>
        <v>3.6989999999999998</v>
      </c>
      <c r="V74" s="138">
        <f>IF(R74=0,0,ROUND(((100-T74-S74)/R74),1))</f>
        <v>3.7</v>
      </c>
      <c r="W74" s="842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Y74" s="127"/>
    </row>
    <row r="75" spans="1:51" s="53" customFormat="1" x14ac:dyDescent="0.2">
      <c r="A75" s="140">
        <f>'Plant &amp; Reserve'!$A75</f>
        <v>31652</v>
      </c>
      <c r="B75" s="168" t="str">
        <f>'Plant &amp; Reserve'!$B75</f>
        <v>No. 2 SCR System</v>
      </c>
      <c r="C75" s="130"/>
      <c r="D75" s="170">
        <v>2.5</v>
      </c>
      <c r="E75" s="170">
        <v>28</v>
      </c>
      <c r="F75" s="170">
        <v>25</v>
      </c>
      <c r="G75" s="168">
        <v>9.16</v>
      </c>
      <c r="H75" s="837">
        <v>-2</v>
      </c>
      <c r="I75" s="170">
        <v>3.7</v>
      </c>
      <c r="J75" s="170">
        <f>IF(F75=0,0,ROUND(((100-H75-G75)/F75),1))-I75</f>
        <v>0</v>
      </c>
      <c r="K75" s="137"/>
      <c r="L75" s="130"/>
      <c r="M75" s="170">
        <f>'BB SCR 2'!$G$40</f>
        <v>10.5</v>
      </c>
      <c r="N75" s="779">
        <f t="shared" si="28"/>
        <v>10.5</v>
      </c>
      <c r="O75" s="170">
        <f>'BB SCR 2'!$I$40</f>
        <v>28.55793907</v>
      </c>
      <c r="P75" s="170">
        <f>IF(O75&gt;20,ROUND(O75,0),ROUND(O75,1))</f>
        <v>29</v>
      </c>
      <c r="Q75" s="170">
        <f>'BB SCR 2'!$K$40</f>
        <v>18.05469012</v>
      </c>
      <c r="R75" s="170">
        <f>IF(Q75&gt;20,ROUND(Q75,0),ROUND(Q75,1))</f>
        <v>18.100000000000001</v>
      </c>
      <c r="S75" s="168">
        <f>IF('Plant &amp; Reserve'!$D75=0,0,ROUND(('Plant &amp; Reserve'!$E75/'Plant &amp; Reserve'!$D75)*100,2))</f>
        <v>38.75</v>
      </c>
      <c r="T75" s="169">
        <f>ROUND(100*'BB SCR 2'!$O$40,0)</f>
        <v>-1</v>
      </c>
      <c r="U75" s="838">
        <f t="shared" si="29"/>
        <v>3.448</v>
      </c>
      <c r="V75" s="170">
        <f>IF(R75=0,0,ROUND(((100-T75-S75)/R75),1))</f>
        <v>3.4</v>
      </c>
      <c r="W75" s="842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Y75" s="127"/>
    </row>
    <row r="76" spans="1:51" s="53" customFormat="1" x14ac:dyDescent="0.2">
      <c r="A76" s="492"/>
      <c r="B76" s="125" t="s">
        <v>75</v>
      </c>
      <c r="C76" s="128"/>
      <c r="D76" s="177">
        <v>2.5000000000000004</v>
      </c>
      <c r="E76" s="177">
        <v>26</v>
      </c>
      <c r="F76" s="177">
        <v>24</v>
      </c>
      <c r="G76" s="128">
        <v>9.74</v>
      </c>
      <c r="H76" s="820">
        <v>-3</v>
      </c>
      <c r="I76" s="177">
        <v>3.9</v>
      </c>
      <c r="J76" s="138">
        <f>IF(F76=0,0,ROUND(((100-H76-G76)/F76),1))-I76</f>
        <v>0</v>
      </c>
      <c r="K76" s="137"/>
      <c r="L76" s="130"/>
      <c r="M76" s="177">
        <f>'BB SCR 2'!$G$47</f>
        <v>10.205559000739305</v>
      </c>
      <c r="N76" s="845">
        <f t="shared" si="28"/>
        <v>10.199999999999999</v>
      </c>
      <c r="O76" s="177">
        <f>'BB SCR 2'!$I$47</f>
        <v>27.082462778538968</v>
      </c>
      <c r="P76" s="177">
        <f>IF(O76&gt;20,ROUND(O76,0),ROUND(O76,1))</f>
        <v>27</v>
      </c>
      <c r="Q76" s="177">
        <f>'BB SCR 2'!$K$47</f>
        <v>16.887515680897874</v>
      </c>
      <c r="R76" s="177">
        <f>IF(Q76&gt;20,ROUND(Q76,0),ROUND(Q76,1))</f>
        <v>16.899999999999999</v>
      </c>
      <c r="S76" s="128">
        <f>IF('Plant &amp; Reserve'!$D76=0,0,ROUND(('Plant &amp; Reserve'!$E76/'Plant &amp; Reserve'!$D76)*100,2))</f>
        <v>37.21</v>
      </c>
      <c r="T76" s="175">
        <f>ROUND(100*'BB SCR 2'!$O$47,0)</f>
        <v>-2</v>
      </c>
      <c r="U76" s="836">
        <f t="shared" si="29"/>
        <v>3.8370000000000002</v>
      </c>
      <c r="V76" s="177">
        <f>IF(R76=0,0,ROUND(((100-T76-S76)/R76),1))</f>
        <v>3.8</v>
      </c>
      <c r="W76" s="842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Y76" s="127"/>
    </row>
    <row r="77" spans="1:51" s="53" customFormat="1" x14ac:dyDescent="0.2">
      <c r="A77" s="492"/>
      <c r="B77" s="129"/>
      <c r="C77" s="130"/>
      <c r="D77" s="143"/>
      <c r="E77" s="138"/>
      <c r="F77" s="138"/>
      <c r="G77" s="138"/>
      <c r="H77" s="139"/>
      <c r="I77" s="138"/>
      <c r="J77" s="138"/>
      <c r="K77" s="137"/>
      <c r="L77" s="130"/>
      <c r="M77" s="138"/>
      <c r="N77" s="138"/>
      <c r="O77" s="138"/>
      <c r="P77" s="138"/>
      <c r="Q77" s="138"/>
      <c r="R77" s="138"/>
      <c r="S77" s="138"/>
      <c r="T77" s="160"/>
      <c r="U77" s="138"/>
      <c r="V77" s="138"/>
      <c r="W77" s="842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Y77" s="127"/>
    </row>
    <row r="78" spans="1:51" s="53" customFormat="1" x14ac:dyDescent="0.2">
      <c r="A78" s="140">
        <f>'Plant &amp; Reserve'!$A78</f>
        <v>31153</v>
      </c>
      <c r="B78" s="130" t="str">
        <f>'Plant &amp; Reserve'!$B78</f>
        <v>No. 3 SCR System</v>
      </c>
      <c r="C78" s="130"/>
      <c r="D78" s="138">
        <v>3.5</v>
      </c>
      <c r="E78" s="138">
        <v>33</v>
      </c>
      <c r="F78" s="138">
        <v>29</v>
      </c>
      <c r="G78" s="130">
        <v>10.83</v>
      </c>
      <c r="H78" s="139">
        <v>-1</v>
      </c>
      <c r="I78" s="138">
        <v>3.1</v>
      </c>
      <c r="J78" s="138">
        <f>IF(F78=0,0,ROUND(((100-H78-G78)/F78),1))-I78</f>
        <v>0</v>
      </c>
      <c r="K78" s="137"/>
      <c r="L78" s="130"/>
      <c r="M78" s="138">
        <f>'BB SCR 3'!$G$16</f>
        <v>11.5</v>
      </c>
      <c r="N78" s="830">
        <f t="shared" si="28"/>
        <v>11.5</v>
      </c>
      <c r="O78" s="138">
        <f>'BB SCR 3'!$I$16</f>
        <v>32.970406590000003</v>
      </c>
      <c r="P78" s="138">
        <f>IF(O78&gt;20,ROUND(O78,0),ROUND(O78,1))</f>
        <v>33</v>
      </c>
      <c r="Q78" s="138">
        <f>'BB SCR 3'!$K$16</f>
        <v>21.470843980000001</v>
      </c>
      <c r="R78" s="138">
        <f>IF(Q78&gt;20,ROUND(Q78,0),ROUND(Q78,1))</f>
        <v>21</v>
      </c>
      <c r="S78" s="130">
        <f>IF('Plant &amp; Reserve'!$D78=0,0,ROUND(('Plant &amp; Reserve'!$E78/'Plant &amp; Reserve'!$D78)*100,2))</f>
        <v>35.630000000000003</v>
      </c>
      <c r="T78" s="160">
        <f>ROUND(100*'BB SCR 3'!$O$16,0)</f>
        <v>-1</v>
      </c>
      <c r="U78" s="836">
        <f t="shared" si="29"/>
        <v>3.0449999999999999</v>
      </c>
      <c r="V78" s="138">
        <f>IF(R78=0,0,ROUND(((100-T78-S78)/R78),1))</f>
        <v>3.1</v>
      </c>
      <c r="W78" s="842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Y78" s="127"/>
    </row>
    <row r="79" spans="1:51" s="53" customFormat="1" x14ac:dyDescent="0.2">
      <c r="A79" s="140">
        <f>'Plant &amp; Reserve'!$A79</f>
        <v>31253</v>
      </c>
      <c r="B79" s="130" t="str">
        <f>'Plant &amp; Reserve'!$B79</f>
        <v>No. 3 SCR System</v>
      </c>
      <c r="C79" s="130"/>
      <c r="D79" s="138">
        <v>3.5</v>
      </c>
      <c r="E79" s="138">
        <v>28</v>
      </c>
      <c r="F79" s="138">
        <v>24</v>
      </c>
      <c r="G79" s="130">
        <v>13.43</v>
      </c>
      <c r="H79" s="139">
        <v>-6</v>
      </c>
      <c r="I79" s="138">
        <v>3.9</v>
      </c>
      <c r="J79" s="138">
        <f>IF(F79=0,0,ROUND(((100-H79-G79)/F79),1))-I79</f>
        <v>0</v>
      </c>
      <c r="K79" s="137"/>
      <c r="L79" s="130"/>
      <c r="M79" s="138">
        <f>'BB SCR 3'!$G$22</f>
        <v>11.11385419</v>
      </c>
      <c r="N79" s="830">
        <f t="shared" si="28"/>
        <v>11.1</v>
      </c>
      <c r="O79" s="138">
        <f>'BB SCR 3'!$I$22</f>
        <v>28.70447592</v>
      </c>
      <c r="P79" s="138">
        <f>IF(O79&gt;20,ROUND(O79,0),ROUND(O79,1))</f>
        <v>29</v>
      </c>
      <c r="Q79" s="138">
        <f>'BB SCR 3'!$K$22</f>
        <v>17.589139029999998</v>
      </c>
      <c r="R79" s="138">
        <f>IF(Q79&gt;20,ROUND(Q79,0),ROUND(Q79,1))</f>
        <v>17.600000000000001</v>
      </c>
      <c r="S79" s="130">
        <f>IF('Plant &amp; Reserve'!$D79=0,0,ROUND(('Plant &amp; Reserve'!$E79/'Plant &amp; Reserve'!$D79)*100,2))</f>
        <v>40.700000000000003</v>
      </c>
      <c r="T79" s="160">
        <f>ROUND(100*'BB SCR 3'!$O$22,0)</f>
        <v>-3</v>
      </c>
      <c r="U79" s="836">
        <f t="shared" si="29"/>
        <v>3.5419999999999998</v>
      </c>
      <c r="V79" s="138">
        <f>IF(R79=0,0,ROUND(((100-T79-S79)/R79),1))</f>
        <v>3.5</v>
      </c>
      <c r="W79" s="842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Y79" s="127"/>
    </row>
    <row r="80" spans="1:51" s="53" customFormat="1" x14ac:dyDescent="0.2">
      <c r="A80" s="140">
        <f>'Plant &amp; Reserve'!$A80</f>
        <v>31553</v>
      </c>
      <c r="B80" s="130" t="str">
        <f>'Plant &amp; Reserve'!$B80</f>
        <v>No. 3 SCR System</v>
      </c>
      <c r="C80" s="130"/>
      <c r="D80" s="138">
        <v>3.5</v>
      </c>
      <c r="E80" s="138">
        <v>27</v>
      </c>
      <c r="F80" s="138">
        <v>23</v>
      </c>
      <c r="G80" s="130">
        <v>13.92</v>
      </c>
      <c r="H80" s="139">
        <v>-6</v>
      </c>
      <c r="I80" s="138">
        <v>4</v>
      </c>
      <c r="J80" s="138">
        <f>IF(F80=0,0,ROUND(((100-H80-G80)/F80),1))-I80</f>
        <v>0</v>
      </c>
      <c r="K80" s="137"/>
      <c r="L80" s="130"/>
      <c r="M80" s="138">
        <f>'BB SCR 3'!$G$34</f>
        <v>11.434633270000001</v>
      </c>
      <c r="N80" s="830">
        <f t="shared" si="28"/>
        <v>11.4</v>
      </c>
      <c r="O80" s="138">
        <f>'BB SCR 3'!$I$34</f>
        <v>29.40871434</v>
      </c>
      <c r="P80" s="138">
        <f>IF(O80&gt;20,ROUND(O80,0),ROUND(O80,1))</f>
        <v>29</v>
      </c>
      <c r="Q80" s="138">
        <f>'BB SCR 3'!$K$34</f>
        <v>17.979177419999999</v>
      </c>
      <c r="R80" s="138">
        <f>IF(Q80&gt;20,ROUND(Q80,0),ROUND(Q80,1))</f>
        <v>18</v>
      </c>
      <c r="S80" s="130">
        <f>IF('Plant &amp; Reserve'!$D80=0,0,ROUND(('Plant &amp; Reserve'!$E80/'Plant &amp; Reserve'!$D80)*100,2))</f>
        <v>45.38</v>
      </c>
      <c r="T80" s="160">
        <f>ROUND(100*'BB SCR 3'!$O$34,0)</f>
        <v>-3</v>
      </c>
      <c r="U80" s="836">
        <f t="shared" si="29"/>
        <v>3.2050000000000001</v>
      </c>
      <c r="V80" s="138">
        <f>IF(R80=0,0,ROUND(((100-T80-S80)/R80),1))</f>
        <v>3.2</v>
      </c>
      <c r="W80" s="842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Y80" s="127"/>
    </row>
    <row r="81" spans="1:51" s="53" customFormat="1" x14ac:dyDescent="0.2">
      <c r="A81" s="140">
        <f>'Plant &amp; Reserve'!$A81</f>
        <v>31653</v>
      </c>
      <c r="B81" s="168" t="str">
        <f>'Plant &amp; Reserve'!$B81</f>
        <v>No. 3 SCR System</v>
      </c>
      <c r="C81" s="130"/>
      <c r="D81" s="170">
        <v>3.5</v>
      </c>
      <c r="E81" s="170">
        <v>31</v>
      </c>
      <c r="F81" s="170">
        <v>27</v>
      </c>
      <c r="G81" s="168">
        <v>12.01</v>
      </c>
      <c r="H81" s="837">
        <v>-5</v>
      </c>
      <c r="I81" s="170">
        <v>3.4</v>
      </c>
      <c r="J81" s="170">
        <f>IF(F81=0,0,ROUND(((100-H81-G81)/F81),1))-I81</f>
        <v>0</v>
      </c>
      <c r="K81" s="137"/>
      <c r="L81" s="130"/>
      <c r="M81" s="170">
        <f>'BB SCR 3'!$G$40</f>
        <v>11.5</v>
      </c>
      <c r="N81" s="779">
        <f t="shared" si="28"/>
        <v>11.5</v>
      </c>
      <c r="O81" s="170">
        <f>'BB SCR 3'!$I$40</f>
        <v>32.238614990000002</v>
      </c>
      <c r="P81" s="170">
        <f>IF(O81&gt;20,ROUND(O81,0),ROUND(O81,1))</f>
        <v>32</v>
      </c>
      <c r="Q81" s="170">
        <f>'BB SCR 3'!$K$40</f>
        <v>20.728786809999999</v>
      </c>
      <c r="R81" s="170">
        <f>IF(Q81&gt;20,ROUND(Q81,0),ROUND(Q81,1))</f>
        <v>21</v>
      </c>
      <c r="S81" s="168">
        <f>IF('Plant &amp; Reserve'!$D81=0,0,ROUND(('Plant &amp; Reserve'!$E81/'Plant &amp; Reserve'!$D81)*100,2))</f>
        <v>39.21</v>
      </c>
      <c r="T81" s="169">
        <f>ROUND(100*'BB SCR 3'!$O$40,0)</f>
        <v>-1</v>
      </c>
      <c r="U81" s="838">
        <f t="shared" si="29"/>
        <v>2.9809999999999999</v>
      </c>
      <c r="V81" s="170">
        <f>IF(R81=0,0,ROUND(((100-T81-S81)/R81),1))</f>
        <v>2.9</v>
      </c>
      <c r="W81" s="842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Y81" s="127"/>
    </row>
    <row r="82" spans="1:51" s="53" customFormat="1" x14ac:dyDescent="0.2">
      <c r="A82" s="492"/>
      <c r="B82" s="125" t="s">
        <v>75</v>
      </c>
      <c r="C82" s="128"/>
      <c r="D82" s="177">
        <v>3.5</v>
      </c>
      <c r="E82" s="177">
        <v>29</v>
      </c>
      <c r="F82" s="177">
        <v>25</v>
      </c>
      <c r="G82" s="128">
        <v>12.78</v>
      </c>
      <c r="H82" s="820">
        <v>-4</v>
      </c>
      <c r="I82" s="177">
        <v>3.6</v>
      </c>
      <c r="J82" s="138">
        <f>IF(F82=0,0,ROUND(((100-H82-G82)/F82),1))-I82</f>
        <v>0</v>
      </c>
      <c r="K82" s="137"/>
      <c r="L82" s="130"/>
      <c r="M82" s="177">
        <f>'BB SCR 3'!$G$47</f>
        <v>11.27706145542396</v>
      </c>
      <c r="N82" s="845">
        <f t="shared" si="28"/>
        <v>11.3</v>
      </c>
      <c r="O82" s="177">
        <f>'BB SCR 3'!$I$47</f>
        <v>30.013453550556267</v>
      </c>
      <c r="P82" s="177">
        <f>IF(O82&gt;20,ROUND(O82,0),ROUND(O82,1))</f>
        <v>30</v>
      </c>
      <c r="Q82" s="177">
        <f>'BB SCR 3'!$K$47</f>
        <v>18.736469491843511</v>
      </c>
      <c r="R82" s="177">
        <f>IF(Q82&gt;20,ROUND(Q82,0),ROUND(Q82,1))</f>
        <v>18.7</v>
      </c>
      <c r="S82" s="128">
        <f>IF('Plant &amp; Reserve'!$D82=0,0,ROUND(('Plant &amp; Reserve'!$E82/'Plant &amp; Reserve'!$D82)*100,2))</f>
        <v>40.119999999999997</v>
      </c>
      <c r="T82" s="175">
        <f>ROUND(100*'BB SCR 3'!$O$47,0)</f>
        <v>-2</v>
      </c>
      <c r="U82" s="836">
        <f t="shared" si="29"/>
        <v>3.3029999999999999</v>
      </c>
      <c r="V82" s="177">
        <f>IF(R82=0,0,ROUND(((100-T82-S82)/R82),1))</f>
        <v>3.3</v>
      </c>
      <c r="W82" s="84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Y82" s="127"/>
    </row>
    <row r="83" spans="1:51" s="53" customFormat="1" x14ac:dyDescent="0.2">
      <c r="A83" s="492"/>
      <c r="B83" s="129"/>
      <c r="C83" s="130"/>
      <c r="D83" s="143"/>
      <c r="E83" s="138"/>
      <c r="F83" s="138"/>
      <c r="G83" s="138"/>
      <c r="H83" s="139"/>
      <c r="I83" s="138"/>
      <c r="J83" s="138"/>
      <c r="K83" s="137"/>
      <c r="L83" s="130"/>
      <c r="M83" s="138"/>
      <c r="N83" s="138"/>
      <c r="O83" s="138"/>
      <c r="P83" s="138"/>
      <c r="Q83" s="138"/>
      <c r="R83" s="138"/>
      <c r="S83" s="138"/>
      <c r="T83" s="160"/>
      <c r="U83" s="138"/>
      <c r="V83" s="138"/>
      <c r="W83" s="842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Y83" s="127"/>
    </row>
    <row r="84" spans="1:51" s="53" customFormat="1" x14ac:dyDescent="0.2">
      <c r="A84" s="140">
        <f>'Plant &amp; Reserve'!$A84</f>
        <v>31154</v>
      </c>
      <c r="B84" s="130" t="str">
        <f>'Plant &amp; Reserve'!$B84</f>
        <v>No. 4 SCR System</v>
      </c>
      <c r="C84" s="130"/>
      <c r="D84" s="138">
        <v>4.5</v>
      </c>
      <c r="E84" s="138">
        <v>42</v>
      </c>
      <c r="F84" s="138">
        <v>37</v>
      </c>
      <c r="G84" s="130">
        <v>10.85</v>
      </c>
      <c r="H84" s="139">
        <v>-1</v>
      </c>
      <c r="I84" s="138">
        <v>2.4</v>
      </c>
      <c r="J84" s="138">
        <f>IF(F84=0,0,ROUND(((100-H84-G84)/F84),1))-I84</f>
        <v>0</v>
      </c>
      <c r="K84" s="137"/>
      <c r="L84" s="130"/>
      <c r="M84" s="138">
        <f>'BB SCR 4'!$G$16</f>
        <v>12.5</v>
      </c>
      <c r="N84" s="830">
        <f t="shared" si="28"/>
        <v>12.5</v>
      </c>
      <c r="O84" s="138">
        <f>'BB SCR 4'!$I$16</f>
        <v>37.95418446</v>
      </c>
      <c r="P84" s="138">
        <f>IF(O84&gt;20,ROUND(O84,0),ROUND(O84,1))</f>
        <v>38</v>
      </c>
      <c r="Q84" s="138">
        <f>'BB SCR 4'!$K$16</f>
        <v>25.454664659999999</v>
      </c>
      <c r="R84" s="138">
        <f>IF(Q84&gt;20,ROUND(Q84,0),ROUND(Q84,1))</f>
        <v>25</v>
      </c>
      <c r="S84" s="130">
        <f>IF('Plant &amp; Reserve'!$D84=0,0,ROUND(('Plant &amp; Reserve'!$E84/'Plant &amp; Reserve'!$D84)*100,2))</f>
        <v>30.05</v>
      </c>
      <c r="T84" s="160">
        <f>ROUND(100*'BB SCR 4'!$O$16,0)</f>
        <v>-1</v>
      </c>
      <c r="U84" s="836">
        <f t="shared" si="29"/>
        <v>2.7869999999999999</v>
      </c>
      <c r="V84" s="138">
        <f>IF(R84=0,0,ROUND(((100-T84-S84)/R84),1))</f>
        <v>2.8</v>
      </c>
      <c r="W84" s="842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Y84" s="127"/>
    </row>
    <row r="85" spans="1:51" s="53" customFormat="1" x14ac:dyDescent="0.2">
      <c r="A85" s="140">
        <f>'Plant &amp; Reserve'!$A85</f>
        <v>31254</v>
      </c>
      <c r="B85" s="130" t="str">
        <f>'Plant &amp; Reserve'!$B85</f>
        <v>No. 4 SCR System</v>
      </c>
      <c r="C85" s="130"/>
      <c r="D85" s="138">
        <v>4.5</v>
      </c>
      <c r="E85" s="138">
        <v>30</v>
      </c>
      <c r="F85" s="138">
        <v>25</v>
      </c>
      <c r="G85" s="130">
        <v>16.87</v>
      </c>
      <c r="H85" s="139">
        <v>-12</v>
      </c>
      <c r="I85" s="138">
        <v>3.8</v>
      </c>
      <c r="J85" s="138">
        <f>IF(F85=0,0,ROUND(((100-H85-G85)/F85),1))-I85</f>
        <v>0</v>
      </c>
      <c r="K85" s="137"/>
      <c r="L85" s="130"/>
      <c r="M85" s="138">
        <f>'BB SCR 4'!$G$22</f>
        <v>11.218575449999999</v>
      </c>
      <c r="N85" s="830">
        <f t="shared" si="28"/>
        <v>11.2</v>
      </c>
      <c r="O85" s="138">
        <f>'BB SCR 4'!$I$22</f>
        <v>32.384016260000003</v>
      </c>
      <c r="P85" s="138">
        <f>IF(O85&gt;20,ROUND(O85,0),ROUND(O85,1))</f>
        <v>32</v>
      </c>
      <c r="Q85" s="138">
        <f>'BB SCR 4'!$K$22</f>
        <v>21.109809609999999</v>
      </c>
      <c r="R85" s="138">
        <f>IF(Q85&gt;20,ROUND(Q85,0),ROUND(Q85,1))</f>
        <v>21</v>
      </c>
      <c r="S85" s="130">
        <f>IF('Plant &amp; Reserve'!$D85=0,0,ROUND(('Plant &amp; Reserve'!$E85/'Plant &amp; Reserve'!$D85)*100,2))</f>
        <v>26.68</v>
      </c>
      <c r="T85" s="160">
        <f>ROUND(100*'BB SCR 4'!$O$22,0)</f>
        <v>-3</v>
      </c>
      <c r="U85" s="836">
        <f t="shared" si="29"/>
        <v>3.6150000000000002</v>
      </c>
      <c r="V85" s="138">
        <f>IF(R85=0,0,ROUND(((100-T85-S85)/R85),1))</f>
        <v>3.6</v>
      </c>
      <c r="W85" s="842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Y85" s="127"/>
    </row>
    <row r="86" spans="1:51" s="53" customFormat="1" x14ac:dyDescent="0.2">
      <c r="A86" s="140">
        <f>'Plant &amp; Reserve'!$A86</f>
        <v>31554</v>
      </c>
      <c r="B86" s="130" t="str">
        <f>'Plant &amp; Reserve'!$B86</f>
        <v>No. 4 SCR System</v>
      </c>
      <c r="C86" s="130"/>
      <c r="D86" s="138">
        <v>4.5</v>
      </c>
      <c r="E86" s="138">
        <v>28</v>
      </c>
      <c r="F86" s="138">
        <v>24</v>
      </c>
      <c r="G86" s="130">
        <v>17.63</v>
      </c>
      <c r="H86" s="139">
        <v>-12</v>
      </c>
      <c r="I86" s="138">
        <v>3.9</v>
      </c>
      <c r="J86" s="138">
        <f>IF(F86=0,0,ROUND(((100-H86-G86)/F86),1))-I86</f>
        <v>0</v>
      </c>
      <c r="K86" s="137"/>
      <c r="L86" s="130"/>
      <c r="M86" s="138">
        <f>'BB SCR 4'!$G$34</f>
        <v>12.5</v>
      </c>
      <c r="N86" s="830">
        <f t="shared" si="28"/>
        <v>12.5</v>
      </c>
      <c r="O86" s="138">
        <f>'BB SCR 4'!$I$34</f>
        <v>32.092204010000003</v>
      </c>
      <c r="P86" s="138">
        <f>IF(O86&gt;20,ROUND(O86,0),ROUND(O86,1))</f>
        <v>32</v>
      </c>
      <c r="Q86" s="138">
        <f>'BB SCR 4'!$K$34</f>
        <v>19.555991370000001</v>
      </c>
      <c r="R86" s="138">
        <f>IF(Q86&gt;20,ROUND(Q86,0),ROUND(Q86,1))</f>
        <v>19.600000000000001</v>
      </c>
      <c r="S86" s="130">
        <f>IF('Plant &amp; Reserve'!$D86=0,0,ROUND(('Plant &amp; Reserve'!$E86/'Plant &amp; Reserve'!$D86)*100,2))</f>
        <v>48.83</v>
      </c>
      <c r="T86" s="160">
        <f>ROUND(100*'BB SCR 4'!$O$34,0)</f>
        <v>-3</v>
      </c>
      <c r="U86" s="836">
        <f t="shared" si="29"/>
        <v>2.77</v>
      </c>
      <c r="V86" s="138">
        <f>IF(R86=0,0,ROUND(((100-T86-S86)/R86),1))</f>
        <v>2.8</v>
      </c>
      <c r="W86" s="842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Y86" s="127"/>
    </row>
    <row r="87" spans="1:51" s="53" customFormat="1" x14ac:dyDescent="0.2">
      <c r="A87" s="140">
        <f>'Plant &amp; Reserve'!$A87</f>
        <v>31654</v>
      </c>
      <c r="B87" s="168" t="str">
        <f>'Plant &amp; Reserve'!$B87</f>
        <v>No. 4 SCR System</v>
      </c>
      <c r="C87" s="130"/>
      <c r="D87" s="170">
        <v>4.5</v>
      </c>
      <c r="E87" s="170">
        <v>35</v>
      </c>
      <c r="F87" s="170">
        <v>30</v>
      </c>
      <c r="G87" s="168">
        <v>14.68</v>
      </c>
      <c r="H87" s="837">
        <v>-13</v>
      </c>
      <c r="I87" s="170">
        <v>3.3</v>
      </c>
      <c r="J87" s="170">
        <f>IF(F87=0,0,ROUND(((100-H87-G87)/F87),1))-I87</f>
        <v>0</v>
      </c>
      <c r="K87" s="137"/>
      <c r="L87" s="130"/>
      <c r="M87" s="170">
        <f>'BB SCR 4'!$G$40</f>
        <v>12.5</v>
      </c>
      <c r="N87" s="779">
        <f t="shared" si="28"/>
        <v>12.5</v>
      </c>
      <c r="O87" s="170">
        <f>'BB SCR 4'!$I$40</f>
        <v>37.249068379999997</v>
      </c>
      <c r="P87" s="170">
        <f>IF(O87&gt;20,ROUND(O87,0),ROUND(O87,1))</f>
        <v>37</v>
      </c>
      <c r="Q87" s="170">
        <f>'BB SCR 4'!$K$40</f>
        <v>24.686296280000001</v>
      </c>
      <c r="R87" s="170">
        <f>IF(Q87&gt;20,ROUND(Q87,0),ROUND(Q87,1))</f>
        <v>25</v>
      </c>
      <c r="S87" s="168">
        <f>IF('Plant &amp; Reserve'!$D87=0,0,ROUND(('Plant &amp; Reserve'!$E87/'Plant &amp; Reserve'!$D87)*100,2))</f>
        <v>41.08</v>
      </c>
      <c r="T87" s="169">
        <f>ROUND(100*'BB SCR 4'!$O$40,0)</f>
        <v>-1</v>
      </c>
      <c r="U87" s="838">
        <f t="shared" si="29"/>
        <v>2.427</v>
      </c>
      <c r="V87" s="170">
        <f>IF(R87=0,0,ROUND(((100-T87-S87)/R87),1))</f>
        <v>2.4</v>
      </c>
      <c r="W87" s="842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Y87" s="127"/>
    </row>
    <row r="88" spans="1:51" s="53" customFormat="1" x14ac:dyDescent="0.2">
      <c r="A88" s="140"/>
      <c r="B88" s="125" t="s">
        <v>75</v>
      </c>
      <c r="C88" s="128"/>
      <c r="D88" s="177">
        <v>4.5000000000000009</v>
      </c>
      <c r="E88" s="177">
        <v>32</v>
      </c>
      <c r="F88" s="177">
        <v>28</v>
      </c>
      <c r="G88" s="128">
        <v>15.32</v>
      </c>
      <c r="H88" s="820">
        <v>-9</v>
      </c>
      <c r="I88" s="177">
        <v>3.3</v>
      </c>
      <c r="J88" s="138">
        <f>IF(F88=0,0,ROUND(((100-H88-G88)/F88),1))-I88</f>
        <v>0</v>
      </c>
      <c r="K88" s="137"/>
      <c r="L88" s="130"/>
      <c r="M88" s="177">
        <f>'BB SCR 4'!$G$47</f>
        <v>11.835370806558965</v>
      </c>
      <c r="N88" s="845">
        <f t="shared" si="28"/>
        <v>11.8</v>
      </c>
      <c r="O88" s="177">
        <f>'BB SCR 4'!$I$47</f>
        <v>33.991571473708575</v>
      </c>
      <c r="P88" s="177">
        <f>IF(O88&gt;20,ROUND(O88,0),ROUND(O88,1))</f>
        <v>34</v>
      </c>
      <c r="Q88" s="177">
        <f>'BB SCR 4'!$K$47</f>
        <v>22.120166742194804</v>
      </c>
      <c r="R88" s="177">
        <f>IF(Q88&gt;20,ROUND(Q88,0),ROUND(Q88,1))</f>
        <v>22</v>
      </c>
      <c r="S88" s="128">
        <f>IF('Plant &amp; Reserve'!$D88=0,0,ROUND(('Plant &amp; Reserve'!$E88/'Plant &amp; Reserve'!$D88)*100,2))</f>
        <v>31.84</v>
      </c>
      <c r="T88" s="175">
        <f>ROUND(100*'BB SCR 4'!$O$47,0)</f>
        <v>-2</v>
      </c>
      <c r="U88" s="836">
        <f t="shared" si="29"/>
        <v>3.1720000000000002</v>
      </c>
      <c r="V88" s="177">
        <f>IF(R88=0,0,ROUND(((100-T88-S88)/R88),1))</f>
        <v>3.2</v>
      </c>
      <c r="W88" s="842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Y88" s="127"/>
    </row>
    <row r="89" spans="1:51" s="53" customFormat="1" x14ac:dyDescent="0.2">
      <c r="A89" s="140"/>
      <c r="B89" s="129"/>
      <c r="C89" s="130"/>
      <c r="D89" s="138"/>
      <c r="E89" s="138"/>
      <c r="F89" s="138"/>
      <c r="G89" s="130"/>
      <c r="H89" s="139"/>
      <c r="I89" s="138"/>
      <c r="J89" s="138"/>
      <c r="K89" s="137"/>
      <c r="L89" s="130"/>
      <c r="M89" s="138"/>
      <c r="N89" s="138"/>
      <c r="O89" s="138"/>
      <c r="P89" s="138"/>
      <c r="Q89" s="138"/>
      <c r="R89" s="138"/>
      <c r="S89" s="138"/>
      <c r="T89" s="160"/>
      <c r="U89" s="138"/>
      <c r="V89" s="138"/>
      <c r="W89" s="842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Y89" s="127"/>
    </row>
    <row r="90" spans="1:51" s="53" customFormat="1" x14ac:dyDescent="0.2">
      <c r="A90" s="140">
        <f>'Plant &amp; Reserve'!$A90</f>
        <v>31647</v>
      </c>
      <c r="B90" s="130" t="str">
        <f>'Plant &amp; Reserve'!$B90</f>
        <v>Big Bend Amortizable Tools</v>
      </c>
      <c r="C90" s="130"/>
      <c r="D90" s="138"/>
      <c r="E90" s="138"/>
      <c r="F90" s="839" t="s">
        <v>852</v>
      </c>
      <c r="G90" s="130"/>
      <c r="H90" s="139"/>
      <c r="I90" s="138">
        <f>ROUND(1/7*100,1)</f>
        <v>14.3</v>
      </c>
      <c r="J90" s="138"/>
      <c r="K90" s="137"/>
      <c r="L90" s="130"/>
      <c r="M90" s="840"/>
      <c r="N90" s="840"/>
      <c r="O90" s="840"/>
      <c r="P90" s="840"/>
      <c r="Q90" s="840"/>
      <c r="R90" s="839" t="s">
        <v>852</v>
      </c>
      <c r="S90" s="138"/>
      <c r="T90" s="160"/>
      <c r="U90" s="138">
        <f>ROUND(1/7*100,1)</f>
        <v>14.3</v>
      </c>
      <c r="V90" s="138">
        <f>U90</f>
        <v>14.3</v>
      </c>
      <c r="W90" s="842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Y90" s="127"/>
    </row>
    <row r="91" spans="1:51" s="53" customFormat="1" x14ac:dyDescent="0.2">
      <c r="A91" s="491"/>
      <c r="B91" s="153"/>
      <c r="C91" s="130"/>
      <c r="D91" s="138"/>
      <c r="E91" s="138"/>
      <c r="F91" s="138"/>
      <c r="G91" s="130"/>
      <c r="H91" s="139"/>
      <c r="I91" s="138"/>
      <c r="J91" s="138"/>
      <c r="K91" s="137"/>
      <c r="L91" s="130"/>
      <c r="M91" s="840"/>
      <c r="N91" s="840"/>
      <c r="O91" s="840"/>
      <c r="P91" s="840"/>
      <c r="Q91" s="840"/>
      <c r="R91" s="138"/>
      <c r="S91" s="138"/>
      <c r="T91" s="160"/>
      <c r="U91" s="138"/>
      <c r="V91" s="160"/>
      <c r="W91" s="842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Y91" s="127"/>
    </row>
    <row r="92" spans="1:51" s="53" customFormat="1" x14ac:dyDescent="0.2">
      <c r="A92" s="140">
        <f>'Plant &amp; Reserve'!$A92</f>
        <v>31247</v>
      </c>
      <c r="B92" s="130" t="str">
        <f>'Plant &amp; Reserve'!$B92</f>
        <v>Big Bend Fuel Clause</v>
      </c>
      <c r="C92" s="130"/>
      <c r="D92" s="138"/>
      <c r="E92" s="138"/>
      <c r="F92" s="839" t="s">
        <v>1304</v>
      </c>
      <c r="G92" s="130"/>
      <c r="H92" s="139"/>
      <c r="I92" s="138">
        <f>ROUND(1/5*100,1)</f>
        <v>20</v>
      </c>
      <c r="J92" s="138"/>
      <c r="K92" s="137"/>
      <c r="L92" s="130"/>
      <c r="M92" s="840"/>
      <c r="N92" s="840"/>
      <c r="O92" s="840"/>
      <c r="P92" s="840"/>
      <c r="Q92" s="840"/>
      <c r="R92" s="839" t="s">
        <v>1304</v>
      </c>
      <c r="S92" s="138"/>
      <c r="T92" s="160"/>
      <c r="U92" s="138">
        <f>ROUND(1/5*100,1)</f>
        <v>20</v>
      </c>
      <c r="V92" s="138">
        <f>U92</f>
        <v>20</v>
      </c>
      <c r="W92" s="84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Y92" s="127"/>
    </row>
    <row r="93" spans="1:51" s="53" customFormat="1" ht="13.5" thickBot="1" x14ac:dyDescent="0.25">
      <c r="A93" s="493"/>
      <c r="B93" s="180"/>
      <c r="C93" s="130"/>
      <c r="D93" s="138"/>
      <c r="E93" s="138"/>
      <c r="F93" s="138"/>
      <c r="G93" s="130"/>
      <c r="H93" s="139"/>
      <c r="I93" s="138"/>
      <c r="J93" s="138"/>
      <c r="K93" s="137"/>
      <c r="L93" s="130"/>
      <c r="M93" s="138"/>
      <c r="N93" s="138"/>
      <c r="O93" s="138"/>
      <c r="P93" s="138"/>
      <c r="Q93" s="138"/>
      <c r="R93" s="138"/>
      <c r="S93" s="138"/>
      <c r="T93" s="160"/>
      <c r="U93" s="138"/>
      <c r="V93" s="138"/>
      <c r="W93" s="842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Y93" s="127"/>
    </row>
    <row r="94" spans="1:51" s="53" customFormat="1" ht="19.5" customHeight="1" thickTop="1" thickBot="1" x14ac:dyDescent="0.25">
      <c r="A94" s="494"/>
      <c r="B94" s="383"/>
      <c r="C94" s="196"/>
      <c r="D94" s="196"/>
      <c r="E94" s="196"/>
      <c r="F94" s="196"/>
      <c r="G94" s="196"/>
      <c r="H94" s="196"/>
      <c r="I94" s="196"/>
      <c r="J94" s="196"/>
      <c r="K94" s="137"/>
      <c r="L94" s="130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842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Y94" s="127"/>
    </row>
    <row r="95" spans="1:51" s="53" customFormat="1" ht="13.5" thickTop="1" x14ac:dyDescent="0.2">
      <c r="A95" s="140"/>
      <c r="B95" s="385"/>
      <c r="C95" s="130"/>
      <c r="D95" s="138"/>
      <c r="E95" s="138"/>
      <c r="F95" s="138"/>
      <c r="G95" s="130"/>
      <c r="H95" s="139"/>
      <c r="I95" s="138"/>
      <c r="J95" s="138"/>
      <c r="K95" s="137"/>
      <c r="L95" s="130"/>
      <c r="M95" s="138"/>
      <c r="N95" s="138"/>
      <c r="O95" s="138"/>
      <c r="P95" s="138"/>
      <c r="Q95" s="138"/>
      <c r="R95" s="138"/>
      <c r="S95" s="138"/>
      <c r="T95" s="160"/>
      <c r="U95" s="138"/>
      <c r="V95" s="138"/>
      <c r="W95" s="842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Y95" s="127"/>
    </row>
    <row r="96" spans="1:51" s="53" customFormat="1" ht="13.5" thickBot="1" x14ac:dyDescent="0.25">
      <c r="A96" s="187"/>
      <c r="B96" s="388"/>
      <c r="C96" s="188"/>
      <c r="D96" s="188"/>
      <c r="E96" s="188"/>
      <c r="F96" s="188"/>
      <c r="G96" s="188"/>
      <c r="H96" s="188"/>
      <c r="I96" s="188"/>
      <c r="J96" s="188"/>
      <c r="K96" s="137"/>
      <c r="L96" s="130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842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Y96" s="127"/>
    </row>
    <row r="97" spans="1:51" s="53" customFormat="1" ht="19.5" customHeight="1" thickTop="1" thickBot="1" x14ac:dyDescent="0.25">
      <c r="A97" s="191"/>
      <c r="B97" s="191"/>
      <c r="C97" s="192"/>
      <c r="D97" s="192"/>
      <c r="E97" s="192"/>
      <c r="F97" s="192"/>
      <c r="G97" s="192"/>
      <c r="H97" s="192"/>
      <c r="I97" s="192"/>
      <c r="J97" s="192"/>
      <c r="K97" s="137"/>
      <c r="L97" s="130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842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Y97" s="127"/>
    </row>
    <row r="98" spans="1:51" s="53" customFormat="1" ht="13.5" thickTop="1" x14ac:dyDescent="0.2">
      <c r="A98" s="140"/>
      <c r="B98" s="129"/>
      <c r="C98" s="130"/>
      <c r="D98" s="138"/>
      <c r="E98" s="138"/>
      <c r="F98" s="138"/>
      <c r="G98" s="130"/>
      <c r="H98" s="139"/>
      <c r="I98" s="138"/>
      <c r="J98" s="138"/>
      <c r="K98" s="137"/>
      <c r="L98" s="130"/>
      <c r="M98" s="138"/>
      <c r="N98" s="138"/>
      <c r="O98" s="138"/>
      <c r="P98" s="138"/>
      <c r="Q98" s="138"/>
      <c r="R98" s="138"/>
      <c r="S98" s="138"/>
      <c r="T98" s="160"/>
      <c r="U98" s="138"/>
      <c r="V98" s="138"/>
      <c r="W98" s="842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Y98" s="127"/>
    </row>
    <row r="99" spans="1:51" s="53" customFormat="1" x14ac:dyDescent="0.2">
      <c r="A99" s="140"/>
      <c r="B99" s="144" t="s">
        <v>63</v>
      </c>
      <c r="C99" s="130"/>
      <c r="D99" s="138"/>
      <c r="E99" s="138"/>
      <c r="F99" s="138"/>
      <c r="G99" s="130"/>
      <c r="H99" s="139"/>
      <c r="I99" s="138"/>
      <c r="J99" s="138"/>
      <c r="K99" s="137"/>
      <c r="L99" s="130"/>
      <c r="M99" s="138"/>
      <c r="N99" s="138"/>
      <c r="O99" s="138"/>
      <c r="P99" s="138"/>
      <c r="Q99" s="138"/>
      <c r="R99" s="138"/>
      <c r="S99" s="138"/>
      <c r="T99" s="160"/>
      <c r="U99" s="138"/>
      <c r="V99" s="138"/>
      <c r="W99" s="842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Y99" s="127"/>
    </row>
    <row r="100" spans="1:51" s="53" customFormat="1" x14ac:dyDescent="0.2">
      <c r="A100" s="140"/>
      <c r="B100" s="129"/>
      <c r="C100" s="130"/>
      <c r="D100" s="138"/>
      <c r="E100" s="138"/>
      <c r="F100" s="138"/>
      <c r="G100" s="130"/>
      <c r="H100" s="139"/>
      <c r="I100" s="138"/>
      <c r="J100" s="138"/>
      <c r="K100" s="137"/>
      <c r="L100" s="130"/>
      <c r="M100" s="138"/>
      <c r="N100" s="138"/>
      <c r="O100" s="138"/>
      <c r="P100" s="138"/>
      <c r="Q100" s="138"/>
      <c r="R100" s="138"/>
      <c r="S100" s="138"/>
      <c r="T100" s="160"/>
      <c r="U100" s="138"/>
      <c r="V100" s="138"/>
      <c r="W100" s="842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Y100" s="127"/>
    </row>
    <row r="101" spans="1:51" s="53" customFormat="1" x14ac:dyDescent="0.2">
      <c r="A101" s="140"/>
      <c r="B101" s="144" t="s">
        <v>59</v>
      </c>
      <c r="C101" s="130"/>
      <c r="D101" s="138"/>
      <c r="E101" s="138"/>
      <c r="F101" s="138"/>
      <c r="G101" s="130"/>
      <c r="H101" s="139"/>
      <c r="I101" s="138"/>
      <c r="J101" s="138"/>
      <c r="K101" s="137"/>
      <c r="L101" s="130"/>
      <c r="M101" s="138"/>
      <c r="N101" s="138"/>
      <c r="O101" s="138"/>
      <c r="P101" s="138"/>
      <c r="Q101" s="138"/>
      <c r="R101" s="138"/>
      <c r="S101" s="138"/>
      <c r="T101" s="160"/>
      <c r="U101" s="138"/>
      <c r="V101" s="138"/>
      <c r="W101" s="842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Y101" s="127"/>
    </row>
    <row r="102" spans="1:51" s="53" customFormat="1" x14ac:dyDescent="0.2">
      <c r="A102" s="140"/>
      <c r="B102" s="129"/>
      <c r="C102" s="130"/>
      <c r="D102" s="138"/>
      <c r="E102" s="138"/>
      <c r="F102" s="138"/>
      <c r="G102" s="130"/>
      <c r="H102" s="139"/>
      <c r="I102" s="138"/>
      <c r="J102" s="138"/>
      <c r="K102" s="137"/>
      <c r="L102" s="130"/>
      <c r="M102" s="138"/>
      <c r="N102" s="138"/>
      <c r="O102" s="138"/>
      <c r="P102" s="138"/>
      <c r="Q102" s="138"/>
      <c r="R102" s="138"/>
      <c r="S102" s="138"/>
      <c r="T102" s="160"/>
      <c r="U102" s="138"/>
      <c r="V102" s="138"/>
      <c r="W102" s="84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Y102" s="127"/>
    </row>
    <row r="103" spans="1:51" s="53" customFormat="1" x14ac:dyDescent="0.2">
      <c r="A103" s="140">
        <f>'Plant &amp; Reserve'!$A103</f>
        <v>34144</v>
      </c>
      <c r="B103" s="130" t="str">
        <f>'Plant &amp; Reserve'!$B103</f>
        <v>BB CT No. 4</v>
      </c>
      <c r="C103" s="130"/>
      <c r="D103" s="138">
        <v>2.4999999999999996</v>
      </c>
      <c r="E103" s="138">
        <v>39</v>
      </c>
      <c r="F103" s="138">
        <v>37</v>
      </c>
      <c r="G103" s="130">
        <v>6.38</v>
      </c>
      <c r="H103" s="139">
        <v>-1</v>
      </c>
      <c r="I103" s="138">
        <v>2.6</v>
      </c>
      <c r="J103" s="138">
        <f t="shared" ref="J103:J108" si="30">IF(F103=0,0,ROUND(((100-H103-G103)/F103),1))-I103</f>
        <v>0</v>
      </c>
      <c r="K103" s="137"/>
      <c r="L103" s="130"/>
      <c r="M103" s="138">
        <f>'Big Bend CT #4'!$G$16</f>
        <v>10.441467166563919</v>
      </c>
      <c r="N103" s="830">
        <f t="shared" ref="N103:N129" si="31">ROUND(M103,1)</f>
        <v>10.4</v>
      </c>
      <c r="O103" s="138">
        <f>'Big Bend CT #4'!$I$16</f>
        <v>34.16149003980447</v>
      </c>
      <c r="P103" s="138">
        <f t="shared" ref="P103:P108" si="32">IF(O103&gt;20,ROUND(O103,0),ROUND(O103,1))</f>
        <v>34</v>
      </c>
      <c r="Q103" s="138">
        <f>'Big Bend CT #4'!$K$16</f>
        <v>23.688107222944982</v>
      </c>
      <c r="R103" s="138">
        <f t="shared" ref="R103:R108" si="33">IF(Q103&gt;20,ROUND(Q103,0),ROUND(Q103,1))</f>
        <v>24</v>
      </c>
      <c r="S103" s="130">
        <f>IF('Plant &amp; Reserve'!$D103=0,0,ROUND(('Plant &amp; Reserve'!$E103/'Plant &amp; Reserve'!$D103)*100,2))</f>
        <v>15.68</v>
      </c>
      <c r="T103" s="160">
        <f>ROUND(100*'Big Bend CT #4'!$O$16,0)</f>
        <v>-2</v>
      </c>
      <c r="U103" s="836">
        <f t="shared" ref="U103:U129" si="34">IF(Q103=0,0,ROUND(((100-T103-S103)/Q103),3))</f>
        <v>3.6440000000000001</v>
      </c>
      <c r="V103" s="138">
        <f t="shared" ref="V103:V108" si="35">IF(R103=0,0,ROUND(((100-T103-S103)/R103),1))</f>
        <v>3.6</v>
      </c>
      <c r="W103" s="842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Y103" s="127"/>
    </row>
    <row r="104" spans="1:51" s="53" customFormat="1" x14ac:dyDescent="0.2">
      <c r="A104" s="140">
        <f>'Plant &amp; Reserve'!$A104</f>
        <v>34244</v>
      </c>
      <c r="B104" s="130" t="str">
        <f>'Plant &amp; Reserve'!$B104</f>
        <v>BB CT No. 4</v>
      </c>
      <c r="C104" s="130"/>
      <c r="D104" s="138">
        <v>2.4999999999999996</v>
      </c>
      <c r="E104" s="138">
        <v>30</v>
      </c>
      <c r="F104" s="138">
        <v>27</v>
      </c>
      <c r="G104" s="130">
        <v>9.0500000000000007</v>
      </c>
      <c r="H104" s="139">
        <v>-6</v>
      </c>
      <c r="I104" s="138">
        <v>3.6</v>
      </c>
      <c r="J104" s="138">
        <f t="shared" si="30"/>
        <v>0</v>
      </c>
      <c r="K104" s="137"/>
      <c r="L104" s="130"/>
      <c r="M104" s="138">
        <f>'Big Bend CT #4'!$G$22</f>
        <v>10.406839090909552</v>
      </c>
      <c r="N104" s="830">
        <f t="shared" si="31"/>
        <v>10.4</v>
      </c>
      <c r="O104" s="138">
        <f>'Big Bend CT #4'!$I$22</f>
        <v>39.613638807040246</v>
      </c>
      <c r="P104" s="138">
        <f t="shared" si="32"/>
        <v>40</v>
      </c>
      <c r="Q104" s="138">
        <f>'Big Bend CT #4'!$K$22</f>
        <v>29.20694086546585</v>
      </c>
      <c r="R104" s="138">
        <f t="shared" si="33"/>
        <v>29</v>
      </c>
      <c r="S104" s="130">
        <f>IF('Plant &amp; Reserve'!$D104=0,0,ROUND(('Plant &amp; Reserve'!$E104/'Plant &amp; Reserve'!$D104)*100,2))</f>
        <v>28.32</v>
      </c>
      <c r="T104" s="160">
        <f>ROUND(100*'Big Bend CT #4'!$O$22,0)</f>
        <v>-5</v>
      </c>
      <c r="U104" s="836">
        <f t="shared" si="34"/>
        <v>2.625</v>
      </c>
      <c r="V104" s="138">
        <f t="shared" si="35"/>
        <v>2.6</v>
      </c>
      <c r="W104" s="842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Y104" s="127"/>
    </row>
    <row r="105" spans="1:51" s="53" customFormat="1" x14ac:dyDescent="0.2">
      <c r="A105" s="140">
        <f>'Plant &amp; Reserve'!$A105</f>
        <v>34344</v>
      </c>
      <c r="B105" s="130" t="str">
        <f>'Plant &amp; Reserve'!$B105</f>
        <v>BB CT No. 4</v>
      </c>
      <c r="C105" s="130"/>
      <c r="D105" s="138">
        <v>2.4999999999999996</v>
      </c>
      <c r="E105" s="138">
        <v>27</v>
      </c>
      <c r="F105" s="138">
        <v>24</v>
      </c>
      <c r="G105" s="130">
        <v>10.050000000000001</v>
      </c>
      <c r="H105" s="139">
        <v>-6</v>
      </c>
      <c r="I105" s="138">
        <v>4</v>
      </c>
      <c r="J105" s="138">
        <f t="shared" si="30"/>
        <v>0</v>
      </c>
      <c r="K105" s="137"/>
      <c r="L105" s="130"/>
      <c r="M105" s="138">
        <f>'Big Bend CT #4'!$G$28</f>
        <v>9.5402238599999993</v>
      </c>
      <c r="N105" s="830">
        <f t="shared" si="31"/>
        <v>9.5</v>
      </c>
      <c r="O105" s="138">
        <f>'Big Bend CT #4'!$I$28</f>
        <v>30.064131629999999</v>
      </c>
      <c r="P105" s="138">
        <f t="shared" si="32"/>
        <v>30</v>
      </c>
      <c r="Q105" s="138">
        <f>'Big Bend CT #4'!$K$28</f>
        <v>20.54686732</v>
      </c>
      <c r="R105" s="138">
        <f t="shared" si="33"/>
        <v>21</v>
      </c>
      <c r="S105" s="130">
        <f>IF('Plant &amp; Reserve'!$D105=0,0,ROUND(('Plant &amp; Reserve'!$E105/'Plant &amp; Reserve'!$D105)*100,2))</f>
        <v>41.33</v>
      </c>
      <c r="T105" s="160">
        <f>ROUND(100*'Big Bend CT #4'!$O$28,0)</f>
        <v>-7</v>
      </c>
      <c r="U105" s="836">
        <f t="shared" si="34"/>
        <v>3.1960000000000002</v>
      </c>
      <c r="V105" s="138">
        <f t="shared" si="35"/>
        <v>3.1</v>
      </c>
      <c r="W105" s="842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Y105" s="127"/>
    </row>
    <row r="106" spans="1:51" s="53" customFormat="1" x14ac:dyDescent="0.2">
      <c r="A106" s="140">
        <f>'Plant &amp; Reserve'!$A106</f>
        <v>34544</v>
      </c>
      <c r="B106" s="130" t="str">
        <f>'Plant &amp; Reserve'!$B106</f>
        <v>BB CT No. 4</v>
      </c>
      <c r="C106" s="130"/>
      <c r="D106" s="138">
        <v>2.5000000000000004</v>
      </c>
      <c r="E106" s="138">
        <v>27</v>
      </c>
      <c r="F106" s="138">
        <v>25</v>
      </c>
      <c r="G106" s="130">
        <v>10.23</v>
      </c>
      <c r="H106" s="139">
        <v>-11</v>
      </c>
      <c r="I106" s="138">
        <v>4</v>
      </c>
      <c r="J106" s="138">
        <f t="shared" si="30"/>
        <v>0</v>
      </c>
      <c r="K106" s="137"/>
      <c r="L106" s="130"/>
      <c r="M106" s="138">
        <f>'Big Bend CT #4'!$G$34</f>
        <v>10.46245691</v>
      </c>
      <c r="N106" s="830">
        <f t="shared" si="31"/>
        <v>10.5</v>
      </c>
      <c r="O106" s="138">
        <f>'Big Bend CT #4'!$I$34</f>
        <v>35.698222960000003</v>
      </c>
      <c r="P106" s="138">
        <f t="shared" si="32"/>
        <v>36</v>
      </c>
      <c r="Q106" s="138">
        <f>'Big Bend CT #4'!$K$34</f>
        <v>25.270621909999999</v>
      </c>
      <c r="R106" s="138">
        <f t="shared" si="33"/>
        <v>25</v>
      </c>
      <c r="S106" s="130">
        <f>IF('Plant &amp; Reserve'!$D106=0,0,ROUND(('Plant &amp; Reserve'!$E106/'Plant &amp; Reserve'!$D106)*100,2))</f>
        <v>35.04</v>
      </c>
      <c r="T106" s="160">
        <f>ROUND(100*'Big Bend CT #4'!$O$34,0)</f>
        <v>-5</v>
      </c>
      <c r="U106" s="836">
        <f t="shared" si="34"/>
        <v>2.7679999999999998</v>
      </c>
      <c r="V106" s="138">
        <f t="shared" si="35"/>
        <v>2.8</v>
      </c>
      <c r="W106" s="842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Y106" s="127"/>
    </row>
    <row r="107" spans="1:51" s="53" customFormat="1" x14ac:dyDescent="0.2">
      <c r="A107" s="140">
        <f>'Plant &amp; Reserve'!$A107</f>
        <v>34644</v>
      </c>
      <c r="B107" s="168" t="str">
        <f>'Plant &amp; Reserve'!$B107</f>
        <v>BB CT No. 4</v>
      </c>
      <c r="C107" s="130"/>
      <c r="D107" s="170">
        <v>0</v>
      </c>
      <c r="E107" s="170">
        <v>0</v>
      </c>
      <c r="F107" s="170">
        <v>0</v>
      </c>
      <c r="G107" s="168">
        <v>0</v>
      </c>
      <c r="H107" s="837">
        <v>0</v>
      </c>
      <c r="I107" s="170">
        <v>4</v>
      </c>
      <c r="J107" s="170">
        <f t="shared" si="30"/>
        <v>-4</v>
      </c>
      <c r="K107" s="137"/>
      <c r="L107" s="130"/>
      <c r="M107" s="170">
        <f>'Big Bend CT #4'!$G$40</f>
        <v>10.28747658</v>
      </c>
      <c r="N107" s="779">
        <f t="shared" si="31"/>
        <v>10.3</v>
      </c>
      <c r="O107" s="170">
        <f>'Big Bend CT #4'!$I$40</f>
        <v>33.887456190000002</v>
      </c>
      <c r="P107" s="170">
        <f t="shared" si="32"/>
        <v>34</v>
      </c>
      <c r="Q107" s="170">
        <f>'Big Bend CT #4'!$K$40</f>
        <v>23.57793496</v>
      </c>
      <c r="R107" s="170">
        <f t="shared" si="33"/>
        <v>24</v>
      </c>
      <c r="S107" s="168">
        <f>IF('Plant &amp; Reserve'!$D107=0,0,ROUND(('Plant &amp; Reserve'!$E107/'Plant &amp; Reserve'!$D107)*100,2))</f>
        <v>32.840000000000003</v>
      </c>
      <c r="T107" s="169">
        <f>ROUND(100*'Big Bend CT #4'!$O$40,0)</f>
        <v>-2</v>
      </c>
      <c r="U107" s="838">
        <f t="shared" si="34"/>
        <v>2.9329999999999998</v>
      </c>
      <c r="V107" s="170">
        <f t="shared" si="35"/>
        <v>2.9</v>
      </c>
      <c r="W107" s="842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Y107" s="127"/>
    </row>
    <row r="108" spans="1:51" s="53" customFormat="1" x14ac:dyDescent="0.2">
      <c r="A108" s="134"/>
      <c r="B108" s="125" t="s">
        <v>75</v>
      </c>
      <c r="C108" s="128"/>
      <c r="D108" s="177">
        <v>2.5</v>
      </c>
      <c r="E108" s="177">
        <v>28</v>
      </c>
      <c r="F108" s="177">
        <v>26</v>
      </c>
      <c r="G108" s="128">
        <v>27.41</v>
      </c>
      <c r="H108" s="820">
        <v>-6</v>
      </c>
      <c r="I108" s="177">
        <v>3</v>
      </c>
      <c r="J108" s="138">
        <f t="shared" si="30"/>
        <v>0</v>
      </c>
      <c r="K108" s="137"/>
      <c r="L108" s="130"/>
      <c r="M108" s="177">
        <f>'Big Bend CT #4'!$G$47</f>
        <v>10.00942635299576</v>
      </c>
      <c r="N108" s="845">
        <f t="shared" si="31"/>
        <v>10</v>
      </c>
      <c r="O108" s="177">
        <f>'Big Bend CT #4'!$I$47</f>
        <v>33.052283039646881</v>
      </c>
      <c r="P108" s="177">
        <f t="shared" si="32"/>
        <v>33</v>
      </c>
      <c r="Q108" s="177">
        <f>'Big Bend CT #4'!$K$47</f>
        <v>23.063835425184958</v>
      </c>
      <c r="R108" s="177">
        <f t="shared" si="33"/>
        <v>23</v>
      </c>
      <c r="S108" s="128">
        <f>IF('Plant &amp; Reserve'!$D108=0,0,ROUND(('Plant &amp; Reserve'!$E108/'Plant &amp; Reserve'!$D108)*100,2))</f>
        <v>36.1</v>
      </c>
      <c r="T108" s="175">
        <f>ROUND(100*'Big Bend CT #4'!$O$47,0)</f>
        <v>-6</v>
      </c>
      <c r="U108" s="836">
        <f t="shared" si="34"/>
        <v>3.0310000000000001</v>
      </c>
      <c r="V108" s="177">
        <f t="shared" si="35"/>
        <v>3</v>
      </c>
      <c r="W108" s="842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Y108" s="127"/>
    </row>
    <row r="109" spans="1:51" s="53" customFormat="1" x14ac:dyDescent="0.2">
      <c r="A109" s="140"/>
      <c r="B109" s="129"/>
      <c r="C109" s="130"/>
      <c r="D109" s="138"/>
      <c r="E109" s="138"/>
      <c r="F109" s="138"/>
      <c r="G109" s="130"/>
      <c r="H109" s="139"/>
      <c r="I109" s="138"/>
      <c r="J109" s="138"/>
      <c r="K109" s="137"/>
      <c r="L109" s="130"/>
      <c r="M109" s="138"/>
      <c r="N109" s="138"/>
      <c r="O109" s="138"/>
      <c r="P109" s="138"/>
      <c r="Q109" s="138"/>
      <c r="R109" s="138"/>
      <c r="S109" s="138"/>
      <c r="T109" s="160"/>
      <c r="U109" s="138"/>
      <c r="V109" s="138"/>
      <c r="W109" s="842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Y109" s="127"/>
    </row>
    <row r="110" spans="1:51" s="53" customFormat="1" x14ac:dyDescent="0.2">
      <c r="A110" s="140">
        <f>'Plant &amp; Reserve'!$A110</f>
        <v>34145</v>
      </c>
      <c r="B110" s="130" t="str">
        <f>'Plant &amp; Reserve'!$B110</f>
        <v>BB CT No. 5</v>
      </c>
      <c r="C110" s="130"/>
      <c r="D110" s="138"/>
      <c r="E110" s="138"/>
      <c r="F110" s="138"/>
      <c r="G110" s="130"/>
      <c r="H110" s="139"/>
      <c r="I110" s="138"/>
      <c r="J110" s="138"/>
      <c r="K110" s="137"/>
      <c r="L110" s="130"/>
      <c r="M110" s="138">
        <v>0</v>
      </c>
      <c r="N110" s="830">
        <f t="shared" si="31"/>
        <v>0</v>
      </c>
      <c r="O110" s="138">
        <v>35</v>
      </c>
      <c r="P110" s="138">
        <f t="shared" ref="P110:P115" si="36">IF(O110&gt;20,ROUND(O110,0),ROUND(O110,1))</f>
        <v>35</v>
      </c>
      <c r="Q110" s="138">
        <v>35</v>
      </c>
      <c r="R110" s="138">
        <f t="shared" ref="R110:R115" si="37">IF(Q110&gt;20,ROUND(Q110,0),ROUND(Q110,1))</f>
        <v>35</v>
      </c>
      <c r="S110" s="130">
        <f>IF('Plant &amp; Reserve'!$D110=0,0,ROUND(('Plant &amp; Reserve'!$E110/'Plant &amp; Reserve'!$D110)*100,2))</f>
        <v>0</v>
      </c>
      <c r="T110" s="139">
        <v>0</v>
      </c>
      <c r="U110" s="836">
        <f t="shared" si="34"/>
        <v>2.8570000000000002</v>
      </c>
      <c r="V110" s="138">
        <f t="shared" ref="V110:V115" si="38">IF(R110=0,0,ROUND(((100-T110-S110)/R110),1))</f>
        <v>2.9</v>
      </c>
      <c r="W110" s="842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Y110" s="127"/>
    </row>
    <row r="111" spans="1:51" s="53" customFormat="1" x14ac:dyDescent="0.2">
      <c r="A111" s="140">
        <f>'Plant &amp; Reserve'!$A111</f>
        <v>34245</v>
      </c>
      <c r="B111" s="130" t="str">
        <f>'Plant &amp; Reserve'!$B111</f>
        <v>BB CT No. 5</v>
      </c>
      <c r="C111" s="130"/>
      <c r="D111" s="138"/>
      <c r="E111" s="138"/>
      <c r="F111" s="138"/>
      <c r="G111" s="138" t="s">
        <v>1155</v>
      </c>
      <c r="H111" s="139"/>
      <c r="I111" s="138"/>
      <c r="J111" s="138"/>
      <c r="K111" s="137"/>
      <c r="L111" s="130"/>
      <c r="M111" s="138">
        <v>0</v>
      </c>
      <c r="N111" s="830">
        <f t="shared" si="31"/>
        <v>0</v>
      </c>
      <c r="O111" s="138">
        <v>35</v>
      </c>
      <c r="P111" s="138">
        <f t="shared" si="36"/>
        <v>35</v>
      </c>
      <c r="Q111" s="138">
        <v>35</v>
      </c>
      <c r="R111" s="138">
        <f t="shared" si="37"/>
        <v>35</v>
      </c>
      <c r="S111" s="130">
        <f>IF('Plant &amp; Reserve'!$D111=0,0,ROUND(('Plant &amp; Reserve'!$E111/'Plant &amp; Reserve'!$D111)*100,2))</f>
        <v>0</v>
      </c>
      <c r="T111" s="139">
        <v>0</v>
      </c>
      <c r="U111" s="836">
        <f t="shared" si="34"/>
        <v>2.8570000000000002</v>
      </c>
      <c r="V111" s="138">
        <f t="shared" si="38"/>
        <v>2.9</v>
      </c>
      <c r="W111" s="842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Y111" s="127"/>
    </row>
    <row r="112" spans="1:51" s="53" customFormat="1" x14ac:dyDescent="0.2">
      <c r="A112" s="140">
        <f>'Plant &amp; Reserve'!$A112</f>
        <v>34345</v>
      </c>
      <c r="B112" s="130" t="str">
        <f>'Plant &amp; Reserve'!$B112</f>
        <v>BB CT No. 5</v>
      </c>
      <c r="C112" s="130"/>
      <c r="D112" s="138"/>
      <c r="E112" s="138"/>
      <c r="F112" s="138"/>
      <c r="G112" s="130" t="s">
        <v>1154</v>
      </c>
      <c r="H112" s="139"/>
      <c r="I112" s="138"/>
      <c r="J112" s="138"/>
      <c r="K112" s="137"/>
      <c r="L112" s="130"/>
      <c r="M112" s="138">
        <v>0</v>
      </c>
      <c r="N112" s="830">
        <f t="shared" si="31"/>
        <v>0</v>
      </c>
      <c r="O112" s="138">
        <v>35</v>
      </c>
      <c r="P112" s="138">
        <f t="shared" si="36"/>
        <v>35</v>
      </c>
      <c r="Q112" s="138">
        <v>35</v>
      </c>
      <c r="R112" s="138">
        <f t="shared" si="37"/>
        <v>35</v>
      </c>
      <c r="S112" s="130">
        <f>IF('Plant &amp; Reserve'!$D112=0,0,ROUND(('Plant &amp; Reserve'!$E112/'Plant &amp; Reserve'!$D112)*100,2))</f>
        <v>0</v>
      </c>
      <c r="T112" s="139">
        <v>0</v>
      </c>
      <c r="U112" s="836">
        <f t="shared" si="34"/>
        <v>2.8570000000000002</v>
      </c>
      <c r="V112" s="138">
        <f t="shared" si="38"/>
        <v>2.9</v>
      </c>
      <c r="W112" s="84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Y112" s="127"/>
    </row>
    <row r="113" spans="1:51" s="53" customFormat="1" x14ac:dyDescent="0.2">
      <c r="A113" s="140">
        <f>'Plant &amp; Reserve'!$A113</f>
        <v>34545</v>
      </c>
      <c r="B113" s="130" t="str">
        <f>'Plant &amp; Reserve'!$B113</f>
        <v>BB CT No. 5</v>
      </c>
      <c r="C113" s="130"/>
      <c r="D113" s="138"/>
      <c r="E113" s="138"/>
      <c r="F113" s="840"/>
      <c r="G113" s="138" t="s">
        <v>1165</v>
      </c>
      <c r="H113" s="139"/>
      <c r="I113" s="138"/>
      <c r="J113" s="138"/>
      <c r="K113" s="137"/>
      <c r="L113" s="130"/>
      <c r="M113" s="138">
        <v>0</v>
      </c>
      <c r="N113" s="830">
        <f t="shared" si="31"/>
        <v>0</v>
      </c>
      <c r="O113" s="138">
        <v>35</v>
      </c>
      <c r="P113" s="138">
        <f t="shared" si="36"/>
        <v>35</v>
      </c>
      <c r="Q113" s="138">
        <v>35</v>
      </c>
      <c r="R113" s="138">
        <f t="shared" si="37"/>
        <v>35</v>
      </c>
      <c r="S113" s="130">
        <f>IF('Plant &amp; Reserve'!$D113=0,0,ROUND(('Plant &amp; Reserve'!$E113/'Plant &amp; Reserve'!$D113)*100,2))</f>
        <v>0</v>
      </c>
      <c r="T113" s="139">
        <v>0</v>
      </c>
      <c r="U113" s="836">
        <f t="shared" si="34"/>
        <v>2.8570000000000002</v>
      </c>
      <c r="V113" s="138">
        <f t="shared" si="38"/>
        <v>2.9</v>
      </c>
      <c r="W113" s="842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Y113" s="127"/>
    </row>
    <row r="114" spans="1:51" s="53" customFormat="1" x14ac:dyDescent="0.2">
      <c r="A114" s="140">
        <f>'Plant &amp; Reserve'!$A114</f>
        <v>34645</v>
      </c>
      <c r="B114" s="168" t="str">
        <f>'Plant &amp; Reserve'!$B114</f>
        <v>BB CT No. 5</v>
      </c>
      <c r="C114" s="130"/>
      <c r="D114" s="170"/>
      <c r="E114" s="170"/>
      <c r="F114" s="170"/>
      <c r="G114" s="168"/>
      <c r="H114" s="837"/>
      <c r="I114" s="170"/>
      <c r="J114" s="170"/>
      <c r="K114" s="137"/>
      <c r="L114" s="130"/>
      <c r="M114" s="170">
        <v>0</v>
      </c>
      <c r="N114" s="779">
        <f t="shared" si="31"/>
        <v>0</v>
      </c>
      <c r="O114" s="170">
        <v>35</v>
      </c>
      <c r="P114" s="170">
        <f t="shared" si="36"/>
        <v>35</v>
      </c>
      <c r="Q114" s="170">
        <v>35</v>
      </c>
      <c r="R114" s="170">
        <f t="shared" si="37"/>
        <v>35</v>
      </c>
      <c r="S114" s="168">
        <f>IF('Plant &amp; Reserve'!$D114=0,0,ROUND(('Plant &amp; Reserve'!$E114/'Plant &amp; Reserve'!$D114)*100,2))</f>
        <v>0</v>
      </c>
      <c r="T114" s="837">
        <v>0</v>
      </c>
      <c r="U114" s="838">
        <f t="shared" si="34"/>
        <v>2.8570000000000002</v>
      </c>
      <c r="V114" s="170">
        <f t="shared" si="38"/>
        <v>2.9</v>
      </c>
      <c r="W114" s="842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Y114" s="127"/>
    </row>
    <row r="115" spans="1:51" s="53" customFormat="1" x14ac:dyDescent="0.2">
      <c r="A115" s="134"/>
      <c r="B115" s="125" t="s">
        <v>75</v>
      </c>
      <c r="C115" s="128"/>
      <c r="D115" s="177"/>
      <c r="E115" s="177"/>
      <c r="F115" s="177"/>
      <c r="G115" s="128"/>
      <c r="H115" s="820"/>
      <c r="I115" s="177"/>
      <c r="J115" s="177"/>
      <c r="K115" s="137"/>
      <c r="L115" s="130"/>
      <c r="M115" s="177">
        <v>0</v>
      </c>
      <c r="N115" s="845">
        <f t="shared" si="31"/>
        <v>0</v>
      </c>
      <c r="O115" s="177">
        <v>35</v>
      </c>
      <c r="P115" s="177">
        <f t="shared" si="36"/>
        <v>35</v>
      </c>
      <c r="Q115" s="177">
        <v>35</v>
      </c>
      <c r="R115" s="177">
        <f t="shared" si="37"/>
        <v>35</v>
      </c>
      <c r="S115" s="128">
        <f>IF('Plant &amp; Reserve'!$D115=0,0,ROUND(('Plant &amp; Reserve'!$E115/'Plant &amp; Reserve'!$D115)*100,2))</f>
        <v>0</v>
      </c>
      <c r="T115" s="820">
        <v>0</v>
      </c>
      <c r="U115" s="836">
        <f t="shared" si="34"/>
        <v>2.8570000000000002</v>
      </c>
      <c r="V115" s="177">
        <f t="shared" si="38"/>
        <v>2.9</v>
      </c>
      <c r="W115" s="842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Y115" s="127"/>
    </row>
    <row r="116" spans="1:51" s="53" customFormat="1" x14ac:dyDescent="0.2">
      <c r="A116" s="140"/>
      <c r="B116" s="129"/>
      <c r="C116" s="130"/>
      <c r="D116" s="138"/>
      <c r="E116" s="138"/>
      <c r="F116" s="138"/>
      <c r="G116" s="130"/>
      <c r="H116" s="139"/>
      <c r="I116" s="138"/>
      <c r="J116" s="138"/>
      <c r="K116" s="137"/>
      <c r="L116" s="130"/>
      <c r="M116" s="138"/>
      <c r="N116" s="138"/>
      <c r="O116" s="138"/>
      <c r="P116" s="138"/>
      <c r="Q116" s="138"/>
      <c r="R116" s="138"/>
      <c r="S116" s="138"/>
      <c r="T116" s="160"/>
      <c r="U116" s="138"/>
      <c r="V116" s="138"/>
      <c r="W116" s="842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Y116" s="127"/>
    </row>
    <row r="117" spans="1:51" s="53" customFormat="1" x14ac:dyDescent="0.2">
      <c r="A117" s="140">
        <f>'Plant &amp; Reserve'!$A117</f>
        <v>34146</v>
      </c>
      <c r="B117" s="130" t="str">
        <f>'Plant &amp; Reserve'!$B117</f>
        <v>BB CT No. 6</v>
      </c>
      <c r="C117" s="130"/>
      <c r="D117" s="138"/>
      <c r="E117" s="138"/>
      <c r="F117" s="138"/>
      <c r="G117" s="130"/>
      <c r="H117" s="139"/>
      <c r="I117" s="138"/>
      <c r="J117" s="138"/>
      <c r="K117" s="137"/>
      <c r="L117" s="130"/>
      <c r="M117" s="138">
        <v>0</v>
      </c>
      <c r="N117" s="830">
        <f t="shared" si="31"/>
        <v>0</v>
      </c>
      <c r="O117" s="138">
        <v>35</v>
      </c>
      <c r="P117" s="138">
        <f t="shared" ref="P117:P122" si="39">IF(O117&gt;20,ROUND(O117,0),ROUND(O117,1))</f>
        <v>35</v>
      </c>
      <c r="Q117" s="138">
        <v>35</v>
      </c>
      <c r="R117" s="138">
        <f t="shared" ref="R117:R122" si="40">IF(Q117&gt;20,ROUND(Q117,0),ROUND(Q117,1))</f>
        <v>35</v>
      </c>
      <c r="S117" s="130">
        <f>IF('Plant &amp; Reserve'!$D117=0,0,ROUND(('Plant &amp; Reserve'!$E117/'Plant &amp; Reserve'!$D117)*100,2))</f>
        <v>0</v>
      </c>
      <c r="T117" s="139">
        <v>0</v>
      </c>
      <c r="U117" s="836">
        <f t="shared" si="34"/>
        <v>2.8570000000000002</v>
      </c>
      <c r="V117" s="138">
        <f t="shared" ref="V117:V122" si="41">IF(R117=0,0,ROUND(((100-T117-S117)/R117),1))</f>
        <v>2.9</v>
      </c>
      <c r="W117" s="842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Y117" s="127"/>
    </row>
    <row r="118" spans="1:51" s="53" customFormat="1" x14ac:dyDescent="0.2">
      <c r="A118" s="140">
        <f>'Plant &amp; Reserve'!$A118</f>
        <v>34246</v>
      </c>
      <c r="B118" s="130" t="str">
        <f>'Plant &amp; Reserve'!$B118</f>
        <v>BB CT No. 6</v>
      </c>
      <c r="C118" s="130"/>
      <c r="D118" s="138"/>
      <c r="E118" s="138"/>
      <c r="F118" s="138"/>
      <c r="G118" s="138" t="s">
        <v>1155</v>
      </c>
      <c r="H118" s="139"/>
      <c r="I118" s="138"/>
      <c r="J118" s="138"/>
      <c r="K118" s="137"/>
      <c r="L118" s="130"/>
      <c r="M118" s="138">
        <v>0</v>
      </c>
      <c r="N118" s="830">
        <f t="shared" si="31"/>
        <v>0</v>
      </c>
      <c r="O118" s="138">
        <v>35</v>
      </c>
      <c r="P118" s="138">
        <f t="shared" si="39"/>
        <v>35</v>
      </c>
      <c r="Q118" s="138">
        <v>35</v>
      </c>
      <c r="R118" s="138">
        <f t="shared" si="40"/>
        <v>35</v>
      </c>
      <c r="S118" s="130">
        <f>IF('Plant &amp; Reserve'!$D118=0,0,ROUND(('Plant &amp; Reserve'!$E118/'Plant &amp; Reserve'!$D118)*100,2))</f>
        <v>0</v>
      </c>
      <c r="T118" s="139">
        <v>0</v>
      </c>
      <c r="U118" s="836">
        <f t="shared" si="34"/>
        <v>2.8570000000000002</v>
      </c>
      <c r="V118" s="138">
        <f t="shared" si="41"/>
        <v>2.9</v>
      </c>
      <c r="W118" s="842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Y118" s="127"/>
    </row>
    <row r="119" spans="1:51" s="53" customFormat="1" x14ac:dyDescent="0.2">
      <c r="A119" s="140">
        <f>'Plant &amp; Reserve'!$A119</f>
        <v>34346</v>
      </c>
      <c r="B119" s="130" t="str">
        <f>'Plant &amp; Reserve'!$B119</f>
        <v>BB CT No. 6</v>
      </c>
      <c r="C119" s="130"/>
      <c r="D119" s="138"/>
      <c r="E119" s="138"/>
      <c r="F119" s="138"/>
      <c r="G119" s="130" t="s">
        <v>1154</v>
      </c>
      <c r="H119" s="139"/>
      <c r="I119" s="138"/>
      <c r="J119" s="138"/>
      <c r="K119" s="137"/>
      <c r="L119" s="130"/>
      <c r="M119" s="138">
        <v>0</v>
      </c>
      <c r="N119" s="830">
        <f t="shared" si="31"/>
        <v>0</v>
      </c>
      <c r="O119" s="138">
        <v>35</v>
      </c>
      <c r="P119" s="138">
        <f t="shared" si="39"/>
        <v>35</v>
      </c>
      <c r="Q119" s="138">
        <v>35</v>
      </c>
      <c r="R119" s="138">
        <f t="shared" si="40"/>
        <v>35</v>
      </c>
      <c r="S119" s="130">
        <f>IF('Plant &amp; Reserve'!$D119=0,0,ROUND(('Plant &amp; Reserve'!$E119/'Plant &amp; Reserve'!$D119)*100,2))</f>
        <v>0</v>
      </c>
      <c r="T119" s="139">
        <v>0</v>
      </c>
      <c r="U119" s="836">
        <f t="shared" si="34"/>
        <v>2.8570000000000002</v>
      </c>
      <c r="V119" s="138">
        <f t="shared" si="41"/>
        <v>2.9</v>
      </c>
      <c r="W119" s="842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Y119" s="127"/>
    </row>
    <row r="120" spans="1:51" s="53" customFormat="1" x14ac:dyDescent="0.2">
      <c r="A120" s="140">
        <f>'Plant &amp; Reserve'!$A120</f>
        <v>34546</v>
      </c>
      <c r="B120" s="130" t="str">
        <f>'Plant &amp; Reserve'!$B120</f>
        <v>BB CT No. 6</v>
      </c>
      <c r="C120" s="130"/>
      <c r="D120" s="138"/>
      <c r="E120" s="138"/>
      <c r="F120" s="138"/>
      <c r="G120" s="138" t="s">
        <v>1165</v>
      </c>
      <c r="H120" s="139"/>
      <c r="I120" s="138"/>
      <c r="J120" s="138"/>
      <c r="K120" s="137"/>
      <c r="L120" s="130"/>
      <c r="M120" s="138">
        <v>0</v>
      </c>
      <c r="N120" s="830">
        <f t="shared" si="31"/>
        <v>0</v>
      </c>
      <c r="O120" s="138">
        <v>35</v>
      </c>
      <c r="P120" s="138">
        <f t="shared" si="39"/>
        <v>35</v>
      </c>
      <c r="Q120" s="138">
        <v>35</v>
      </c>
      <c r="R120" s="138">
        <f t="shared" si="40"/>
        <v>35</v>
      </c>
      <c r="S120" s="130">
        <f>IF('Plant &amp; Reserve'!$D120=0,0,ROUND(('Plant &amp; Reserve'!$E120/'Plant &amp; Reserve'!$D120)*100,2))</f>
        <v>0</v>
      </c>
      <c r="T120" s="139">
        <v>0</v>
      </c>
      <c r="U120" s="836">
        <f t="shared" si="34"/>
        <v>2.8570000000000002</v>
      </c>
      <c r="V120" s="138">
        <f t="shared" si="41"/>
        <v>2.9</v>
      </c>
      <c r="W120" s="842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Y120" s="127"/>
    </row>
    <row r="121" spans="1:51" s="53" customFormat="1" x14ac:dyDescent="0.2">
      <c r="A121" s="140">
        <f>'Plant &amp; Reserve'!$A121</f>
        <v>34646</v>
      </c>
      <c r="B121" s="168" t="str">
        <f>'Plant &amp; Reserve'!$B121</f>
        <v>BB CT No. 6</v>
      </c>
      <c r="C121" s="130"/>
      <c r="D121" s="170"/>
      <c r="E121" s="170"/>
      <c r="F121" s="170"/>
      <c r="G121" s="168"/>
      <c r="H121" s="837"/>
      <c r="I121" s="170"/>
      <c r="J121" s="170"/>
      <c r="K121" s="137"/>
      <c r="L121" s="130"/>
      <c r="M121" s="170">
        <v>0</v>
      </c>
      <c r="N121" s="779">
        <f t="shared" si="31"/>
        <v>0</v>
      </c>
      <c r="O121" s="170">
        <v>35</v>
      </c>
      <c r="P121" s="170">
        <f t="shared" si="39"/>
        <v>35</v>
      </c>
      <c r="Q121" s="170">
        <v>35</v>
      </c>
      <c r="R121" s="170">
        <f t="shared" si="40"/>
        <v>35</v>
      </c>
      <c r="S121" s="168">
        <f>IF('Plant &amp; Reserve'!$D121=0,0,ROUND(('Plant &amp; Reserve'!$E121/'Plant &amp; Reserve'!$D121)*100,2))</f>
        <v>0</v>
      </c>
      <c r="T121" s="837">
        <v>0</v>
      </c>
      <c r="U121" s="838">
        <f t="shared" si="34"/>
        <v>2.8570000000000002</v>
      </c>
      <c r="V121" s="170">
        <f t="shared" si="41"/>
        <v>2.9</v>
      </c>
      <c r="W121" s="842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Y121" s="127"/>
    </row>
    <row r="122" spans="1:51" s="53" customFormat="1" x14ac:dyDescent="0.2">
      <c r="A122" s="134"/>
      <c r="B122" s="125" t="s">
        <v>75</v>
      </c>
      <c r="C122" s="128"/>
      <c r="D122" s="177"/>
      <c r="E122" s="177"/>
      <c r="F122" s="177"/>
      <c r="G122" s="128"/>
      <c r="H122" s="820"/>
      <c r="I122" s="177"/>
      <c r="J122" s="177"/>
      <c r="K122" s="137"/>
      <c r="L122" s="130"/>
      <c r="M122" s="177">
        <v>0</v>
      </c>
      <c r="N122" s="845">
        <f t="shared" si="31"/>
        <v>0</v>
      </c>
      <c r="O122" s="177">
        <v>35</v>
      </c>
      <c r="P122" s="177">
        <f t="shared" si="39"/>
        <v>35</v>
      </c>
      <c r="Q122" s="177">
        <v>35</v>
      </c>
      <c r="R122" s="177">
        <f t="shared" si="40"/>
        <v>35</v>
      </c>
      <c r="S122" s="128">
        <f>IF('Plant &amp; Reserve'!$D122=0,0,ROUND(('Plant &amp; Reserve'!$E122/'Plant &amp; Reserve'!$D122)*100,2))</f>
        <v>0</v>
      </c>
      <c r="T122" s="820">
        <v>0</v>
      </c>
      <c r="U122" s="836">
        <f t="shared" si="34"/>
        <v>2.8570000000000002</v>
      </c>
      <c r="V122" s="177">
        <f t="shared" si="41"/>
        <v>2.9</v>
      </c>
      <c r="W122" s="84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Y122" s="127"/>
    </row>
    <row r="123" spans="1:51" s="53" customFormat="1" x14ac:dyDescent="0.2">
      <c r="A123" s="140"/>
      <c r="B123" s="129"/>
      <c r="C123" s="130"/>
      <c r="D123" s="138"/>
      <c r="E123" s="138"/>
      <c r="F123" s="138"/>
      <c r="G123" s="130"/>
      <c r="H123" s="139"/>
      <c r="I123" s="138"/>
      <c r="J123" s="138"/>
      <c r="K123" s="137"/>
      <c r="L123" s="130"/>
      <c r="M123" s="138"/>
      <c r="N123" s="138"/>
      <c r="O123" s="138"/>
      <c r="P123" s="138"/>
      <c r="Q123" s="138"/>
      <c r="R123" s="138"/>
      <c r="S123" s="138"/>
      <c r="T123" s="160"/>
      <c r="U123" s="138"/>
      <c r="V123" s="138"/>
      <c r="W123" s="842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Y123" s="127"/>
    </row>
    <row r="124" spans="1:51" s="53" customFormat="1" x14ac:dyDescent="0.2">
      <c r="A124" s="140">
        <f>'Plant &amp; Reserve'!$A124</f>
        <v>34143</v>
      </c>
      <c r="B124" s="130" t="str">
        <f>'Plant &amp; Reserve'!$B124</f>
        <v>BB CCST for CT 5-6</v>
      </c>
      <c r="C124" s="130"/>
      <c r="D124" s="138"/>
      <c r="E124" s="138"/>
      <c r="F124" s="138"/>
      <c r="G124" s="130"/>
      <c r="H124" s="139"/>
      <c r="I124" s="138"/>
      <c r="J124" s="138"/>
      <c r="K124" s="137"/>
      <c r="L124" s="130"/>
      <c r="M124" s="138">
        <v>0</v>
      </c>
      <c r="N124" s="830">
        <f t="shared" si="31"/>
        <v>0</v>
      </c>
      <c r="O124" s="138">
        <v>35</v>
      </c>
      <c r="P124" s="138">
        <f t="shared" ref="P124:P129" si="42">IF(O124&gt;20,ROUND(O124,0),ROUND(O124,1))</f>
        <v>35</v>
      </c>
      <c r="Q124" s="138">
        <v>35</v>
      </c>
      <c r="R124" s="138">
        <f t="shared" ref="R124:R129" si="43">IF(Q124&gt;20,ROUND(Q124,0),ROUND(Q124,1))</f>
        <v>35</v>
      </c>
      <c r="S124" s="130">
        <f>IF('Plant &amp; Reserve'!$D124=0,0,ROUND(('Plant &amp; Reserve'!$E124/'Plant &amp; Reserve'!$D124)*100,2))</f>
        <v>0</v>
      </c>
      <c r="T124" s="139">
        <v>0</v>
      </c>
      <c r="U124" s="836">
        <f t="shared" si="34"/>
        <v>2.8570000000000002</v>
      </c>
      <c r="V124" s="138">
        <f t="shared" ref="V124:V129" si="44">IF(R124=0,0,ROUND(((100-T124-S124)/R124),1))</f>
        <v>2.9</v>
      </c>
      <c r="W124" s="842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Y124" s="127"/>
    </row>
    <row r="125" spans="1:51" s="53" customFormat="1" x14ac:dyDescent="0.2">
      <c r="A125" s="140">
        <f>'Plant &amp; Reserve'!$A125</f>
        <v>34243</v>
      </c>
      <c r="B125" s="130" t="str">
        <f>'Plant &amp; Reserve'!$B125</f>
        <v>BB CCST for CT 5-6</v>
      </c>
      <c r="C125" s="130"/>
      <c r="D125" s="138"/>
      <c r="E125" s="138"/>
      <c r="F125" s="138"/>
      <c r="G125" s="138" t="s">
        <v>1155</v>
      </c>
      <c r="H125" s="139"/>
      <c r="I125" s="138"/>
      <c r="J125" s="138"/>
      <c r="K125" s="137"/>
      <c r="L125" s="130"/>
      <c r="M125" s="138">
        <v>0</v>
      </c>
      <c r="N125" s="830">
        <f t="shared" si="31"/>
        <v>0</v>
      </c>
      <c r="O125" s="138">
        <v>35</v>
      </c>
      <c r="P125" s="138">
        <f t="shared" si="42"/>
        <v>35</v>
      </c>
      <c r="Q125" s="138">
        <v>35</v>
      </c>
      <c r="R125" s="138">
        <f t="shared" si="43"/>
        <v>35</v>
      </c>
      <c r="S125" s="130">
        <f>IF('Plant &amp; Reserve'!$D125=0,0,ROUND(('Plant &amp; Reserve'!$E125/'Plant &amp; Reserve'!$D125)*100,2))</f>
        <v>0</v>
      </c>
      <c r="T125" s="139">
        <v>0</v>
      </c>
      <c r="U125" s="836">
        <f t="shared" si="34"/>
        <v>2.8570000000000002</v>
      </c>
      <c r="V125" s="138">
        <f t="shared" si="44"/>
        <v>2.9</v>
      </c>
      <c r="W125" s="842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Y125" s="127"/>
    </row>
    <row r="126" spans="1:51" s="53" customFormat="1" x14ac:dyDescent="0.2">
      <c r="A126" s="140">
        <f>'Plant &amp; Reserve'!$A126</f>
        <v>34343</v>
      </c>
      <c r="B126" s="130" t="str">
        <f>'Plant &amp; Reserve'!$B126</f>
        <v>BB CCST for CT 5-6</v>
      </c>
      <c r="C126" s="130"/>
      <c r="D126" s="138"/>
      <c r="E126" s="138"/>
      <c r="F126" s="138"/>
      <c r="G126" s="130" t="s">
        <v>1154</v>
      </c>
      <c r="H126" s="139"/>
      <c r="I126" s="138"/>
      <c r="J126" s="138"/>
      <c r="K126" s="137"/>
      <c r="L126" s="130"/>
      <c r="M126" s="138">
        <v>0</v>
      </c>
      <c r="N126" s="830">
        <f t="shared" si="31"/>
        <v>0</v>
      </c>
      <c r="O126" s="138">
        <v>35</v>
      </c>
      <c r="P126" s="138">
        <f t="shared" si="42"/>
        <v>35</v>
      </c>
      <c r="Q126" s="138">
        <v>35</v>
      </c>
      <c r="R126" s="138">
        <f t="shared" si="43"/>
        <v>35</v>
      </c>
      <c r="S126" s="130">
        <f>IF('Plant &amp; Reserve'!$D126=0,0,ROUND(('Plant &amp; Reserve'!$E126/'Plant &amp; Reserve'!$D126)*100,2))</f>
        <v>0</v>
      </c>
      <c r="T126" s="139">
        <v>0</v>
      </c>
      <c r="U126" s="836">
        <f t="shared" si="34"/>
        <v>2.8570000000000002</v>
      </c>
      <c r="V126" s="138">
        <f t="shared" si="44"/>
        <v>2.9</v>
      </c>
      <c r="W126" s="842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Y126" s="127"/>
    </row>
    <row r="127" spans="1:51" s="53" customFormat="1" x14ac:dyDescent="0.2">
      <c r="A127" s="140">
        <f>'Plant &amp; Reserve'!$A127</f>
        <v>34543</v>
      </c>
      <c r="B127" s="130" t="str">
        <f>'Plant &amp; Reserve'!$B127</f>
        <v>BB CCST for CT 5-6</v>
      </c>
      <c r="C127" s="130"/>
      <c r="D127" s="138"/>
      <c r="E127" s="138"/>
      <c r="F127" s="138"/>
      <c r="G127" s="138" t="s">
        <v>1165</v>
      </c>
      <c r="H127" s="139"/>
      <c r="I127" s="138"/>
      <c r="J127" s="138"/>
      <c r="K127" s="137"/>
      <c r="L127" s="130"/>
      <c r="M127" s="138">
        <v>0</v>
      </c>
      <c r="N127" s="830">
        <f t="shared" si="31"/>
        <v>0</v>
      </c>
      <c r="O127" s="138">
        <v>35</v>
      </c>
      <c r="P127" s="138">
        <f t="shared" si="42"/>
        <v>35</v>
      </c>
      <c r="Q127" s="138">
        <v>35</v>
      </c>
      <c r="R127" s="138">
        <f t="shared" si="43"/>
        <v>35</v>
      </c>
      <c r="S127" s="130">
        <f>IF('Plant &amp; Reserve'!$D127=0,0,ROUND(('Plant &amp; Reserve'!$E127/'Plant &amp; Reserve'!$D127)*100,2))</f>
        <v>0</v>
      </c>
      <c r="T127" s="139">
        <v>0</v>
      </c>
      <c r="U127" s="836">
        <f t="shared" si="34"/>
        <v>2.8570000000000002</v>
      </c>
      <c r="V127" s="138">
        <f t="shared" si="44"/>
        <v>2.9</v>
      </c>
      <c r="W127" s="842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Y127" s="127"/>
    </row>
    <row r="128" spans="1:51" s="53" customFormat="1" x14ac:dyDescent="0.2">
      <c r="A128" s="140">
        <f>'Plant &amp; Reserve'!$A128</f>
        <v>34643</v>
      </c>
      <c r="B128" s="168" t="str">
        <f>'Plant &amp; Reserve'!$B128</f>
        <v>BB CCST for CT 5-6</v>
      </c>
      <c r="C128" s="130"/>
      <c r="D128" s="170"/>
      <c r="E128" s="170"/>
      <c r="F128" s="170"/>
      <c r="G128" s="168"/>
      <c r="H128" s="837"/>
      <c r="I128" s="170"/>
      <c r="J128" s="170"/>
      <c r="K128" s="137"/>
      <c r="L128" s="130"/>
      <c r="M128" s="170">
        <v>0</v>
      </c>
      <c r="N128" s="779">
        <f t="shared" si="31"/>
        <v>0</v>
      </c>
      <c r="O128" s="170">
        <v>35</v>
      </c>
      <c r="P128" s="170">
        <f t="shared" si="42"/>
        <v>35</v>
      </c>
      <c r="Q128" s="170">
        <v>35</v>
      </c>
      <c r="R128" s="170">
        <f t="shared" si="43"/>
        <v>35</v>
      </c>
      <c r="S128" s="168">
        <f>IF('Plant &amp; Reserve'!$D128=0,0,ROUND(('Plant &amp; Reserve'!$E128/'Plant &amp; Reserve'!$D128)*100,2))</f>
        <v>0</v>
      </c>
      <c r="T128" s="837">
        <v>0</v>
      </c>
      <c r="U128" s="838">
        <f t="shared" si="34"/>
        <v>2.8570000000000002</v>
      </c>
      <c r="V128" s="170">
        <f t="shared" si="44"/>
        <v>2.9</v>
      </c>
      <c r="W128" s="842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Y128" s="127"/>
    </row>
    <row r="129" spans="1:51" s="53" customFormat="1" x14ac:dyDescent="0.2">
      <c r="A129" s="134"/>
      <c r="B129" s="125" t="s">
        <v>75</v>
      </c>
      <c r="C129" s="128"/>
      <c r="D129" s="177"/>
      <c r="E129" s="177"/>
      <c r="F129" s="177"/>
      <c r="G129" s="128"/>
      <c r="H129" s="820"/>
      <c r="I129" s="177"/>
      <c r="J129" s="177"/>
      <c r="K129" s="137"/>
      <c r="L129" s="130"/>
      <c r="M129" s="177">
        <v>0</v>
      </c>
      <c r="N129" s="845">
        <f t="shared" si="31"/>
        <v>0</v>
      </c>
      <c r="O129" s="177">
        <v>35</v>
      </c>
      <c r="P129" s="177">
        <f t="shared" si="42"/>
        <v>35</v>
      </c>
      <c r="Q129" s="177">
        <v>35</v>
      </c>
      <c r="R129" s="177">
        <f t="shared" si="43"/>
        <v>35</v>
      </c>
      <c r="S129" s="128">
        <f>IF('Plant &amp; Reserve'!$D129=0,0,ROUND(('Plant &amp; Reserve'!$E129/'Plant &amp; Reserve'!$D129)*100,2))</f>
        <v>0</v>
      </c>
      <c r="T129" s="820">
        <v>0</v>
      </c>
      <c r="U129" s="836">
        <f t="shared" si="34"/>
        <v>2.8570000000000002</v>
      </c>
      <c r="V129" s="177">
        <f t="shared" si="44"/>
        <v>2.9</v>
      </c>
      <c r="W129" s="842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Y129" s="127"/>
    </row>
    <row r="130" spans="1:51" s="53" customFormat="1" ht="13.5" thickBot="1" x14ac:dyDescent="0.25">
      <c r="A130" s="493"/>
      <c r="B130" s="180"/>
      <c r="C130" s="130"/>
      <c r="D130" s="138"/>
      <c r="E130" s="138"/>
      <c r="F130" s="138"/>
      <c r="G130" s="130"/>
      <c r="H130" s="139"/>
      <c r="I130" s="138"/>
      <c r="J130" s="138"/>
      <c r="K130" s="137"/>
      <c r="L130" s="130"/>
      <c r="M130" s="138"/>
      <c r="N130" s="138"/>
      <c r="O130" s="138"/>
      <c r="P130" s="138"/>
      <c r="Q130" s="138"/>
      <c r="R130" s="138"/>
      <c r="S130" s="138"/>
      <c r="T130" s="160"/>
      <c r="U130" s="138"/>
      <c r="V130" s="138"/>
      <c r="W130" s="842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Y130" s="127"/>
    </row>
    <row r="131" spans="1:51" s="53" customFormat="1" ht="19.5" customHeight="1" thickTop="1" thickBot="1" x14ac:dyDescent="0.25">
      <c r="A131" s="494"/>
      <c r="B131" s="383"/>
      <c r="C131" s="196"/>
      <c r="D131" s="196"/>
      <c r="E131" s="196"/>
      <c r="F131" s="196"/>
      <c r="G131" s="196"/>
      <c r="H131" s="196"/>
      <c r="I131" s="196"/>
      <c r="J131" s="196"/>
      <c r="K131" s="137"/>
      <c r="L131" s="130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842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Y131" s="127"/>
    </row>
    <row r="132" spans="1:51" s="53" customFormat="1" ht="13.5" thickTop="1" x14ac:dyDescent="0.2">
      <c r="A132" s="134"/>
      <c r="B132" s="197"/>
      <c r="C132" s="130"/>
      <c r="D132" s="138"/>
      <c r="E132" s="138"/>
      <c r="F132" s="138"/>
      <c r="G132" s="130"/>
      <c r="H132" s="139"/>
      <c r="I132" s="138"/>
      <c r="J132" s="138"/>
      <c r="K132" s="137"/>
      <c r="L132" s="130"/>
      <c r="M132" s="138"/>
      <c r="N132" s="138"/>
      <c r="O132" s="138"/>
      <c r="P132" s="138"/>
      <c r="Q132" s="138"/>
      <c r="R132" s="138"/>
      <c r="S132" s="138"/>
      <c r="T132" s="160"/>
      <c r="U132" s="138"/>
      <c r="V132" s="138"/>
      <c r="W132" s="84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Y132" s="127"/>
    </row>
    <row r="133" spans="1:51" s="53" customFormat="1" x14ac:dyDescent="0.2">
      <c r="A133" s="134"/>
      <c r="B133" s="144" t="s">
        <v>62</v>
      </c>
      <c r="C133" s="130"/>
      <c r="D133" s="138"/>
      <c r="E133" s="138"/>
      <c r="F133" s="138"/>
      <c r="G133" s="130"/>
      <c r="H133" s="139"/>
      <c r="I133" s="138"/>
      <c r="J133" s="138"/>
      <c r="K133" s="137"/>
      <c r="L133" s="130"/>
      <c r="M133" s="138"/>
      <c r="N133" s="138"/>
      <c r="O133" s="138"/>
      <c r="P133" s="138"/>
      <c r="Q133" s="138"/>
      <c r="R133" s="138"/>
      <c r="S133" s="138"/>
      <c r="T133" s="160"/>
      <c r="U133" s="138"/>
      <c r="V133" s="138"/>
      <c r="W133" s="842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Y133" s="127"/>
    </row>
    <row r="134" spans="1:51" s="53" customFormat="1" x14ac:dyDescent="0.2">
      <c r="A134" s="134"/>
      <c r="B134" s="129"/>
      <c r="C134" s="130"/>
      <c r="D134" s="138"/>
      <c r="E134" s="138"/>
      <c r="F134" s="138"/>
      <c r="G134" s="130"/>
      <c r="H134" s="139"/>
      <c r="I134" s="138"/>
      <c r="J134" s="138"/>
      <c r="K134" s="137"/>
      <c r="L134" s="130"/>
      <c r="M134" s="138"/>
      <c r="N134" s="138"/>
      <c r="O134" s="138"/>
      <c r="P134" s="138"/>
      <c r="Q134" s="138"/>
      <c r="R134" s="138"/>
      <c r="S134" s="138"/>
      <c r="T134" s="160"/>
      <c r="U134" s="138"/>
      <c r="V134" s="138"/>
      <c r="W134" s="842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Y134" s="127"/>
    </row>
    <row r="135" spans="1:51" s="53" customFormat="1" x14ac:dyDescent="0.2">
      <c r="A135" s="140">
        <f>'Plant &amp; Reserve'!$A135</f>
        <v>34130</v>
      </c>
      <c r="B135" s="130" t="str">
        <f>'Plant &amp; Reserve'!$B135</f>
        <v>BP Common</v>
      </c>
      <c r="C135" s="130"/>
      <c r="D135" s="138">
        <v>15.00816003167829</v>
      </c>
      <c r="E135" s="138">
        <v>45</v>
      </c>
      <c r="F135" s="138">
        <v>33</v>
      </c>
      <c r="G135" s="130">
        <v>27.6</v>
      </c>
      <c r="H135" s="139">
        <v>-2</v>
      </c>
      <c r="I135" s="138">
        <v>2.2999999999999998</v>
      </c>
      <c r="J135" s="138">
        <f t="shared" ref="J135:J140" si="45">IF(F135=0,0,ROUND(((100-H135-G135)/F135),1))-I135</f>
        <v>0</v>
      </c>
      <c r="K135" s="137"/>
      <c r="L135" s="130"/>
      <c r="M135" s="138">
        <f>'Bayside Common'!$G$17</f>
        <v>16.85940334</v>
      </c>
      <c r="N135" s="830">
        <f t="shared" ref="N135:N140" si="46">ROUND(M135,1)</f>
        <v>16.899999999999999</v>
      </c>
      <c r="O135" s="138">
        <f>'Bayside Common'!$I$17</f>
        <v>38.072405310000001</v>
      </c>
      <c r="P135" s="138">
        <f t="shared" ref="P135:P140" si="47">IF(O135&gt;20,ROUND(O135,0),ROUND(O135,1))</f>
        <v>38</v>
      </c>
      <c r="Q135" s="138">
        <f>'Bayside Common'!$K$17</f>
        <v>23.16942487</v>
      </c>
      <c r="R135" s="138">
        <f t="shared" ref="R135:R140" si="48">IF(Q135&gt;20,ROUND(Q135,0),ROUND(Q135,1))</f>
        <v>23</v>
      </c>
      <c r="S135" s="130">
        <f>IF('Plant &amp; Reserve'!$D135=0,0,ROUND(('Plant &amp; Reserve'!$E135/'Plant &amp; Reserve'!$D135)*100,2))</f>
        <v>23.8</v>
      </c>
      <c r="T135" s="160">
        <f>ROUND(100*'Bayside Common'!$O$17,0)</f>
        <v>-2</v>
      </c>
      <c r="U135" s="836">
        <f t="shared" ref="U135:U140" si="49">IF(Q135=0,0,ROUND(((100-T135-S135)/Q135),3))</f>
        <v>3.375</v>
      </c>
      <c r="V135" s="138">
        <f t="shared" ref="V135:V140" si="50">IF(R135=0,0,ROUND(((100-T135-S135)/R135),1))</f>
        <v>3.4</v>
      </c>
      <c r="W135" s="842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Y135" s="127"/>
    </row>
    <row r="136" spans="1:51" s="53" customFormat="1" x14ac:dyDescent="0.2">
      <c r="A136" s="140">
        <f>'Plant &amp; Reserve'!$A136</f>
        <v>34230</v>
      </c>
      <c r="B136" s="130" t="str">
        <f>'Plant &amp; Reserve'!$B136</f>
        <v>BP Common</v>
      </c>
      <c r="C136" s="130"/>
      <c r="D136" s="138">
        <v>11.3139022729201</v>
      </c>
      <c r="E136" s="138">
        <v>41</v>
      </c>
      <c r="F136" s="138">
        <v>32</v>
      </c>
      <c r="G136" s="130">
        <v>22.83</v>
      </c>
      <c r="H136" s="139">
        <v>-4</v>
      </c>
      <c r="I136" s="138">
        <v>2.5</v>
      </c>
      <c r="J136" s="138">
        <f t="shared" si="45"/>
        <v>0</v>
      </c>
      <c r="K136" s="137"/>
      <c r="L136" s="130"/>
      <c r="M136" s="138">
        <f>'Bayside Common'!$G$24</f>
        <v>14.943303240000001</v>
      </c>
      <c r="N136" s="830">
        <f t="shared" si="46"/>
        <v>14.9</v>
      </c>
      <c r="O136" s="138">
        <f>'Bayside Common'!$I$24</f>
        <v>39.63642411</v>
      </c>
      <c r="P136" s="138">
        <f t="shared" si="47"/>
        <v>40</v>
      </c>
      <c r="Q136" s="138">
        <f>'Bayside Common'!$K$24</f>
        <v>25.386409459999999</v>
      </c>
      <c r="R136" s="138">
        <f t="shared" si="48"/>
        <v>25</v>
      </c>
      <c r="S136" s="130">
        <f>IF('Plant &amp; Reserve'!$D136=0,0,ROUND(('Plant &amp; Reserve'!$E136/'Plant &amp; Reserve'!$D136)*100,2))</f>
        <v>29.55</v>
      </c>
      <c r="T136" s="160">
        <f>ROUND(100*'Bayside Common'!$O$24,0)</f>
        <v>-5</v>
      </c>
      <c r="U136" s="836">
        <f t="shared" si="49"/>
        <v>2.972</v>
      </c>
      <c r="V136" s="138">
        <f t="shared" si="50"/>
        <v>3</v>
      </c>
      <c r="W136" s="842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Y136" s="127"/>
    </row>
    <row r="137" spans="1:51" s="53" customFormat="1" x14ac:dyDescent="0.2">
      <c r="A137" s="140">
        <f>'Plant &amp; Reserve'!$A137</f>
        <v>34330</v>
      </c>
      <c r="B137" s="130" t="str">
        <f>'Plant &amp; Reserve'!$B137</f>
        <v>BP Common</v>
      </c>
      <c r="C137" s="130"/>
      <c r="D137" s="138">
        <v>4.62256892067166</v>
      </c>
      <c r="E137" s="138">
        <v>35</v>
      </c>
      <c r="F137" s="138">
        <v>31</v>
      </c>
      <c r="G137" s="130">
        <v>12.75</v>
      </c>
      <c r="H137" s="139">
        <v>-11</v>
      </c>
      <c r="I137" s="138">
        <v>3.2</v>
      </c>
      <c r="J137" s="138">
        <f t="shared" si="45"/>
        <v>0</v>
      </c>
      <c r="K137" s="137"/>
      <c r="L137" s="130"/>
      <c r="M137" s="138">
        <f>'Bayside Common'!$G$31</f>
        <v>12.08618293</v>
      </c>
      <c r="N137" s="830">
        <f t="shared" si="46"/>
        <v>12.1</v>
      </c>
      <c r="O137" s="138">
        <f>'Bayside Common'!$I$31</f>
        <v>25.000103060000001</v>
      </c>
      <c r="P137" s="138">
        <f t="shared" si="47"/>
        <v>25</v>
      </c>
      <c r="Q137" s="138">
        <f>'Bayside Common'!$K$31</f>
        <v>13.10023095</v>
      </c>
      <c r="R137" s="138">
        <f t="shared" si="48"/>
        <v>13.1</v>
      </c>
      <c r="S137" s="130">
        <f>IF('Plant &amp; Reserve'!$D137=0,0,ROUND(('Plant &amp; Reserve'!$E137/'Plant &amp; Reserve'!$D137)*100,2))</f>
        <v>34.299999999999997</v>
      </c>
      <c r="T137" s="160">
        <f>ROUND(100*'Bayside Common'!$O$31,0)</f>
        <v>-7</v>
      </c>
      <c r="U137" s="836">
        <f t="shared" si="49"/>
        <v>5.55</v>
      </c>
      <c r="V137" s="138">
        <f t="shared" si="50"/>
        <v>5.5</v>
      </c>
      <c r="W137" s="842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Y137" s="127"/>
    </row>
    <row r="138" spans="1:51" s="53" customFormat="1" x14ac:dyDescent="0.2">
      <c r="A138" s="140">
        <f>'Plant &amp; Reserve'!$A138</f>
        <v>34530</v>
      </c>
      <c r="B138" s="130" t="str">
        <f>'Plant &amp; Reserve'!$B138</f>
        <v>BP Common</v>
      </c>
      <c r="C138" s="130"/>
      <c r="D138" s="138">
        <v>11.090782295696247</v>
      </c>
      <c r="E138" s="138">
        <v>26</v>
      </c>
      <c r="F138" s="138">
        <v>16.3</v>
      </c>
      <c r="G138" s="130">
        <v>39.76</v>
      </c>
      <c r="H138" s="139">
        <v>-8</v>
      </c>
      <c r="I138" s="138">
        <v>4.2</v>
      </c>
      <c r="J138" s="138">
        <f t="shared" si="45"/>
        <v>0</v>
      </c>
      <c r="K138" s="137"/>
      <c r="L138" s="130"/>
      <c r="M138" s="138">
        <f>'Bayside Common'!$G$38</f>
        <v>11.11474918</v>
      </c>
      <c r="N138" s="830">
        <f t="shared" si="46"/>
        <v>11.1</v>
      </c>
      <c r="O138" s="138">
        <f>'Bayside Common'!$I$38</f>
        <v>30.066352330000001</v>
      </c>
      <c r="P138" s="138">
        <f t="shared" si="47"/>
        <v>30</v>
      </c>
      <c r="Q138" s="138">
        <f>'Bayside Common'!$K$38</f>
        <v>19.859074660000001</v>
      </c>
      <c r="R138" s="138">
        <f t="shared" si="48"/>
        <v>19.899999999999999</v>
      </c>
      <c r="S138" s="130">
        <f>IF('Plant &amp; Reserve'!$D138=0,0,ROUND(('Plant &amp; Reserve'!$E138/'Plant &amp; Reserve'!$D138)*100,2))</f>
        <v>39.659999999999997</v>
      </c>
      <c r="T138" s="160">
        <f>ROUND(100*'Bayside Common'!$O$38,0)</f>
        <v>-5</v>
      </c>
      <c r="U138" s="836">
        <f t="shared" si="49"/>
        <v>3.29</v>
      </c>
      <c r="V138" s="138">
        <f t="shared" si="50"/>
        <v>3.3</v>
      </c>
      <c r="W138" s="842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Y138" s="127"/>
    </row>
    <row r="139" spans="1:51" s="53" customFormat="1" x14ac:dyDescent="0.2">
      <c r="A139" s="140">
        <f>'Plant &amp; Reserve'!$A139</f>
        <v>34630</v>
      </c>
      <c r="B139" s="168" t="str">
        <f>'Plant &amp; Reserve'!$B139</f>
        <v>BP Common</v>
      </c>
      <c r="C139" s="130"/>
      <c r="D139" s="170">
        <v>12.467244130971945</v>
      </c>
      <c r="E139" s="170">
        <v>32</v>
      </c>
      <c r="F139" s="170">
        <v>22</v>
      </c>
      <c r="G139" s="168">
        <v>34.64</v>
      </c>
      <c r="H139" s="837">
        <v>-6</v>
      </c>
      <c r="I139" s="170">
        <v>3.2</v>
      </c>
      <c r="J139" s="170">
        <f t="shared" si="45"/>
        <v>0</v>
      </c>
      <c r="K139" s="137"/>
      <c r="L139" s="130"/>
      <c r="M139" s="170">
        <f>'Bayside Common'!$G$45</f>
        <v>13.50048945</v>
      </c>
      <c r="N139" s="779">
        <f t="shared" si="46"/>
        <v>13.5</v>
      </c>
      <c r="O139" s="170">
        <f>'Bayside Common'!$I$45</f>
        <v>29.1438731</v>
      </c>
      <c r="P139" s="170">
        <f t="shared" si="47"/>
        <v>29</v>
      </c>
      <c r="Q139" s="170">
        <f>'Bayside Common'!$K$45</f>
        <v>17.134845599999998</v>
      </c>
      <c r="R139" s="170">
        <f t="shared" si="48"/>
        <v>17.100000000000001</v>
      </c>
      <c r="S139" s="168">
        <f>IF('Plant &amp; Reserve'!$D139=0,0,ROUND(('Plant &amp; Reserve'!$E139/'Plant &amp; Reserve'!$D139)*100,2))</f>
        <v>32.81</v>
      </c>
      <c r="T139" s="169">
        <f>ROUND(100*'Bayside Common'!$O$45,0)</f>
        <v>-2</v>
      </c>
      <c r="U139" s="838">
        <f t="shared" si="49"/>
        <v>4.0380000000000003</v>
      </c>
      <c r="V139" s="170">
        <f t="shared" si="50"/>
        <v>4</v>
      </c>
      <c r="W139" s="842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Y139" s="127"/>
    </row>
    <row r="140" spans="1:51" s="53" customFormat="1" x14ac:dyDescent="0.2">
      <c r="A140" s="134"/>
      <c r="B140" s="125" t="s">
        <v>75</v>
      </c>
      <c r="C140" s="128"/>
      <c r="D140" s="177">
        <v>11.583925674404624</v>
      </c>
      <c r="E140" s="177">
        <v>38</v>
      </c>
      <c r="F140" s="177">
        <v>29</v>
      </c>
      <c r="G140" s="128">
        <v>29.83</v>
      </c>
      <c r="H140" s="820">
        <v>-5</v>
      </c>
      <c r="I140" s="177">
        <v>2.6</v>
      </c>
      <c r="J140" s="138">
        <f t="shared" si="45"/>
        <v>0</v>
      </c>
      <c r="K140" s="137"/>
      <c r="L140" s="130"/>
      <c r="M140" s="177">
        <f>'Bayside Common'!$G$53</f>
        <v>14.547582618181933</v>
      </c>
      <c r="N140" s="845">
        <f t="shared" si="46"/>
        <v>14.5</v>
      </c>
      <c r="O140" s="177">
        <f>'Bayside Common'!$I$53</f>
        <v>33.858249003002939</v>
      </c>
      <c r="P140" s="177">
        <f t="shared" si="47"/>
        <v>34</v>
      </c>
      <c r="Q140" s="177">
        <f>'Bayside Common'!$K$53</f>
        <v>20.562277846873137</v>
      </c>
      <c r="R140" s="177">
        <f t="shared" si="48"/>
        <v>21</v>
      </c>
      <c r="S140" s="128">
        <f>IF('Plant &amp; Reserve'!$D140=0,0,ROUND(('Plant &amp; Reserve'!$E140/'Plant &amp; Reserve'!$D140)*100,2))</f>
        <v>29.7</v>
      </c>
      <c r="T140" s="175">
        <f>ROUND(100*'Bayside Common'!$O$53,0)</f>
        <v>-4</v>
      </c>
      <c r="U140" s="836">
        <f t="shared" si="49"/>
        <v>3.613</v>
      </c>
      <c r="V140" s="177">
        <f t="shared" si="50"/>
        <v>3.5</v>
      </c>
      <c r="W140" s="842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Y140" s="127"/>
    </row>
    <row r="141" spans="1:51" s="53" customFormat="1" x14ac:dyDescent="0.2">
      <c r="A141" s="134"/>
      <c r="B141" s="129"/>
      <c r="C141" s="130"/>
      <c r="D141" s="138"/>
      <c r="E141" s="138"/>
      <c r="F141" s="138"/>
      <c r="G141" s="130"/>
      <c r="H141" s="139"/>
      <c r="I141" s="138"/>
      <c r="J141" s="138"/>
      <c r="K141" s="137"/>
      <c r="L141" s="130"/>
      <c r="M141" s="138"/>
      <c r="N141" s="138"/>
      <c r="O141" s="138"/>
      <c r="P141" s="138"/>
      <c r="Q141" s="138"/>
      <c r="R141" s="138"/>
      <c r="S141" s="138"/>
      <c r="T141" s="160"/>
      <c r="U141" s="138"/>
      <c r="V141" s="138"/>
      <c r="W141" s="842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Y141" s="127"/>
    </row>
    <row r="142" spans="1:51" s="53" customFormat="1" x14ac:dyDescent="0.2">
      <c r="A142" s="140">
        <f>'Plant &amp; Reserve'!$A142</f>
        <v>34131</v>
      </c>
      <c r="B142" s="130" t="str">
        <f>'Plant &amp; Reserve'!$B142</f>
        <v>BP Unit No. 1</v>
      </c>
      <c r="C142" s="130"/>
      <c r="D142" s="138">
        <v>10.308877085934698</v>
      </c>
      <c r="E142" s="138">
        <v>40</v>
      </c>
      <c r="F142" s="138">
        <v>31</v>
      </c>
      <c r="G142" s="130">
        <v>24.07</v>
      </c>
      <c r="H142" s="139">
        <v>-1</v>
      </c>
      <c r="I142" s="138">
        <v>2.5</v>
      </c>
      <c r="J142" s="138">
        <f t="shared" ref="J142:J147" si="51">IF(F142=0,0,ROUND(((100-H142-G142)/F142),1))-I142</f>
        <v>0</v>
      </c>
      <c r="K142" s="137"/>
      <c r="L142" s="130"/>
      <c r="M142" s="138">
        <f>'Bayside #1'!$G$17</f>
        <v>17.173273040000002</v>
      </c>
      <c r="N142" s="830">
        <f t="shared" ref="N142:N147" si="52">ROUND(M142,1)</f>
        <v>17.2</v>
      </c>
      <c r="O142" s="138">
        <f>'Bayside #1'!$I$17</f>
        <v>34.053407700000001</v>
      </c>
      <c r="P142" s="138">
        <f t="shared" ref="P142:P147" si="53">IF(O142&gt;20,ROUND(O142,0),ROUND(O142,1))</f>
        <v>34</v>
      </c>
      <c r="Q142" s="138">
        <f>'Bayside #1'!$K$17</f>
        <v>18.111414960000001</v>
      </c>
      <c r="R142" s="138">
        <f t="shared" ref="R142:R147" si="54">IF(Q142&gt;20,ROUND(Q142,0),ROUND(Q142,1))</f>
        <v>18.100000000000001</v>
      </c>
      <c r="S142" s="130">
        <f>IF('Plant &amp; Reserve'!$D142=0,0,ROUND(('Plant &amp; Reserve'!$E142/'Plant &amp; Reserve'!$D142)*100,2))</f>
        <v>37.049999999999997</v>
      </c>
      <c r="T142" s="160">
        <f>ROUND(100*'Bayside #1'!$O$17,0)</f>
        <v>-2</v>
      </c>
      <c r="U142" s="836">
        <f t="shared" ref="U142:U147" si="55">IF(Q142=0,0,ROUND(((100-T142-S142)/Q142),3))</f>
        <v>3.5859999999999999</v>
      </c>
      <c r="V142" s="138">
        <f t="shared" ref="V142:V147" si="56">IF(R142=0,0,ROUND(((100-T142-S142)/R142),1))</f>
        <v>3.6</v>
      </c>
      <c r="W142" s="8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Y142" s="127"/>
    </row>
    <row r="143" spans="1:51" s="53" customFormat="1" x14ac:dyDescent="0.2">
      <c r="A143" s="140">
        <f>'Plant &amp; Reserve'!$A143</f>
        <v>34231</v>
      </c>
      <c r="B143" s="130" t="str">
        <f>'Plant &amp; Reserve'!$B143</f>
        <v>BP Unit No. 1</v>
      </c>
      <c r="C143" s="130"/>
      <c r="D143" s="138">
        <v>8.234564079462114</v>
      </c>
      <c r="E143" s="138">
        <v>36</v>
      </c>
      <c r="F143" s="138">
        <v>28</v>
      </c>
      <c r="G143" s="130">
        <v>23.27</v>
      </c>
      <c r="H143" s="139">
        <v>-5</v>
      </c>
      <c r="I143" s="138">
        <v>2.9</v>
      </c>
      <c r="J143" s="138">
        <f t="shared" si="51"/>
        <v>0</v>
      </c>
      <c r="K143" s="137"/>
      <c r="L143" s="130"/>
      <c r="M143" s="138">
        <f>'Bayside #1'!$G$24</f>
        <v>14.836988870000001</v>
      </c>
      <c r="N143" s="830">
        <f t="shared" si="52"/>
        <v>14.8</v>
      </c>
      <c r="O143" s="138">
        <f>'Bayside #1'!$I$24</f>
        <v>30.86152246</v>
      </c>
      <c r="P143" s="138">
        <f t="shared" si="53"/>
        <v>31</v>
      </c>
      <c r="Q143" s="138">
        <f>'Bayside #1'!$K$24</f>
        <v>16.630840320000001</v>
      </c>
      <c r="R143" s="138">
        <f t="shared" si="54"/>
        <v>16.600000000000001</v>
      </c>
      <c r="S143" s="130">
        <f>IF('Plant &amp; Reserve'!$D143=0,0,ROUND(('Plant &amp; Reserve'!$E143/'Plant &amp; Reserve'!$D143)*100,2))</f>
        <v>39.35</v>
      </c>
      <c r="T143" s="160">
        <f>ROUND(100*'Bayside #1'!$O$24,0)</f>
        <v>-5</v>
      </c>
      <c r="U143" s="836">
        <f t="shared" si="55"/>
        <v>3.9470000000000001</v>
      </c>
      <c r="V143" s="138">
        <f t="shared" si="56"/>
        <v>4</v>
      </c>
      <c r="W143" s="842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Y143" s="127"/>
    </row>
    <row r="144" spans="1:51" s="53" customFormat="1" x14ac:dyDescent="0.2">
      <c r="A144" s="140">
        <f>'Plant &amp; Reserve'!$A144</f>
        <v>34331</v>
      </c>
      <c r="B144" s="130" t="str">
        <f>'Plant &amp; Reserve'!$B144</f>
        <v>BP Unit No. 1</v>
      </c>
      <c r="C144" s="130"/>
      <c r="D144" s="138">
        <v>8.1705985682583808</v>
      </c>
      <c r="E144" s="138">
        <v>26</v>
      </c>
      <c r="F144" s="138">
        <v>19.5</v>
      </c>
      <c r="G144" s="130">
        <v>24.82</v>
      </c>
      <c r="H144" s="139">
        <v>-6</v>
      </c>
      <c r="I144" s="138">
        <v>4.2</v>
      </c>
      <c r="J144" s="138">
        <f t="shared" si="51"/>
        <v>0</v>
      </c>
      <c r="K144" s="137"/>
      <c r="L144" s="130"/>
      <c r="M144" s="138">
        <f>'Bayside #1'!$G$31</f>
        <v>13.83928948</v>
      </c>
      <c r="N144" s="830">
        <f t="shared" si="52"/>
        <v>13.8</v>
      </c>
      <c r="O144" s="138">
        <f>'Bayside #1'!$I$31</f>
        <v>25.879795229999999</v>
      </c>
      <c r="P144" s="138">
        <f t="shared" si="53"/>
        <v>26</v>
      </c>
      <c r="Q144" s="138">
        <f>'Bayside #1'!$K$31</f>
        <v>13.14553342</v>
      </c>
      <c r="R144" s="138">
        <f t="shared" si="54"/>
        <v>13.1</v>
      </c>
      <c r="S144" s="130">
        <f>IF('Plant &amp; Reserve'!$D144=0,0,ROUND(('Plant &amp; Reserve'!$E144/'Plant &amp; Reserve'!$D144)*100,2))</f>
        <v>26.98</v>
      </c>
      <c r="T144" s="160">
        <f>ROUND(100*'Bayside #1'!$O$31,0)</f>
        <v>-7</v>
      </c>
      <c r="U144" s="836">
        <f t="shared" si="55"/>
        <v>6.0869999999999997</v>
      </c>
      <c r="V144" s="138">
        <f t="shared" si="56"/>
        <v>6.1</v>
      </c>
      <c r="W144" s="842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Y144" s="127"/>
    </row>
    <row r="145" spans="1:51" s="53" customFormat="1" x14ac:dyDescent="0.2">
      <c r="A145" s="140">
        <f>'Plant &amp; Reserve'!$A145</f>
        <v>34531</v>
      </c>
      <c r="B145" s="130" t="str">
        <f>'Plant &amp; Reserve'!$B145</f>
        <v>BP Unit No. 1</v>
      </c>
      <c r="C145" s="130"/>
      <c r="D145" s="138">
        <v>9.76128674973865</v>
      </c>
      <c r="E145" s="138">
        <v>34</v>
      </c>
      <c r="F145" s="138">
        <v>25</v>
      </c>
      <c r="G145" s="130">
        <v>28.85</v>
      </c>
      <c r="H145" s="139">
        <v>-8</v>
      </c>
      <c r="I145" s="138">
        <v>3.2</v>
      </c>
      <c r="J145" s="138">
        <f t="shared" si="51"/>
        <v>0</v>
      </c>
      <c r="K145" s="137"/>
      <c r="L145" s="130"/>
      <c r="M145" s="138">
        <f>'Bayside #1'!$G$38</f>
        <v>14.534250289999999</v>
      </c>
      <c r="N145" s="830">
        <f t="shared" si="52"/>
        <v>14.5</v>
      </c>
      <c r="O145" s="138">
        <f>'Bayside #1'!$I$38</f>
        <v>28.57471752</v>
      </c>
      <c r="P145" s="138">
        <f t="shared" si="53"/>
        <v>29</v>
      </c>
      <c r="Q145" s="138">
        <f>'Bayside #1'!$K$38</f>
        <v>15.34734149</v>
      </c>
      <c r="R145" s="138">
        <f t="shared" si="54"/>
        <v>15.3</v>
      </c>
      <c r="S145" s="130">
        <f>IF('Plant &amp; Reserve'!$D145=0,0,ROUND(('Plant &amp; Reserve'!$E145/'Plant &amp; Reserve'!$D145)*100,2))</f>
        <v>42.51</v>
      </c>
      <c r="T145" s="160">
        <f>ROUND(100*'Bayside #1'!$O$38,0)</f>
        <v>-5</v>
      </c>
      <c r="U145" s="836">
        <f t="shared" si="55"/>
        <v>4.0720000000000001</v>
      </c>
      <c r="V145" s="138">
        <f t="shared" si="56"/>
        <v>4.0999999999999996</v>
      </c>
      <c r="W145" s="842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Y145" s="127"/>
    </row>
    <row r="146" spans="1:51" s="53" customFormat="1" x14ac:dyDescent="0.2">
      <c r="A146" s="140">
        <f>'Plant &amp; Reserve'!$A146</f>
        <v>34631</v>
      </c>
      <c r="B146" s="168" t="str">
        <f>'Plant &amp; Reserve'!$B146</f>
        <v>BP Unit No. 1</v>
      </c>
      <c r="C146" s="130"/>
      <c r="D146" s="170">
        <v>11.459468606772029</v>
      </c>
      <c r="E146" s="170">
        <v>38</v>
      </c>
      <c r="F146" s="170">
        <v>28</v>
      </c>
      <c r="G146" s="168">
        <v>27.49</v>
      </c>
      <c r="H146" s="837">
        <v>-3</v>
      </c>
      <c r="I146" s="170">
        <v>2.7</v>
      </c>
      <c r="J146" s="170">
        <f t="shared" si="51"/>
        <v>0</v>
      </c>
      <c r="K146" s="137"/>
      <c r="L146" s="130"/>
      <c r="M146" s="170">
        <f>'Bayside #1'!$G$45</f>
        <v>17.684679693764743</v>
      </c>
      <c r="N146" s="779">
        <f t="shared" si="52"/>
        <v>17.7</v>
      </c>
      <c r="O146" s="170">
        <f>'Bayside #1'!$I$45</f>
        <v>35.146414609436299</v>
      </c>
      <c r="P146" s="170">
        <f t="shared" si="53"/>
        <v>35</v>
      </c>
      <c r="Q146" s="170">
        <f>'Bayside #1'!$K$45</f>
        <v>18.120150330794687</v>
      </c>
      <c r="R146" s="170">
        <f t="shared" si="54"/>
        <v>18.100000000000001</v>
      </c>
      <c r="S146" s="168">
        <f>IF('Plant &amp; Reserve'!$D146=0,0,ROUND(('Plant &amp; Reserve'!$E146/'Plant &amp; Reserve'!$D146)*100,2))</f>
        <v>43.23</v>
      </c>
      <c r="T146" s="169">
        <f>ROUND(100*'Bayside #1'!$O$45,0)</f>
        <v>-2</v>
      </c>
      <c r="U146" s="838">
        <f t="shared" si="55"/>
        <v>3.2429999999999999</v>
      </c>
      <c r="V146" s="170">
        <f t="shared" si="56"/>
        <v>3.2</v>
      </c>
      <c r="W146" s="842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Y146" s="127"/>
    </row>
    <row r="147" spans="1:51" s="53" customFormat="1" x14ac:dyDescent="0.2">
      <c r="A147" s="134"/>
      <c r="B147" s="125" t="s">
        <v>75</v>
      </c>
      <c r="C147" s="128"/>
      <c r="D147" s="177">
        <v>8.5078948087493398</v>
      </c>
      <c r="E147" s="177">
        <v>29</v>
      </c>
      <c r="F147" s="177">
        <v>22</v>
      </c>
      <c r="G147" s="128">
        <v>32.9</v>
      </c>
      <c r="H147" s="820">
        <v>-6</v>
      </c>
      <c r="I147" s="177">
        <v>3.3</v>
      </c>
      <c r="J147" s="138">
        <f t="shared" si="51"/>
        <v>0</v>
      </c>
      <c r="K147" s="137"/>
      <c r="L147" s="130"/>
      <c r="M147" s="177">
        <f>'Bayside #1'!$G$53</f>
        <v>14.358661098761596</v>
      </c>
      <c r="N147" s="845">
        <f t="shared" si="52"/>
        <v>14.4</v>
      </c>
      <c r="O147" s="177">
        <f>'Bayside #1'!$I$53</f>
        <v>27.828806325388634</v>
      </c>
      <c r="P147" s="177">
        <f t="shared" si="53"/>
        <v>28</v>
      </c>
      <c r="Q147" s="177">
        <f>'Bayside #1'!$K$53</f>
        <v>14.492807209867932</v>
      </c>
      <c r="R147" s="177">
        <f t="shared" si="54"/>
        <v>14.5</v>
      </c>
      <c r="S147" s="128">
        <f>IF('Plant &amp; Reserve'!$D147=0,0,ROUND(('Plant &amp; Reserve'!$E147/'Plant &amp; Reserve'!$D147)*100,2))</f>
        <v>32.15</v>
      </c>
      <c r="T147" s="175">
        <f>ROUND(100*'Bayside #1'!$O$53,0)</f>
        <v>-6</v>
      </c>
      <c r="U147" s="836">
        <f t="shared" si="55"/>
        <v>5.0960000000000001</v>
      </c>
      <c r="V147" s="177">
        <f t="shared" si="56"/>
        <v>5.0999999999999996</v>
      </c>
      <c r="W147" s="842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Y147" s="127"/>
    </row>
    <row r="148" spans="1:51" s="53" customFormat="1" x14ac:dyDescent="0.2">
      <c r="A148" s="134"/>
      <c r="B148" s="129"/>
      <c r="C148" s="130"/>
      <c r="D148" s="138"/>
      <c r="E148" s="138"/>
      <c r="F148" s="138"/>
      <c r="G148" s="130"/>
      <c r="H148" s="139"/>
      <c r="I148" s="138"/>
      <c r="J148" s="138"/>
      <c r="K148" s="137"/>
      <c r="L148" s="130"/>
      <c r="M148" s="138"/>
      <c r="N148" s="138"/>
      <c r="O148" s="138"/>
      <c r="P148" s="138"/>
      <c r="Q148" s="138"/>
      <c r="R148" s="138"/>
      <c r="S148" s="138"/>
      <c r="T148" s="160"/>
      <c r="U148" s="138"/>
      <c r="V148" s="138"/>
      <c r="W148" s="842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Y148" s="127"/>
    </row>
    <row r="149" spans="1:51" s="53" customFormat="1" x14ac:dyDescent="0.2">
      <c r="A149" s="140">
        <f>'Plant &amp; Reserve'!$A149</f>
        <v>34132</v>
      </c>
      <c r="B149" s="130" t="str">
        <f>'Plant &amp; Reserve'!$B149</f>
        <v>BP Unit No. 2</v>
      </c>
      <c r="C149" s="130"/>
      <c r="D149" s="138">
        <v>8.982574256658312</v>
      </c>
      <c r="E149" s="138">
        <v>40</v>
      </c>
      <c r="F149" s="138">
        <v>32</v>
      </c>
      <c r="G149" s="130">
        <v>20.71</v>
      </c>
      <c r="H149" s="139">
        <v>-1</v>
      </c>
      <c r="I149" s="138">
        <v>2.5</v>
      </c>
      <c r="J149" s="138">
        <f t="shared" ref="J149:J154" si="57">IF(F149=0,0,ROUND(((100-H149-G149)/F149),1))-I149</f>
        <v>0</v>
      </c>
      <c r="K149" s="137"/>
      <c r="L149" s="130"/>
      <c r="M149" s="138">
        <f>'Bayside #2'!$G$17</f>
        <v>16.128682900000001</v>
      </c>
      <c r="N149" s="830">
        <f t="shared" ref="N149:N154" si="58">ROUND(M149,1)</f>
        <v>16.100000000000001</v>
      </c>
      <c r="O149" s="138">
        <f>'Bayside #2'!$I$17</f>
        <v>33.18702862</v>
      </c>
      <c r="P149" s="138">
        <f t="shared" ref="P149:P154" si="59">IF(O149&gt;20,ROUND(O149,0),ROUND(O149,1))</f>
        <v>33</v>
      </c>
      <c r="Q149" s="138">
        <f>'Bayside #2'!$K$17</f>
        <v>18.30580075</v>
      </c>
      <c r="R149" s="138">
        <f t="shared" ref="R149:R154" si="60">IF(Q149&gt;20,ROUND(Q149,0),ROUND(Q149,1))</f>
        <v>18.3</v>
      </c>
      <c r="S149" s="130">
        <f>IF('Plant &amp; Reserve'!$D149=0,0,ROUND(('Plant &amp; Reserve'!$E149/'Plant &amp; Reserve'!$D149)*100,2))</f>
        <v>38.42</v>
      </c>
      <c r="T149" s="160">
        <f>ROUND(100*'Bayside #2'!$O$17,0)</f>
        <v>-2</v>
      </c>
      <c r="U149" s="836">
        <f t="shared" ref="U149:U154" si="61">IF(Q149=0,0,ROUND(((100-T149-S149)/Q149),3))</f>
        <v>3.4729999999999999</v>
      </c>
      <c r="V149" s="138">
        <f t="shared" ref="V149:V154" si="62">IF(R149=0,0,ROUND(((100-T149-S149)/R149),1))</f>
        <v>3.5</v>
      </c>
      <c r="W149" s="842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Y149" s="127"/>
    </row>
    <row r="150" spans="1:51" s="53" customFormat="1" x14ac:dyDescent="0.2">
      <c r="A150" s="140">
        <f>'Plant &amp; Reserve'!$A150</f>
        <v>34232</v>
      </c>
      <c r="B150" s="130" t="str">
        <f>'Plant &amp; Reserve'!$B150</f>
        <v>BP Unit No. 2</v>
      </c>
      <c r="C150" s="130"/>
      <c r="D150" s="138">
        <v>7.6489086022117938</v>
      </c>
      <c r="E150" s="138">
        <v>36</v>
      </c>
      <c r="F150" s="138">
        <v>29</v>
      </c>
      <c r="G150" s="130">
        <v>21.28</v>
      </c>
      <c r="H150" s="139">
        <v>-5</v>
      </c>
      <c r="I150" s="138">
        <v>2.9</v>
      </c>
      <c r="J150" s="138">
        <f t="shared" si="57"/>
        <v>0</v>
      </c>
      <c r="K150" s="137"/>
      <c r="L150" s="130"/>
      <c r="M150" s="138">
        <f>'Bayside #2'!$G$24</f>
        <v>14.941968190000001</v>
      </c>
      <c r="N150" s="830">
        <f t="shared" si="58"/>
        <v>14.9</v>
      </c>
      <c r="O150" s="138">
        <f>'Bayside #2'!$I$24</f>
        <v>31.564965879999999</v>
      </c>
      <c r="P150" s="138">
        <f t="shared" si="59"/>
        <v>32</v>
      </c>
      <c r="Q150" s="138">
        <f>'Bayside #2'!$K$24</f>
        <v>16.909675369999999</v>
      </c>
      <c r="R150" s="138">
        <f t="shared" si="60"/>
        <v>16.899999999999999</v>
      </c>
      <c r="S150" s="130">
        <f>IF('Plant &amp; Reserve'!$D150=0,0,ROUND(('Plant &amp; Reserve'!$E150/'Plant &amp; Reserve'!$D150)*100,2))</f>
        <v>39.57</v>
      </c>
      <c r="T150" s="160">
        <f>ROUND(100*'Bayside #2'!$O$24,0)</f>
        <v>-5</v>
      </c>
      <c r="U150" s="836">
        <f t="shared" si="61"/>
        <v>3.8690000000000002</v>
      </c>
      <c r="V150" s="138">
        <f t="shared" si="62"/>
        <v>3.9</v>
      </c>
      <c r="W150" s="842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Y150" s="127"/>
    </row>
    <row r="151" spans="1:51" s="53" customFormat="1" x14ac:dyDescent="0.2">
      <c r="A151" s="140">
        <f>'Plant &amp; Reserve'!$A151</f>
        <v>34332</v>
      </c>
      <c r="B151" s="130" t="str">
        <f>'Plant &amp; Reserve'!$B151</f>
        <v>BP Unit No. 2</v>
      </c>
      <c r="C151" s="130"/>
      <c r="D151" s="138">
        <v>8.0035683389796421</v>
      </c>
      <c r="E151" s="138">
        <v>26</v>
      </c>
      <c r="F151" s="138">
        <v>20</v>
      </c>
      <c r="G151" s="130">
        <v>23.47</v>
      </c>
      <c r="H151" s="139">
        <v>-6</v>
      </c>
      <c r="I151" s="138">
        <v>4.0999999999999996</v>
      </c>
      <c r="J151" s="138">
        <f t="shared" si="57"/>
        <v>0</v>
      </c>
      <c r="K151" s="137"/>
      <c r="L151" s="130"/>
      <c r="M151" s="138">
        <f>'Bayside #2'!$G$31</f>
        <v>13.40141828</v>
      </c>
      <c r="N151" s="830">
        <f t="shared" si="58"/>
        <v>13.4</v>
      </c>
      <c r="O151" s="138">
        <f>'Bayside #2'!$I$31</f>
        <v>25.900701399999999</v>
      </c>
      <c r="P151" s="138">
        <f t="shared" si="59"/>
        <v>26</v>
      </c>
      <c r="Q151" s="138">
        <f>'Bayside #2'!$K$31</f>
        <v>13.54268854</v>
      </c>
      <c r="R151" s="138">
        <f t="shared" si="60"/>
        <v>13.5</v>
      </c>
      <c r="S151" s="130">
        <f>IF('Plant &amp; Reserve'!$D151=0,0,ROUND(('Plant &amp; Reserve'!$E151/'Plant &amp; Reserve'!$D151)*100,2))</f>
        <v>22.9</v>
      </c>
      <c r="T151" s="160">
        <f>ROUND(100*'Bayside #2'!$O$31,0)</f>
        <v>-7</v>
      </c>
      <c r="U151" s="836">
        <f t="shared" si="61"/>
        <v>6.21</v>
      </c>
      <c r="V151" s="138">
        <f t="shared" si="62"/>
        <v>6.2</v>
      </c>
      <c r="W151" s="842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Y151" s="127"/>
    </row>
    <row r="152" spans="1:51" s="53" customFormat="1" x14ac:dyDescent="0.2">
      <c r="A152" s="140">
        <f>'Plant &amp; Reserve'!$A152</f>
        <v>34532</v>
      </c>
      <c r="B152" s="130" t="str">
        <f>'Plant &amp; Reserve'!$B152</f>
        <v>BP Unit No. 2</v>
      </c>
      <c r="C152" s="130"/>
      <c r="D152" s="138">
        <v>8.7519484786952777</v>
      </c>
      <c r="E152" s="138">
        <v>35</v>
      </c>
      <c r="F152" s="138">
        <v>27</v>
      </c>
      <c r="G152" s="130">
        <v>24.76</v>
      </c>
      <c r="H152" s="139">
        <v>-8</v>
      </c>
      <c r="I152" s="138">
        <v>3.1</v>
      </c>
      <c r="J152" s="138">
        <f t="shared" si="57"/>
        <v>0</v>
      </c>
      <c r="K152" s="137"/>
      <c r="L152" s="130"/>
      <c r="M152" s="138">
        <f>'Bayside #2'!$G$38</f>
        <v>14.534074970000001</v>
      </c>
      <c r="N152" s="830">
        <f t="shared" si="58"/>
        <v>14.5</v>
      </c>
      <c r="O152" s="138">
        <f>'Bayside #2'!$I$38</f>
        <v>29.186207849999999</v>
      </c>
      <c r="P152" s="138">
        <f t="shared" si="59"/>
        <v>29</v>
      </c>
      <c r="Q152" s="138">
        <f>'Bayside #2'!$K$38</f>
        <v>15.67913377</v>
      </c>
      <c r="R152" s="138">
        <f t="shared" si="60"/>
        <v>15.7</v>
      </c>
      <c r="S152" s="130">
        <f>IF('Plant &amp; Reserve'!$D152=0,0,ROUND(('Plant &amp; Reserve'!$E152/'Plant &amp; Reserve'!$D152)*100,2))</f>
        <v>40.21</v>
      </c>
      <c r="T152" s="160">
        <f>ROUND(100*'Bayside #2'!$O$38,0)</f>
        <v>-5</v>
      </c>
      <c r="U152" s="836">
        <f t="shared" si="61"/>
        <v>4.1319999999999997</v>
      </c>
      <c r="V152" s="138">
        <f t="shared" si="62"/>
        <v>4.0999999999999996</v>
      </c>
      <c r="W152" s="84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Y152" s="127"/>
    </row>
    <row r="153" spans="1:51" s="53" customFormat="1" x14ac:dyDescent="0.2">
      <c r="A153" s="140">
        <f>'Plant &amp; Reserve'!$A153</f>
        <v>34632</v>
      </c>
      <c r="B153" s="168" t="str">
        <f>'Plant &amp; Reserve'!$B153</f>
        <v>BP Unit No. 2</v>
      </c>
      <c r="C153" s="130"/>
      <c r="D153" s="170">
        <v>10.388511444269303</v>
      </c>
      <c r="E153" s="170">
        <v>37</v>
      </c>
      <c r="F153" s="170">
        <v>28</v>
      </c>
      <c r="G153" s="168">
        <v>24.96</v>
      </c>
      <c r="H153" s="837">
        <v>-2</v>
      </c>
      <c r="I153" s="170">
        <v>2.8</v>
      </c>
      <c r="J153" s="170">
        <f t="shared" si="57"/>
        <v>0</v>
      </c>
      <c r="K153" s="137"/>
      <c r="L153" s="130"/>
      <c r="M153" s="170">
        <f>'Bayside #2'!$G$45</f>
        <v>17.146560099999999</v>
      </c>
      <c r="N153" s="779">
        <f t="shared" si="58"/>
        <v>17.100000000000001</v>
      </c>
      <c r="O153" s="170">
        <f>'Bayside #2'!$I$45</f>
        <v>33.673840149999997</v>
      </c>
      <c r="P153" s="170">
        <f t="shared" si="59"/>
        <v>34</v>
      </c>
      <c r="Q153" s="170">
        <f>'Bayside #2'!$K$45</f>
        <v>17.98275452</v>
      </c>
      <c r="R153" s="170">
        <f t="shared" si="60"/>
        <v>18</v>
      </c>
      <c r="S153" s="168">
        <f>IF('Plant &amp; Reserve'!$D153=0,0,ROUND(('Plant &amp; Reserve'!$E153/'Plant &amp; Reserve'!$D153)*100,2))</f>
        <v>43.16</v>
      </c>
      <c r="T153" s="169">
        <f>ROUND(100*'Bayside #2'!$O$45,0)</f>
        <v>-2</v>
      </c>
      <c r="U153" s="838">
        <f t="shared" si="61"/>
        <v>3.2719999999999998</v>
      </c>
      <c r="V153" s="170">
        <f t="shared" si="62"/>
        <v>3.3</v>
      </c>
      <c r="W153" s="842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Y153" s="127"/>
    </row>
    <row r="154" spans="1:51" s="53" customFormat="1" x14ac:dyDescent="0.2">
      <c r="A154" s="134"/>
      <c r="B154" s="125" t="s">
        <v>75</v>
      </c>
      <c r="C154" s="128"/>
      <c r="D154" s="177">
        <v>8.0627867695046938</v>
      </c>
      <c r="E154" s="177">
        <v>29</v>
      </c>
      <c r="F154" s="177">
        <v>23</v>
      </c>
      <c r="G154" s="128">
        <v>31.12</v>
      </c>
      <c r="H154" s="820">
        <v>-6</v>
      </c>
      <c r="I154" s="177">
        <v>3.3</v>
      </c>
      <c r="J154" s="138">
        <f t="shared" si="57"/>
        <v>0</v>
      </c>
      <c r="K154" s="137"/>
      <c r="L154" s="130"/>
      <c r="M154" s="177">
        <f>'Bayside #2'!$G$53</f>
        <v>14.015087556702634</v>
      </c>
      <c r="N154" s="845">
        <f t="shared" si="58"/>
        <v>14</v>
      </c>
      <c r="O154" s="177">
        <f>'Bayside #2'!$I$53</f>
        <v>27.89197715395213</v>
      </c>
      <c r="P154" s="177">
        <f t="shared" si="59"/>
        <v>28</v>
      </c>
      <c r="Q154" s="177">
        <f>'Bayside #2'!$K$53</f>
        <v>14.768855899566807</v>
      </c>
      <c r="R154" s="177">
        <f t="shared" si="60"/>
        <v>14.8</v>
      </c>
      <c r="S154" s="128">
        <f>IF('Plant &amp; Reserve'!$D154=0,0,ROUND(('Plant &amp; Reserve'!$E154/'Plant &amp; Reserve'!$D154)*100,2))</f>
        <v>29.14</v>
      </c>
      <c r="T154" s="175">
        <f>ROUND(100*'Bayside #2'!$O$53,0)</f>
        <v>-6</v>
      </c>
      <c r="U154" s="836">
        <f t="shared" si="61"/>
        <v>5.2039999999999997</v>
      </c>
      <c r="V154" s="177">
        <f t="shared" si="62"/>
        <v>5.2</v>
      </c>
      <c r="W154" s="842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Y154" s="127"/>
    </row>
    <row r="155" spans="1:51" s="53" customFormat="1" x14ac:dyDescent="0.2">
      <c r="A155" s="134"/>
      <c r="B155" s="125"/>
      <c r="C155" s="130"/>
      <c r="D155" s="138"/>
      <c r="E155" s="138"/>
      <c r="F155" s="138"/>
      <c r="G155" s="130"/>
      <c r="H155" s="139"/>
      <c r="I155" s="138"/>
      <c r="J155" s="138"/>
      <c r="K155" s="137"/>
      <c r="L155" s="130"/>
      <c r="M155" s="138"/>
      <c r="N155" s="138"/>
      <c r="O155" s="138"/>
      <c r="P155" s="138"/>
      <c r="Q155" s="138"/>
      <c r="R155" s="138"/>
      <c r="S155" s="138"/>
      <c r="T155" s="160"/>
      <c r="U155" s="138"/>
      <c r="V155" s="138"/>
      <c r="W155" s="842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Y155" s="127"/>
    </row>
    <row r="156" spans="1:51" s="53" customFormat="1" x14ac:dyDescent="0.2">
      <c r="A156" s="140">
        <f>'Plant &amp; Reserve'!$A156</f>
        <v>34133</v>
      </c>
      <c r="B156" s="130" t="str">
        <f>'Plant &amp; Reserve'!$B156</f>
        <v>BP CT No. 3</v>
      </c>
      <c r="C156" s="130"/>
      <c r="D156" s="138">
        <v>2.5</v>
      </c>
      <c r="E156" s="138">
        <v>39</v>
      </c>
      <c r="F156" s="138">
        <v>37</v>
      </c>
      <c r="G156" s="130">
        <v>6.38</v>
      </c>
      <c r="H156" s="139">
        <v>-1</v>
      </c>
      <c r="I156" s="138">
        <v>2.6</v>
      </c>
      <c r="J156" s="138">
        <f t="shared" ref="J156:J161" si="63">IF(F156=0,0,ROUND(((100-H156-G156)/F156),1))-I156</f>
        <v>0</v>
      </c>
      <c r="K156" s="137"/>
      <c r="L156" s="130"/>
      <c r="M156" s="138">
        <f>'Bayside CT #3'!$G$17</f>
        <v>9.8465859800000004</v>
      </c>
      <c r="N156" s="830">
        <f t="shared" ref="N156:N161" si="64">ROUND(M156,1)</f>
        <v>9.8000000000000007</v>
      </c>
      <c r="O156" s="138">
        <f>'Bayside CT #3'!$I$17</f>
        <v>39.31</v>
      </c>
      <c r="P156" s="138">
        <f t="shared" ref="P156:P161" si="65">IF(O156&gt;20,ROUND(O156,0),ROUND(O156,1))</f>
        <v>39</v>
      </c>
      <c r="Q156" s="138">
        <f>'Bayside CT #3'!$K$17</f>
        <v>29.5</v>
      </c>
      <c r="R156" s="138">
        <f t="shared" ref="R156:R161" si="66">IF(Q156&gt;20,ROUND(Q156,0),ROUND(Q156,1))</f>
        <v>30</v>
      </c>
      <c r="S156" s="130">
        <f>IF('Plant &amp; Reserve'!$D156=0,0,ROUND(('Plant &amp; Reserve'!$E156/'Plant &amp; Reserve'!$D156)*100,2))</f>
        <v>-4.25</v>
      </c>
      <c r="T156" s="160">
        <f>ROUND(100*'Bayside CT #3'!$O$17,0)</f>
        <v>-2</v>
      </c>
      <c r="U156" s="836">
        <f t="shared" ref="U156:U161" si="67">IF(Q156=0,0,ROUND(((100-T156-S156)/Q156),3))</f>
        <v>3.6019999999999999</v>
      </c>
      <c r="V156" s="138">
        <f t="shared" ref="V156:V161" si="68">IF(R156=0,0,ROUND(((100-T156-S156)/R156),1))</f>
        <v>3.5</v>
      </c>
      <c r="W156" s="842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Y156" s="127"/>
    </row>
    <row r="157" spans="1:51" s="53" customFormat="1" x14ac:dyDescent="0.2">
      <c r="A157" s="140">
        <f>'Plant &amp; Reserve'!$A157</f>
        <v>34233</v>
      </c>
      <c r="B157" s="130" t="str">
        <f>'Plant &amp; Reserve'!$B157</f>
        <v>BP CT No. 3</v>
      </c>
      <c r="C157" s="130"/>
      <c r="D157" s="138">
        <v>2.5</v>
      </c>
      <c r="E157" s="138">
        <v>30</v>
      </c>
      <c r="F157" s="138">
        <v>27</v>
      </c>
      <c r="G157" s="130">
        <v>9.0500000000000007</v>
      </c>
      <c r="H157" s="139">
        <v>-6</v>
      </c>
      <c r="I157" s="138">
        <v>3.6</v>
      </c>
      <c r="J157" s="138">
        <f t="shared" si="63"/>
        <v>0</v>
      </c>
      <c r="K157" s="137"/>
      <c r="L157" s="130"/>
      <c r="M157" s="138">
        <f>'Bayside CT #3'!$G$24</f>
        <v>10.09490738</v>
      </c>
      <c r="N157" s="830">
        <f t="shared" si="64"/>
        <v>10.1</v>
      </c>
      <c r="O157" s="138">
        <f>'Bayside CT #3'!$I$24</f>
        <v>35.118132039999999</v>
      </c>
      <c r="P157" s="138">
        <f t="shared" si="65"/>
        <v>35</v>
      </c>
      <c r="Q157" s="138">
        <f>'Bayside CT #3'!$K$24</f>
        <v>25.109254419999999</v>
      </c>
      <c r="R157" s="138">
        <f t="shared" si="66"/>
        <v>25</v>
      </c>
      <c r="S157" s="130">
        <f>IF('Plant &amp; Reserve'!$D157=0,0,ROUND(('Plant &amp; Reserve'!$E157/'Plant &amp; Reserve'!$D157)*100,2))</f>
        <v>25.77</v>
      </c>
      <c r="T157" s="160">
        <f>ROUND(100*'Bayside CT #3'!$O$24,0)</f>
        <v>-5</v>
      </c>
      <c r="U157" s="836">
        <f t="shared" si="67"/>
        <v>3.1549999999999998</v>
      </c>
      <c r="V157" s="138">
        <f t="shared" si="68"/>
        <v>3.2</v>
      </c>
      <c r="W157" s="842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Y157" s="127"/>
    </row>
    <row r="158" spans="1:51" s="53" customFormat="1" x14ac:dyDescent="0.2">
      <c r="A158" s="140">
        <f>'Plant &amp; Reserve'!$A158</f>
        <v>34333</v>
      </c>
      <c r="B158" s="130" t="str">
        <f>'Plant &amp; Reserve'!$B158</f>
        <v>BP CT No. 3</v>
      </c>
      <c r="C158" s="130"/>
      <c r="D158" s="138">
        <v>2.5</v>
      </c>
      <c r="E158" s="138">
        <v>27</v>
      </c>
      <c r="F158" s="138">
        <v>24</v>
      </c>
      <c r="G158" s="130">
        <v>10.050000000000001</v>
      </c>
      <c r="H158" s="139">
        <v>-6</v>
      </c>
      <c r="I158" s="138">
        <v>4</v>
      </c>
      <c r="J158" s="138">
        <f t="shared" si="63"/>
        <v>0</v>
      </c>
      <c r="K158" s="137"/>
      <c r="L158" s="130"/>
      <c r="M158" s="138">
        <f>'Bayside CT #3'!$G$31</f>
        <v>10.292824830000001</v>
      </c>
      <c r="N158" s="830">
        <f t="shared" si="64"/>
        <v>10.3</v>
      </c>
      <c r="O158" s="138">
        <f>'Bayside CT #3'!$I$31</f>
        <v>30.171980439999999</v>
      </c>
      <c r="P158" s="138">
        <f t="shared" si="65"/>
        <v>30</v>
      </c>
      <c r="Q158" s="138">
        <f>'Bayside CT #3'!$K$31</f>
        <v>19.865388039999999</v>
      </c>
      <c r="R158" s="138">
        <f t="shared" si="66"/>
        <v>19.899999999999999</v>
      </c>
      <c r="S158" s="130">
        <f>IF('Plant &amp; Reserve'!$D158=0,0,ROUND(('Plant &amp; Reserve'!$E158/'Plant &amp; Reserve'!$D158)*100,2))</f>
        <v>45.01</v>
      </c>
      <c r="T158" s="160">
        <f>ROUND(100*'Bayside CT #3'!$O$31,0)</f>
        <v>-7</v>
      </c>
      <c r="U158" s="836">
        <f t="shared" si="67"/>
        <v>3.121</v>
      </c>
      <c r="V158" s="138">
        <f t="shared" si="68"/>
        <v>3.1</v>
      </c>
      <c r="W158" s="842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Y158" s="127"/>
    </row>
    <row r="159" spans="1:51" s="53" customFormat="1" x14ac:dyDescent="0.2">
      <c r="A159" s="140">
        <f>'Plant &amp; Reserve'!$A159</f>
        <v>34533</v>
      </c>
      <c r="B159" s="130" t="str">
        <f>'Plant &amp; Reserve'!$B159</f>
        <v>BP CT No. 3</v>
      </c>
      <c r="C159" s="130"/>
      <c r="D159" s="138">
        <v>2.5</v>
      </c>
      <c r="E159" s="138">
        <v>27</v>
      </c>
      <c r="F159" s="138">
        <v>25</v>
      </c>
      <c r="G159" s="130">
        <v>10.23</v>
      </c>
      <c r="H159" s="139">
        <v>-11</v>
      </c>
      <c r="I159" s="138">
        <v>4</v>
      </c>
      <c r="J159" s="138">
        <f t="shared" si="63"/>
        <v>0</v>
      </c>
      <c r="K159" s="137"/>
      <c r="L159" s="130"/>
      <c r="M159" s="138">
        <f>'Bayside CT #3'!$G$38</f>
        <v>9.2503436099999998</v>
      </c>
      <c r="N159" s="830">
        <f t="shared" si="64"/>
        <v>9.3000000000000007</v>
      </c>
      <c r="O159" s="138">
        <f>'Bayside CT #3'!$I$38</f>
        <v>37.030311789999999</v>
      </c>
      <c r="P159" s="138">
        <f t="shared" si="65"/>
        <v>37</v>
      </c>
      <c r="Q159" s="138">
        <f>'Bayside CT #3'!$K$38</f>
        <v>27.763871439999999</v>
      </c>
      <c r="R159" s="138">
        <f t="shared" si="66"/>
        <v>28</v>
      </c>
      <c r="S159" s="130">
        <f>IF('Plant &amp; Reserve'!$D159=0,0,ROUND(('Plant &amp; Reserve'!$E159/'Plant &amp; Reserve'!$D159)*100,2))</f>
        <v>30.34</v>
      </c>
      <c r="T159" s="160">
        <f>ROUND(100*'Bayside CT #3'!$O$38,0)</f>
        <v>-5</v>
      </c>
      <c r="U159" s="836">
        <f t="shared" si="67"/>
        <v>2.6890000000000001</v>
      </c>
      <c r="V159" s="138">
        <f t="shared" si="68"/>
        <v>2.7</v>
      </c>
      <c r="W159" s="842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Y159" s="127"/>
    </row>
    <row r="160" spans="1:51" s="53" customFormat="1" x14ac:dyDescent="0.2">
      <c r="A160" s="140">
        <f>'Plant &amp; Reserve'!$A160</f>
        <v>34633</v>
      </c>
      <c r="B160" s="168" t="str">
        <f>'Plant &amp; Reserve'!$B160</f>
        <v>BP CT No. 3</v>
      </c>
      <c r="C160" s="130"/>
      <c r="D160" s="170">
        <v>0</v>
      </c>
      <c r="E160" s="170">
        <v>0</v>
      </c>
      <c r="F160" s="170">
        <v>0</v>
      </c>
      <c r="G160" s="168">
        <v>0</v>
      </c>
      <c r="H160" s="837">
        <v>0</v>
      </c>
      <c r="I160" s="170">
        <v>4</v>
      </c>
      <c r="J160" s="170">
        <f t="shared" si="63"/>
        <v>-4</v>
      </c>
      <c r="K160" s="137"/>
      <c r="L160" s="130"/>
      <c r="M160" s="170">
        <f>'Bayside CT #3'!$G$45</f>
        <v>10.5</v>
      </c>
      <c r="N160" s="779">
        <f t="shared" si="64"/>
        <v>10.5</v>
      </c>
      <c r="O160" s="170">
        <f>'Bayside CT #3'!$I$45</f>
        <v>30</v>
      </c>
      <c r="P160" s="170">
        <f t="shared" si="65"/>
        <v>30</v>
      </c>
      <c r="Q160" s="170">
        <f>'Bayside CT #3'!$K$45</f>
        <v>19.454546000000001</v>
      </c>
      <c r="R160" s="170">
        <f t="shared" si="66"/>
        <v>19.5</v>
      </c>
      <c r="S160" s="168">
        <f>IF('Plant &amp; Reserve'!$D160=0,0,ROUND(('Plant &amp; Reserve'!$E160/'Plant &amp; Reserve'!$D160)*100,2))</f>
        <v>35.58</v>
      </c>
      <c r="T160" s="169">
        <f>ROUND(100*'Bayside CT #3'!$O$45,0)</f>
        <v>-2</v>
      </c>
      <c r="U160" s="838">
        <f t="shared" si="67"/>
        <v>3.4140000000000001</v>
      </c>
      <c r="V160" s="170">
        <f t="shared" si="68"/>
        <v>3.4</v>
      </c>
      <c r="W160" s="842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Y160" s="127"/>
    </row>
    <row r="161" spans="1:51" s="53" customFormat="1" x14ac:dyDescent="0.2">
      <c r="A161" s="134"/>
      <c r="B161" s="125" t="s">
        <v>75</v>
      </c>
      <c r="C161" s="128"/>
      <c r="D161" s="177">
        <v>2.5</v>
      </c>
      <c r="E161" s="177">
        <v>28</v>
      </c>
      <c r="F161" s="177">
        <v>26</v>
      </c>
      <c r="G161" s="128">
        <v>31.74</v>
      </c>
      <c r="H161" s="820">
        <v>-6</v>
      </c>
      <c r="I161" s="177">
        <v>2.9</v>
      </c>
      <c r="J161" s="138">
        <f t="shared" si="63"/>
        <v>0</v>
      </c>
      <c r="K161" s="137"/>
      <c r="L161" s="130"/>
      <c r="M161" s="177">
        <f>'Bayside CT #3'!$G$53</f>
        <v>9.828550444573974</v>
      </c>
      <c r="N161" s="845">
        <f t="shared" si="64"/>
        <v>9.8000000000000007</v>
      </c>
      <c r="O161" s="177">
        <f>'Bayside CT #3'!$I$53</f>
        <v>33.717596112363786</v>
      </c>
      <c r="P161" s="177">
        <f t="shared" si="65"/>
        <v>34</v>
      </c>
      <c r="Q161" s="177">
        <f>'Bayside CT #3'!$K$53</f>
        <v>23.885410243273139</v>
      </c>
      <c r="R161" s="177">
        <f t="shared" si="66"/>
        <v>24</v>
      </c>
      <c r="S161" s="128">
        <f>IF('Plant &amp; Reserve'!$D161=0,0,ROUND(('Plant &amp; Reserve'!$E161/'Plant &amp; Reserve'!$D161)*100,2))</f>
        <v>35.97</v>
      </c>
      <c r="T161" s="175">
        <f>ROUND(100*'Bayside CT #3'!$O$53,0)</f>
        <v>-6</v>
      </c>
      <c r="U161" s="836">
        <f t="shared" si="67"/>
        <v>2.9319999999999999</v>
      </c>
      <c r="V161" s="177">
        <f t="shared" si="68"/>
        <v>2.9</v>
      </c>
      <c r="W161" s="842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Y161" s="127"/>
    </row>
    <row r="162" spans="1:51" s="53" customFormat="1" x14ac:dyDescent="0.2">
      <c r="A162" s="134"/>
      <c r="B162" s="125"/>
      <c r="C162" s="130"/>
      <c r="D162" s="138"/>
      <c r="E162" s="138"/>
      <c r="F162" s="138"/>
      <c r="G162" s="130"/>
      <c r="H162" s="139"/>
      <c r="I162" s="138"/>
      <c r="J162" s="138"/>
      <c r="K162" s="137"/>
      <c r="L162" s="130"/>
      <c r="M162" s="138"/>
      <c r="N162" s="138"/>
      <c r="O162" s="138"/>
      <c r="P162" s="138"/>
      <c r="Q162" s="138"/>
      <c r="R162" s="138"/>
      <c r="S162" s="138"/>
      <c r="T162" s="160"/>
      <c r="U162" s="138"/>
      <c r="V162" s="138"/>
      <c r="W162" s="84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Y162" s="127"/>
    </row>
    <row r="163" spans="1:51" s="53" customFormat="1" x14ac:dyDescent="0.2">
      <c r="A163" s="140">
        <f>'Plant &amp; Reserve'!$A163</f>
        <v>34134</v>
      </c>
      <c r="B163" s="130" t="str">
        <f>'Plant &amp; Reserve'!$B163</f>
        <v>BP CT No. 4</v>
      </c>
      <c r="C163" s="130"/>
      <c r="D163" s="138">
        <v>2.5</v>
      </c>
      <c r="E163" s="138">
        <v>39</v>
      </c>
      <c r="F163" s="138">
        <v>37</v>
      </c>
      <c r="G163" s="130">
        <v>6.38</v>
      </c>
      <c r="H163" s="139">
        <v>-1</v>
      </c>
      <c r="I163" s="138">
        <v>2.6</v>
      </c>
      <c r="J163" s="138">
        <f t="shared" ref="J163:J168" si="69">IF(F163=0,0,ROUND(((100-H163-G163)/F163),1))-I163</f>
        <v>0</v>
      </c>
      <c r="K163" s="137"/>
      <c r="L163" s="130"/>
      <c r="M163" s="138">
        <f>'Bayside CT #4'!$G$17</f>
        <v>10.309234780000001</v>
      </c>
      <c r="N163" s="830">
        <f t="shared" ref="N163:N168" si="70">ROUND(M163,1)</f>
        <v>10.3</v>
      </c>
      <c r="O163" s="138">
        <f>'Bayside CT #4'!$I$17</f>
        <v>39.79</v>
      </c>
      <c r="P163" s="138">
        <f t="shared" ref="P163:P168" si="71">IF(O163&gt;20,ROUND(O163,0),ROUND(O163,1))</f>
        <v>40</v>
      </c>
      <c r="Q163" s="138">
        <f>'Bayside CT #4'!$K$17</f>
        <v>29.5</v>
      </c>
      <c r="R163" s="138">
        <f t="shared" ref="R163:R168" si="72">IF(Q163&gt;20,ROUND(Q163,0),ROUND(Q163,1))</f>
        <v>30</v>
      </c>
      <c r="S163" s="130">
        <f>IF('Plant &amp; Reserve'!$D163=0,0,ROUND(('Plant &amp; Reserve'!$E163/'Plant &amp; Reserve'!$D163)*100,2))</f>
        <v>-50.68</v>
      </c>
      <c r="T163" s="160">
        <f>ROUND(100*'Bayside CT #4'!$O$17,0)</f>
        <v>-2</v>
      </c>
      <c r="U163" s="836">
        <f t="shared" ref="U163:U168" si="73">IF(Q163=0,0,ROUND(((100-T163-S163)/Q163),3))</f>
        <v>5.1760000000000002</v>
      </c>
      <c r="V163" s="138">
        <f t="shared" ref="V163:V168" si="74">IF(R163=0,0,ROUND(((100-T163-S163)/R163),1))</f>
        <v>5.0999999999999996</v>
      </c>
      <c r="W163" s="842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Y163" s="127"/>
    </row>
    <row r="164" spans="1:51" s="53" customFormat="1" x14ac:dyDescent="0.2">
      <c r="A164" s="140">
        <f>'Plant &amp; Reserve'!$A164</f>
        <v>34234</v>
      </c>
      <c r="B164" s="130" t="str">
        <f>'Plant &amp; Reserve'!$B164</f>
        <v>BP CT No. 4</v>
      </c>
      <c r="C164" s="130"/>
      <c r="D164" s="138">
        <v>2.5</v>
      </c>
      <c r="E164" s="138">
        <v>30</v>
      </c>
      <c r="F164" s="138">
        <v>27</v>
      </c>
      <c r="G164" s="130">
        <v>9.0500000000000007</v>
      </c>
      <c r="H164" s="139">
        <v>-6</v>
      </c>
      <c r="I164" s="138">
        <v>3.6</v>
      </c>
      <c r="J164" s="138">
        <f t="shared" si="69"/>
        <v>0</v>
      </c>
      <c r="K164" s="137"/>
      <c r="L164" s="130"/>
      <c r="M164" s="138">
        <f>'Bayside CT #4'!$G$24</f>
        <v>9.9224032599999994</v>
      </c>
      <c r="N164" s="830">
        <f t="shared" si="70"/>
        <v>9.9</v>
      </c>
      <c r="O164" s="138">
        <f>'Bayside CT #4'!$I$24</f>
        <v>35.244913050000001</v>
      </c>
      <c r="P164" s="138">
        <f t="shared" si="71"/>
        <v>35</v>
      </c>
      <c r="Q164" s="138">
        <f>'Bayside CT #4'!$K$24</f>
        <v>25.380523069999999</v>
      </c>
      <c r="R164" s="138">
        <f t="shared" si="72"/>
        <v>25</v>
      </c>
      <c r="S164" s="130">
        <f>IF('Plant &amp; Reserve'!$D164=0,0,ROUND(('Plant &amp; Reserve'!$E164/'Plant &amp; Reserve'!$D164)*100,2))</f>
        <v>25.77</v>
      </c>
      <c r="T164" s="160">
        <f>ROUND(100*'Bayside CT #4'!$O$24,0)</f>
        <v>-5</v>
      </c>
      <c r="U164" s="836">
        <f t="shared" si="73"/>
        <v>3.1219999999999999</v>
      </c>
      <c r="V164" s="138">
        <f t="shared" si="74"/>
        <v>3.2</v>
      </c>
      <c r="W164" s="842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Y164" s="127"/>
    </row>
    <row r="165" spans="1:51" s="53" customFormat="1" x14ac:dyDescent="0.2">
      <c r="A165" s="140">
        <f>'Plant &amp; Reserve'!$A165</f>
        <v>34334</v>
      </c>
      <c r="B165" s="130" t="str">
        <f>'Plant &amp; Reserve'!$B165</f>
        <v>BP CT No. 4</v>
      </c>
      <c r="C165" s="130"/>
      <c r="D165" s="138">
        <v>2.5</v>
      </c>
      <c r="E165" s="138">
        <v>27</v>
      </c>
      <c r="F165" s="138">
        <v>24</v>
      </c>
      <c r="G165" s="130">
        <v>10.050000000000001</v>
      </c>
      <c r="H165" s="139">
        <v>-6</v>
      </c>
      <c r="I165" s="138">
        <v>4</v>
      </c>
      <c r="J165" s="138">
        <f t="shared" si="69"/>
        <v>0</v>
      </c>
      <c r="K165" s="137"/>
      <c r="L165" s="130"/>
      <c r="M165" s="138">
        <f>'Bayside CT #4'!$G$31</f>
        <v>10.01070509</v>
      </c>
      <c r="N165" s="830">
        <f t="shared" si="70"/>
        <v>10</v>
      </c>
      <c r="O165" s="138">
        <f>'Bayside CT #4'!$I$31</f>
        <v>29.76937714</v>
      </c>
      <c r="P165" s="138">
        <f t="shared" si="71"/>
        <v>30</v>
      </c>
      <c r="Q165" s="138">
        <f>'Bayside CT #4'!$K$31</f>
        <v>19.744369349999999</v>
      </c>
      <c r="R165" s="138">
        <f t="shared" si="72"/>
        <v>19.7</v>
      </c>
      <c r="S165" s="130">
        <f>IF('Plant &amp; Reserve'!$D165=0,0,ROUND(('Plant &amp; Reserve'!$E165/'Plant &amp; Reserve'!$D165)*100,2))</f>
        <v>43.88</v>
      </c>
      <c r="T165" s="160">
        <f>ROUND(100*'Bayside CT #4'!$O$31,0)</f>
        <v>-7</v>
      </c>
      <c r="U165" s="836">
        <f t="shared" si="73"/>
        <v>3.1970000000000001</v>
      </c>
      <c r="V165" s="138">
        <f t="shared" si="74"/>
        <v>3.2</v>
      </c>
      <c r="W165" s="842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Y165" s="127"/>
    </row>
    <row r="166" spans="1:51" s="53" customFormat="1" x14ac:dyDescent="0.2">
      <c r="A166" s="140">
        <f>'Plant &amp; Reserve'!$A166</f>
        <v>34534</v>
      </c>
      <c r="B166" s="130" t="str">
        <f>'Plant &amp; Reserve'!$B166</f>
        <v>BP CT No. 4</v>
      </c>
      <c r="C166" s="130"/>
      <c r="D166" s="138">
        <v>2.5</v>
      </c>
      <c r="E166" s="138">
        <v>27</v>
      </c>
      <c r="F166" s="138">
        <v>25</v>
      </c>
      <c r="G166" s="130">
        <v>10.23</v>
      </c>
      <c r="H166" s="139">
        <v>-11</v>
      </c>
      <c r="I166" s="138">
        <v>4</v>
      </c>
      <c r="J166" s="138">
        <f t="shared" si="69"/>
        <v>0</v>
      </c>
      <c r="K166" s="137"/>
      <c r="L166" s="130"/>
      <c r="M166" s="138">
        <f>'Bayside CT #4'!$G$38</f>
        <v>10.26256098</v>
      </c>
      <c r="N166" s="830">
        <f t="shared" si="70"/>
        <v>10.3</v>
      </c>
      <c r="O166" s="138">
        <f>'Bayside CT #4'!$I$38</f>
        <v>35.006419039999997</v>
      </c>
      <c r="P166" s="138">
        <f t="shared" si="71"/>
        <v>35</v>
      </c>
      <c r="Q166" s="138">
        <f>'Bayside CT #4'!$K$38</f>
        <v>24.726536339999999</v>
      </c>
      <c r="R166" s="138">
        <f t="shared" si="72"/>
        <v>25</v>
      </c>
      <c r="S166" s="130">
        <f>IF('Plant &amp; Reserve'!$D166=0,0,ROUND(('Plant &amp; Reserve'!$E166/'Plant &amp; Reserve'!$D166)*100,2))</f>
        <v>34.14</v>
      </c>
      <c r="T166" s="160">
        <f>ROUND(100*'Bayside CT #4'!$O$38,0)</f>
        <v>-5</v>
      </c>
      <c r="U166" s="836">
        <f t="shared" si="73"/>
        <v>2.8660000000000001</v>
      </c>
      <c r="V166" s="138">
        <f t="shared" si="74"/>
        <v>2.8</v>
      </c>
      <c r="W166" s="842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Y166" s="127"/>
    </row>
    <row r="167" spans="1:51" s="53" customFormat="1" x14ac:dyDescent="0.2">
      <c r="A167" s="140">
        <f>'Plant &amp; Reserve'!$A167</f>
        <v>34634</v>
      </c>
      <c r="B167" s="168" t="str">
        <f>'Plant &amp; Reserve'!$B167</f>
        <v>BP CT No. 4</v>
      </c>
      <c r="C167" s="130"/>
      <c r="D167" s="170">
        <v>0</v>
      </c>
      <c r="E167" s="170">
        <v>0</v>
      </c>
      <c r="F167" s="170">
        <v>0</v>
      </c>
      <c r="G167" s="168">
        <v>0</v>
      </c>
      <c r="H167" s="837">
        <v>0</v>
      </c>
      <c r="I167" s="170">
        <v>4</v>
      </c>
      <c r="J167" s="170">
        <f t="shared" si="69"/>
        <v>-4</v>
      </c>
      <c r="K167" s="137"/>
      <c r="L167" s="130"/>
      <c r="M167" s="170">
        <f>'Bayside CT #4'!$G$45</f>
        <v>10.5</v>
      </c>
      <c r="N167" s="779">
        <f t="shared" si="70"/>
        <v>10.5</v>
      </c>
      <c r="O167" s="170">
        <f>'Bayside CT #4'!$I$45</f>
        <v>30</v>
      </c>
      <c r="P167" s="170">
        <f t="shared" si="71"/>
        <v>30</v>
      </c>
      <c r="Q167" s="170">
        <f>'Bayside CT #4'!$K$45</f>
        <v>19.454546000000001</v>
      </c>
      <c r="R167" s="170">
        <f t="shared" si="72"/>
        <v>19.5</v>
      </c>
      <c r="S167" s="168">
        <f>IF('Plant &amp; Reserve'!$D167=0,0,ROUND(('Plant &amp; Reserve'!$E167/'Plant &amp; Reserve'!$D167)*100,2))</f>
        <v>35.58</v>
      </c>
      <c r="T167" s="169">
        <f>ROUND(100*'Bayside CT #4'!$O$45,0)</f>
        <v>-2</v>
      </c>
      <c r="U167" s="838">
        <f t="shared" si="73"/>
        <v>3.4140000000000001</v>
      </c>
      <c r="V167" s="170">
        <f t="shared" si="74"/>
        <v>3.4</v>
      </c>
      <c r="W167" s="842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Y167" s="127"/>
    </row>
    <row r="168" spans="1:51" s="53" customFormat="1" x14ac:dyDescent="0.2">
      <c r="A168" s="134"/>
      <c r="B168" s="125" t="s">
        <v>75</v>
      </c>
      <c r="C168" s="128"/>
      <c r="D168" s="177">
        <v>2.5</v>
      </c>
      <c r="E168" s="177">
        <v>28</v>
      </c>
      <c r="F168" s="177">
        <v>26</v>
      </c>
      <c r="G168" s="128">
        <v>24.36</v>
      </c>
      <c r="H168" s="820">
        <v>-6</v>
      </c>
      <c r="I168" s="177">
        <v>3.1</v>
      </c>
      <c r="J168" s="138">
        <f t="shared" si="69"/>
        <v>0</v>
      </c>
      <c r="K168" s="137"/>
      <c r="L168" s="130"/>
      <c r="M168" s="177">
        <f>'Bayside CT #4'!$G$53</f>
        <v>10.044501769801951</v>
      </c>
      <c r="N168" s="845">
        <f t="shared" si="70"/>
        <v>10</v>
      </c>
      <c r="O168" s="177">
        <f>'Bayside CT #4'!$I$53</f>
        <v>31.557752851954124</v>
      </c>
      <c r="P168" s="177">
        <f t="shared" si="71"/>
        <v>32</v>
      </c>
      <c r="Q168" s="177">
        <f>'Bayside CT #4'!$K$53</f>
        <v>21.509125645877944</v>
      </c>
      <c r="R168" s="177">
        <f t="shared" si="72"/>
        <v>22</v>
      </c>
      <c r="S168" s="128">
        <f>IF('Plant &amp; Reserve'!$D168=0,0,ROUND(('Plant &amp; Reserve'!$E168/'Plant &amp; Reserve'!$D168)*100,2))</f>
        <v>38.630000000000003</v>
      </c>
      <c r="T168" s="175">
        <f>ROUND(100*'Bayside CT #4'!$O$53,0)</f>
        <v>-6</v>
      </c>
      <c r="U168" s="836">
        <f t="shared" si="73"/>
        <v>3.1320000000000001</v>
      </c>
      <c r="V168" s="177">
        <f t="shared" si="74"/>
        <v>3.1</v>
      </c>
      <c r="W168" s="842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Y168" s="127"/>
    </row>
    <row r="169" spans="1:51" s="53" customFormat="1" x14ac:dyDescent="0.2">
      <c r="A169" s="134"/>
      <c r="B169" s="125"/>
      <c r="C169" s="130"/>
      <c r="D169" s="138"/>
      <c r="E169" s="138"/>
      <c r="F169" s="138"/>
      <c r="G169" s="130"/>
      <c r="H169" s="139"/>
      <c r="I169" s="138"/>
      <c r="J169" s="138"/>
      <c r="K169" s="137"/>
      <c r="L169" s="130"/>
      <c r="M169" s="138"/>
      <c r="N169" s="138"/>
      <c r="O169" s="138"/>
      <c r="P169" s="138"/>
      <c r="Q169" s="138"/>
      <c r="R169" s="138"/>
      <c r="S169" s="138"/>
      <c r="T169" s="160"/>
      <c r="U169" s="138"/>
      <c r="V169" s="138"/>
      <c r="W169" s="842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Y169" s="127"/>
    </row>
    <row r="170" spans="1:51" s="53" customFormat="1" x14ac:dyDescent="0.2">
      <c r="A170" s="140">
        <f>'Plant &amp; Reserve'!$A170</f>
        <v>34135</v>
      </c>
      <c r="B170" s="130" t="str">
        <f>'Plant &amp; Reserve'!$B170</f>
        <v>BP CT No. 5</v>
      </c>
      <c r="C170" s="130"/>
      <c r="D170" s="138">
        <v>2.5</v>
      </c>
      <c r="E170" s="138">
        <v>39</v>
      </c>
      <c r="F170" s="138">
        <v>37</v>
      </c>
      <c r="G170" s="130">
        <v>6.38</v>
      </c>
      <c r="H170" s="139">
        <v>-1</v>
      </c>
      <c r="I170" s="138">
        <v>2.6</v>
      </c>
      <c r="J170" s="138">
        <f t="shared" ref="J170:J175" si="75">IF(F170=0,0,ROUND(((100-H170-G170)/F170),1))-I170</f>
        <v>0</v>
      </c>
      <c r="K170" s="137"/>
      <c r="L170" s="130"/>
      <c r="M170" s="138">
        <f>'Bayside CT #5'!$G$17</f>
        <v>8.8634942599999995</v>
      </c>
      <c r="N170" s="830">
        <f t="shared" ref="N170:N175" si="76">ROUND(M170,1)</f>
        <v>8.9</v>
      </c>
      <c r="O170" s="138">
        <f>'Bayside CT #5'!$I$17</f>
        <v>36.371486410000003</v>
      </c>
      <c r="P170" s="138">
        <f t="shared" ref="P170:P175" si="77">IF(O170&gt;20,ROUND(O170,0),ROUND(O170,1))</f>
        <v>36</v>
      </c>
      <c r="Q170" s="138">
        <f>'Bayside CT #5'!$K$17</f>
        <v>27.54760636</v>
      </c>
      <c r="R170" s="138">
        <f t="shared" ref="R170:R175" si="78">IF(Q170&gt;20,ROUND(Q170,0),ROUND(Q170,1))</f>
        <v>28</v>
      </c>
      <c r="S170" s="130">
        <f>IF('Plant &amp; Reserve'!$D170=0,0,ROUND(('Plant &amp; Reserve'!$E170/'Plant &amp; Reserve'!$D170)*100,2))</f>
        <v>-21.89</v>
      </c>
      <c r="T170" s="160">
        <f>ROUND(100*'Bayside CT #5'!$O$17,0)</f>
        <v>-2</v>
      </c>
      <c r="U170" s="836">
        <f t="shared" ref="U170:U175" si="79">IF(Q170=0,0,ROUND(((100-T170-S170)/Q170),3))</f>
        <v>4.4969999999999999</v>
      </c>
      <c r="V170" s="138">
        <f t="shared" ref="V170:V175" si="80">IF(R170=0,0,ROUND(((100-T170-S170)/R170),1))</f>
        <v>4.4000000000000004</v>
      </c>
      <c r="W170" s="842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Y170" s="127"/>
    </row>
    <row r="171" spans="1:51" s="53" customFormat="1" x14ac:dyDescent="0.2">
      <c r="A171" s="140">
        <f>'Plant &amp; Reserve'!$A171</f>
        <v>34235</v>
      </c>
      <c r="B171" s="130" t="str">
        <f>'Plant &amp; Reserve'!$B171</f>
        <v>BP CT No. 5</v>
      </c>
      <c r="C171" s="130"/>
      <c r="D171" s="138">
        <v>2.5</v>
      </c>
      <c r="E171" s="138">
        <v>30</v>
      </c>
      <c r="F171" s="138">
        <v>27</v>
      </c>
      <c r="G171" s="130">
        <v>9.0500000000000007</v>
      </c>
      <c r="H171" s="139">
        <v>-6</v>
      </c>
      <c r="I171" s="138">
        <v>3.6</v>
      </c>
      <c r="J171" s="138">
        <f t="shared" si="75"/>
        <v>0</v>
      </c>
      <c r="K171" s="137"/>
      <c r="L171" s="130"/>
      <c r="M171" s="138">
        <f>'Bayside CT #5'!$G$24</f>
        <v>10.43719069</v>
      </c>
      <c r="N171" s="830">
        <f t="shared" si="76"/>
        <v>10.4</v>
      </c>
      <c r="O171" s="138">
        <f>'Bayside CT #5'!$I$24</f>
        <v>33.917539750000003</v>
      </c>
      <c r="P171" s="138">
        <f t="shared" si="77"/>
        <v>34</v>
      </c>
      <c r="Q171" s="138">
        <f>'Bayside CT #5'!$K$24</f>
        <v>23.553230500000002</v>
      </c>
      <c r="R171" s="138">
        <f t="shared" si="78"/>
        <v>24</v>
      </c>
      <c r="S171" s="130">
        <f>IF('Plant &amp; Reserve'!$D171=0,0,ROUND(('Plant &amp; Reserve'!$E171/'Plant &amp; Reserve'!$D171)*100,2))</f>
        <v>26.99</v>
      </c>
      <c r="T171" s="160">
        <f>ROUND(100*'Bayside CT #5'!$O$24,0)</f>
        <v>-5</v>
      </c>
      <c r="U171" s="836">
        <f t="shared" si="79"/>
        <v>3.3119999999999998</v>
      </c>
      <c r="V171" s="138">
        <f t="shared" si="80"/>
        <v>3.3</v>
      </c>
      <c r="W171" s="842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Y171" s="127"/>
    </row>
    <row r="172" spans="1:51" s="53" customFormat="1" x14ac:dyDescent="0.2">
      <c r="A172" s="140">
        <f>'Plant &amp; Reserve'!$A172</f>
        <v>34335</v>
      </c>
      <c r="B172" s="130" t="str">
        <f>'Plant &amp; Reserve'!$B172</f>
        <v>BP CT No. 5</v>
      </c>
      <c r="C172" s="130"/>
      <c r="D172" s="138">
        <v>2.5</v>
      </c>
      <c r="E172" s="138">
        <v>27</v>
      </c>
      <c r="F172" s="138">
        <v>24</v>
      </c>
      <c r="G172" s="130">
        <v>10.050000000000001</v>
      </c>
      <c r="H172" s="139">
        <v>-6</v>
      </c>
      <c r="I172" s="138">
        <v>4</v>
      </c>
      <c r="J172" s="138">
        <f t="shared" si="75"/>
        <v>0</v>
      </c>
      <c r="K172" s="137"/>
      <c r="L172" s="130"/>
      <c r="M172" s="138">
        <f>'Bayside CT #5'!$G$31</f>
        <v>10.05575655</v>
      </c>
      <c r="N172" s="830">
        <f t="shared" si="76"/>
        <v>10.1</v>
      </c>
      <c r="O172" s="138">
        <f>'Bayside CT #5'!$I$31</f>
        <v>27.55893712</v>
      </c>
      <c r="P172" s="138">
        <f t="shared" si="77"/>
        <v>28</v>
      </c>
      <c r="Q172" s="138">
        <f>'Bayside CT #5'!$K$31</f>
        <v>17.505883010000002</v>
      </c>
      <c r="R172" s="138">
        <f t="shared" si="78"/>
        <v>17.5</v>
      </c>
      <c r="S172" s="130">
        <f>IF('Plant &amp; Reserve'!$D172=0,0,ROUND(('Plant &amp; Reserve'!$E172/'Plant &amp; Reserve'!$D172)*100,2))</f>
        <v>46.88</v>
      </c>
      <c r="T172" s="160">
        <f>ROUND(100*'Bayside CT #5'!$O$31,0)</f>
        <v>-7</v>
      </c>
      <c r="U172" s="836">
        <f t="shared" si="79"/>
        <v>3.4340000000000002</v>
      </c>
      <c r="V172" s="138">
        <f t="shared" si="80"/>
        <v>3.4</v>
      </c>
      <c r="W172" s="84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Y172" s="127"/>
    </row>
    <row r="173" spans="1:51" s="53" customFormat="1" x14ac:dyDescent="0.2">
      <c r="A173" s="140">
        <f>'Plant &amp; Reserve'!$A173</f>
        <v>34535</v>
      </c>
      <c r="B173" s="130" t="str">
        <f>'Plant &amp; Reserve'!$B173</f>
        <v>BP CT No. 5</v>
      </c>
      <c r="C173" s="130"/>
      <c r="D173" s="138">
        <v>2.5</v>
      </c>
      <c r="E173" s="138">
        <v>27</v>
      </c>
      <c r="F173" s="138">
        <v>25</v>
      </c>
      <c r="G173" s="130">
        <v>10.23</v>
      </c>
      <c r="H173" s="139">
        <v>-11</v>
      </c>
      <c r="I173" s="138">
        <v>4</v>
      </c>
      <c r="J173" s="138">
        <f t="shared" si="75"/>
        <v>0</v>
      </c>
      <c r="K173" s="137"/>
      <c r="L173" s="130"/>
      <c r="M173" s="138">
        <f>'Bayside CT #5'!$G$38</f>
        <v>10.48581532</v>
      </c>
      <c r="N173" s="830">
        <f t="shared" si="76"/>
        <v>10.5</v>
      </c>
      <c r="O173" s="138">
        <f>'Bayside CT #5'!$I$38</f>
        <v>36.890486510000002</v>
      </c>
      <c r="P173" s="138">
        <f t="shared" si="77"/>
        <v>37</v>
      </c>
      <c r="Q173" s="138">
        <f>'Bayside CT #5'!$K$38</f>
        <v>26.439054899999999</v>
      </c>
      <c r="R173" s="138">
        <f t="shared" si="78"/>
        <v>26</v>
      </c>
      <c r="S173" s="130">
        <f>IF('Plant &amp; Reserve'!$D173=0,0,ROUND(('Plant &amp; Reserve'!$E173/'Plant &amp; Reserve'!$D173)*100,2))</f>
        <v>34.869999999999997</v>
      </c>
      <c r="T173" s="160">
        <f>ROUND(100*'Bayside CT #5'!$O$38,0)</f>
        <v>-5</v>
      </c>
      <c r="U173" s="836">
        <f t="shared" si="79"/>
        <v>2.653</v>
      </c>
      <c r="V173" s="138">
        <f t="shared" si="80"/>
        <v>2.7</v>
      </c>
      <c r="W173" s="842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Y173" s="127"/>
    </row>
    <row r="174" spans="1:51" s="53" customFormat="1" x14ac:dyDescent="0.2">
      <c r="A174" s="140">
        <f>'Plant &amp; Reserve'!$A174</f>
        <v>34635</v>
      </c>
      <c r="B174" s="168" t="str">
        <f>'Plant &amp; Reserve'!$B174</f>
        <v>BP CT No. 5</v>
      </c>
      <c r="C174" s="130"/>
      <c r="D174" s="170">
        <v>0</v>
      </c>
      <c r="E174" s="170">
        <v>0</v>
      </c>
      <c r="F174" s="170">
        <v>0</v>
      </c>
      <c r="G174" s="168">
        <v>0</v>
      </c>
      <c r="H174" s="837">
        <v>0</v>
      </c>
      <c r="I174" s="170">
        <v>4</v>
      </c>
      <c r="J174" s="170">
        <f t="shared" si="75"/>
        <v>-4</v>
      </c>
      <c r="K174" s="137"/>
      <c r="L174" s="130"/>
      <c r="M174" s="170">
        <f>M173</f>
        <v>10.48581532</v>
      </c>
      <c r="N174" s="779">
        <f t="shared" si="76"/>
        <v>10.5</v>
      </c>
      <c r="O174" s="170">
        <f>O173</f>
        <v>36.890486510000002</v>
      </c>
      <c r="P174" s="170">
        <f t="shared" si="77"/>
        <v>37</v>
      </c>
      <c r="Q174" s="170">
        <f>Q173</f>
        <v>26.439054899999999</v>
      </c>
      <c r="R174" s="170">
        <f t="shared" si="78"/>
        <v>26</v>
      </c>
      <c r="S174" s="168">
        <f>IF('Plant &amp; Reserve'!$D174=0,0,ROUND(('Plant &amp; Reserve'!$E174/'Plant &amp; Reserve'!$D174)*100,2))</f>
        <v>0</v>
      </c>
      <c r="T174" s="837">
        <v>-2</v>
      </c>
      <c r="U174" s="838">
        <f t="shared" si="79"/>
        <v>3.8580000000000001</v>
      </c>
      <c r="V174" s="170">
        <f t="shared" si="80"/>
        <v>3.9</v>
      </c>
      <c r="W174" s="842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Y174" s="127"/>
    </row>
    <row r="175" spans="1:51" s="53" customFormat="1" x14ac:dyDescent="0.2">
      <c r="A175" s="134"/>
      <c r="B175" s="125" t="s">
        <v>75</v>
      </c>
      <c r="C175" s="128"/>
      <c r="D175" s="177">
        <v>2.4999999999999996</v>
      </c>
      <c r="E175" s="177">
        <v>28</v>
      </c>
      <c r="F175" s="177">
        <v>26</v>
      </c>
      <c r="G175" s="128">
        <v>23.03</v>
      </c>
      <c r="H175" s="820">
        <v>-6</v>
      </c>
      <c r="I175" s="177">
        <v>3.2</v>
      </c>
      <c r="J175" s="138">
        <f t="shared" si="75"/>
        <v>0</v>
      </c>
      <c r="K175" s="137"/>
      <c r="L175" s="130"/>
      <c r="M175" s="177">
        <f>'Bayside CT #5'!$G$53</f>
        <v>10.188441298942907</v>
      </c>
      <c r="N175" s="845">
        <f t="shared" si="76"/>
        <v>10.199999999999999</v>
      </c>
      <c r="O175" s="177">
        <f>'Bayside CT #5'!$I$53</f>
        <v>31.188043566417416</v>
      </c>
      <c r="P175" s="177">
        <f t="shared" si="77"/>
        <v>31</v>
      </c>
      <c r="Q175" s="177">
        <f>'Bayside CT #5'!$K$53</f>
        <v>21.017896168635506</v>
      </c>
      <c r="R175" s="177">
        <f t="shared" si="78"/>
        <v>21</v>
      </c>
      <c r="S175" s="128">
        <f>IF('Plant &amp; Reserve'!$D175=0,0,ROUND(('Plant &amp; Reserve'!$E175/'Plant &amp; Reserve'!$D175)*100,2))</f>
        <v>40.020000000000003</v>
      </c>
      <c r="T175" s="175">
        <f>ROUND(100*'Bayside CT #5'!$O$53,0)</f>
        <v>-6</v>
      </c>
      <c r="U175" s="836">
        <f t="shared" si="79"/>
        <v>3.1389999999999998</v>
      </c>
      <c r="V175" s="177">
        <f t="shared" si="80"/>
        <v>3.1</v>
      </c>
      <c r="W175" s="842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Y175" s="127"/>
    </row>
    <row r="176" spans="1:51" s="53" customFormat="1" x14ac:dyDescent="0.2">
      <c r="A176" s="134"/>
      <c r="B176" s="125"/>
      <c r="C176" s="130"/>
      <c r="D176" s="138"/>
      <c r="E176" s="138"/>
      <c r="F176" s="138"/>
      <c r="G176" s="130"/>
      <c r="H176" s="139"/>
      <c r="I176" s="138"/>
      <c r="J176" s="138"/>
      <c r="K176" s="137"/>
      <c r="L176" s="130"/>
      <c r="M176" s="138"/>
      <c r="N176" s="138"/>
      <c r="O176" s="138"/>
      <c r="P176" s="138"/>
      <c r="Q176" s="138"/>
      <c r="R176" s="138"/>
      <c r="S176" s="138"/>
      <c r="T176" s="160"/>
      <c r="U176" s="138"/>
      <c r="V176" s="138"/>
      <c r="W176" s="842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Y176" s="127"/>
    </row>
    <row r="177" spans="1:51" s="53" customFormat="1" x14ac:dyDescent="0.2">
      <c r="A177" s="140">
        <f>'Plant &amp; Reserve'!$A177</f>
        <v>34136</v>
      </c>
      <c r="B177" s="130" t="str">
        <f>'Plant &amp; Reserve'!$B177</f>
        <v>BP CT No. 6</v>
      </c>
      <c r="C177" s="130"/>
      <c r="D177" s="138">
        <v>2.5</v>
      </c>
      <c r="E177" s="138">
        <v>39</v>
      </c>
      <c r="F177" s="138">
        <v>37</v>
      </c>
      <c r="G177" s="130">
        <v>6.38</v>
      </c>
      <c r="H177" s="139">
        <v>-1</v>
      </c>
      <c r="I177" s="138">
        <v>2.6</v>
      </c>
      <c r="J177" s="138">
        <f t="shared" ref="J177:J182" si="81">IF(F177=0,0,ROUND(((100-H177-G177)/F177),1))-I177</f>
        <v>0</v>
      </c>
      <c r="K177" s="137"/>
      <c r="L177" s="130"/>
      <c r="M177" s="138">
        <f>'Bayside CT #6'!$G$17</f>
        <v>10.481983295025554</v>
      </c>
      <c r="N177" s="830">
        <f t="shared" ref="N177:N182" si="82">ROUND(M177,1)</f>
        <v>10.5</v>
      </c>
      <c r="O177" s="138">
        <f>'Bayside CT #6'!$I$17</f>
        <v>39.636690760776069</v>
      </c>
      <c r="P177" s="138">
        <f t="shared" ref="P177:P182" si="83">IF(O177&gt;20,ROUND(O177,0),ROUND(O177,1))</f>
        <v>40</v>
      </c>
      <c r="Q177" s="138">
        <f>'Bayside CT #6'!$K$17</f>
        <v>29.1544391645918</v>
      </c>
      <c r="R177" s="138">
        <f t="shared" ref="R177:R182" si="84">IF(Q177&gt;20,ROUND(Q177,0),ROUND(Q177,1))</f>
        <v>29</v>
      </c>
      <c r="S177" s="130">
        <f>IF('Plant &amp; Reserve'!$D177=0,0,ROUND(('Plant &amp; Reserve'!$E177/'Plant &amp; Reserve'!$D177)*100,2))</f>
        <v>11.67</v>
      </c>
      <c r="T177" s="160">
        <f>ROUND(100*'Bayside CT #6'!$O$17,0)</f>
        <v>-2</v>
      </c>
      <c r="U177" s="836">
        <f t="shared" ref="U177:U182" si="85">IF(Q177=0,0,ROUND(((100-T177-S177)/Q177),3))</f>
        <v>3.0979999999999999</v>
      </c>
      <c r="V177" s="138">
        <f t="shared" ref="V177:V182" si="86">IF(R177=0,0,ROUND(((100-T177-S177)/R177),1))</f>
        <v>3.1</v>
      </c>
      <c r="W177" s="842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Y177" s="127"/>
    </row>
    <row r="178" spans="1:51" s="53" customFormat="1" x14ac:dyDescent="0.2">
      <c r="A178" s="140">
        <f>'Plant &amp; Reserve'!$A178</f>
        <v>34236</v>
      </c>
      <c r="B178" s="130" t="str">
        <f>'Plant &amp; Reserve'!$B178</f>
        <v>BP CT No. 6</v>
      </c>
      <c r="C178" s="130"/>
      <c r="D178" s="138">
        <v>0</v>
      </c>
      <c r="E178" s="138">
        <v>30</v>
      </c>
      <c r="F178" s="138">
        <v>27</v>
      </c>
      <c r="G178" s="130">
        <v>9.0500000000000007</v>
      </c>
      <c r="H178" s="139">
        <v>-6</v>
      </c>
      <c r="I178" s="138">
        <v>3.6</v>
      </c>
      <c r="J178" s="138">
        <f t="shared" si="81"/>
        <v>0</v>
      </c>
      <c r="K178" s="137"/>
      <c r="L178" s="130"/>
      <c r="M178" s="138">
        <f>'Bayside CT #6'!$G$24</f>
        <v>9.9911499700000004</v>
      </c>
      <c r="N178" s="830">
        <f t="shared" si="82"/>
        <v>10</v>
      </c>
      <c r="O178" s="138">
        <f>'Bayside CT #6'!$I$24</f>
        <v>32.216976459999998</v>
      </c>
      <c r="P178" s="138">
        <f t="shared" si="83"/>
        <v>32</v>
      </c>
      <c r="Q178" s="138">
        <f>'Bayside CT #6'!$K$24</f>
        <v>22.3674927</v>
      </c>
      <c r="R178" s="138">
        <f t="shared" si="84"/>
        <v>22</v>
      </c>
      <c r="S178" s="130">
        <f>IF('Plant &amp; Reserve'!$D178=0,0,ROUND(('Plant &amp; Reserve'!$E178/'Plant &amp; Reserve'!$D178)*100,2))</f>
        <v>23.78</v>
      </c>
      <c r="T178" s="160">
        <f>ROUND(100*'Bayside CT #6'!$O$24,0)</f>
        <v>-5</v>
      </c>
      <c r="U178" s="836">
        <f t="shared" si="85"/>
        <v>3.6309999999999998</v>
      </c>
      <c r="V178" s="138">
        <f t="shared" si="86"/>
        <v>3.7</v>
      </c>
      <c r="W178" s="842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Y178" s="127"/>
    </row>
    <row r="179" spans="1:51" s="53" customFormat="1" x14ac:dyDescent="0.2">
      <c r="A179" s="140">
        <f>'Plant &amp; Reserve'!$A179</f>
        <v>34336</v>
      </c>
      <c r="B179" s="130" t="str">
        <f>'Plant &amp; Reserve'!$B179</f>
        <v>BP CT No. 6</v>
      </c>
      <c r="C179" s="130"/>
      <c r="D179" s="138">
        <v>2.5</v>
      </c>
      <c r="E179" s="138">
        <v>27</v>
      </c>
      <c r="F179" s="138">
        <v>24</v>
      </c>
      <c r="G179" s="130">
        <v>10.050000000000001</v>
      </c>
      <c r="H179" s="139">
        <v>-6</v>
      </c>
      <c r="I179" s="138">
        <v>4</v>
      </c>
      <c r="J179" s="138">
        <f t="shared" si="81"/>
        <v>0</v>
      </c>
      <c r="K179" s="137"/>
      <c r="L179" s="130"/>
      <c r="M179" s="138">
        <f>'Bayside CT #6'!$G$31</f>
        <v>10.381746919999999</v>
      </c>
      <c r="N179" s="830">
        <f t="shared" si="82"/>
        <v>10.4</v>
      </c>
      <c r="O179" s="138">
        <f>'Bayside CT #6'!$I$31</f>
        <v>31.516646089999998</v>
      </c>
      <c r="P179" s="138">
        <f t="shared" si="83"/>
        <v>32</v>
      </c>
      <c r="Q179" s="138">
        <f>'Bayside CT #6'!$K$31</f>
        <v>21.126300929999999</v>
      </c>
      <c r="R179" s="138">
        <f t="shared" si="84"/>
        <v>21</v>
      </c>
      <c r="S179" s="130">
        <f>IF('Plant &amp; Reserve'!$D179=0,0,ROUND(('Plant &amp; Reserve'!$E179/'Plant &amp; Reserve'!$D179)*100,2))</f>
        <v>50.45</v>
      </c>
      <c r="T179" s="160">
        <f>ROUND(100*'Bayside CT #6'!$O$31,0)</f>
        <v>-7</v>
      </c>
      <c r="U179" s="836">
        <f t="shared" si="85"/>
        <v>2.677</v>
      </c>
      <c r="V179" s="138">
        <f t="shared" si="86"/>
        <v>2.7</v>
      </c>
      <c r="W179" s="842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Y179" s="127"/>
    </row>
    <row r="180" spans="1:51" s="53" customFormat="1" x14ac:dyDescent="0.2">
      <c r="A180" s="140">
        <f>'Plant &amp; Reserve'!$A180</f>
        <v>34536</v>
      </c>
      <c r="B180" s="130" t="str">
        <f>'Plant &amp; Reserve'!$B180</f>
        <v>BP CT No. 6</v>
      </c>
      <c r="C180" s="130"/>
      <c r="D180" s="138">
        <v>0</v>
      </c>
      <c r="E180" s="138">
        <v>27</v>
      </c>
      <c r="F180" s="138">
        <v>25</v>
      </c>
      <c r="G180" s="130">
        <v>10.23</v>
      </c>
      <c r="H180" s="139">
        <v>-11</v>
      </c>
      <c r="I180" s="138">
        <v>4</v>
      </c>
      <c r="J180" s="138">
        <f t="shared" si="81"/>
        <v>0</v>
      </c>
      <c r="K180" s="137"/>
      <c r="L180" s="130"/>
      <c r="M180" s="138">
        <f>'Bayside CT #6'!$G$38</f>
        <v>10.49563914</v>
      </c>
      <c r="N180" s="830">
        <f t="shared" si="82"/>
        <v>10.5</v>
      </c>
      <c r="O180" s="138">
        <f>'Bayside CT #6'!$I$38</f>
        <v>35.504047900000003</v>
      </c>
      <c r="P180" s="138">
        <f t="shared" si="83"/>
        <v>36</v>
      </c>
      <c r="Q180" s="138">
        <f>'Bayside CT #6'!$K$38</f>
        <v>25.009432109999999</v>
      </c>
      <c r="R180" s="138">
        <f t="shared" si="84"/>
        <v>25</v>
      </c>
      <c r="S180" s="130">
        <f>IF('Plant &amp; Reserve'!$D180=0,0,ROUND(('Plant &amp; Reserve'!$E180/'Plant &amp; Reserve'!$D180)*100,2))</f>
        <v>34.28</v>
      </c>
      <c r="T180" s="160">
        <f>ROUND(100*'Bayside CT #6'!$O$38,0)</f>
        <v>-5</v>
      </c>
      <c r="U180" s="836">
        <f t="shared" si="85"/>
        <v>2.8279999999999998</v>
      </c>
      <c r="V180" s="138">
        <f t="shared" si="86"/>
        <v>2.8</v>
      </c>
      <c r="W180" s="842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Y180" s="127"/>
    </row>
    <row r="181" spans="1:51" s="53" customFormat="1" x14ac:dyDescent="0.2">
      <c r="A181" s="140">
        <f>'Plant &amp; Reserve'!$A181</f>
        <v>34636</v>
      </c>
      <c r="B181" s="168" t="str">
        <f>'Plant &amp; Reserve'!$B181</f>
        <v>BP CT No. 6</v>
      </c>
      <c r="C181" s="130"/>
      <c r="D181" s="170">
        <v>0</v>
      </c>
      <c r="E181" s="170">
        <v>0</v>
      </c>
      <c r="F181" s="170">
        <v>0</v>
      </c>
      <c r="G181" s="168">
        <v>0</v>
      </c>
      <c r="H181" s="837">
        <v>0</v>
      </c>
      <c r="I181" s="170">
        <v>4</v>
      </c>
      <c r="J181" s="170">
        <f t="shared" si="81"/>
        <v>-4</v>
      </c>
      <c r="K181" s="137"/>
      <c r="L181" s="130"/>
      <c r="M181" s="170">
        <f>'Bayside CT #6'!$G$45</f>
        <v>10.5</v>
      </c>
      <c r="N181" s="779">
        <f t="shared" si="82"/>
        <v>10.5</v>
      </c>
      <c r="O181" s="170">
        <f>'Bayside CT #6'!$I$45</f>
        <v>40</v>
      </c>
      <c r="P181" s="170">
        <f t="shared" si="83"/>
        <v>40</v>
      </c>
      <c r="Q181" s="170">
        <f>'Bayside CT #6'!$K$45</f>
        <v>29.5</v>
      </c>
      <c r="R181" s="170">
        <f t="shared" si="84"/>
        <v>30</v>
      </c>
      <c r="S181" s="168">
        <f>IF('Plant &amp; Reserve'!$D181=0,0,ROUND(('Plant &amp; Reserve'!$E181/'Plant &amp; Reserve'!$D181)*100,2))</f>
        <v>35.58</v>
      </c>
      <c r="T181" s="169">
        <f>ROUND(100*'Bayside CT #6'!$O$45,0)</f>
        <v>-2</v>
      </c>
      <c r="U181" s="838">
        <f t="shared" si="85"/>
        <v>2.2519999999999998</v>
      </c>
      <c r="V181" s="170">
        <f t="shared" si="86"/>
        <v>2.2000000000000002</v>
      </c>
      <c r="W181" s="842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Y181" s="127"/>
    </row>
    <row r="182" spans="1:51" s="53" customFormat="1" x14ac:dyDescent="0.2">
      <c r="A182" s="134"/>
      <c r="B182" s="125" t="s">
        <v>75</v>
      </c>
      <c r="C182" s="128"/>
      <c r="D182" s="177">
        <v>2.5</v>
      </c>
      <c r="E182" s="177">
        <v>28</v>
      </c>
      <c r="F182" s="177">
        <v>26</v>
      </c>
      <c r="G182" s="128">
        <v>26.04</v>
      </c>
      <c r="H182" s="820">
        <v>-6</v>
      </c>
      <c r="I182" s="177">
        <v>3.1</v>
      </c>
      <c r="J182" s="138">
        <f t="shared" si="81"/>
        <v>0</v>
      </c>
      <c r="K182" s="137"/>
      <c r="L182" s="130"/>
      <c r="M182" s="177">
        <f>'Bayside CT #6'!$G$53</f>
        <v>10.417561389355676</v>
      </c>
      <c r="N182" s="845">
        <f t="shared" si="82"/>
        <v>10.4</v>
      </c>
      <c r="O182" s="177">
        <f>'Bayside CT #6'!$I$53</f>
        <v>33.728829530853893</v>
      </c>
      <c r="P182" s="177">
        <f t="shared" si="83"/>
        <v>34</v>
      </c>
      <c r="Q182" s="177">
        <f>'Bayside CT #6'!$K$53</f>
        <v>23.313533764746847</v>
      </c>
      <c r="R182" s="177">
        <f t="shared" si="84"/>
        <v>23</v>
      </c>
      <c r="S182" s="128">
        <f>IF('Plant &amp; Reserve'!$D182=0,0,ROUND(('Plant &amp; Reserve'!$E182/'Plant &amp; Reserve'!$D182)*100,2))</f>
        <v>40.03</v>
      </c>
      <c r="T182" s="175">
        <f>ROUND(100*'Bayside CT #6'!$O$53,0)</f>
        <v>-6</v>
      </c>
      <c r="U182" s="836">
        <f t="shared" si="85"/>
        <v>2.83</v>
      </c>
      <c r="V182" s="177">
        <f t="shared" si="86"/>
        <v>2.9</v>
      </c>
      <c r="W182" s="84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Y182" s="127"/>
    </row>
    <row r="183" spans="1:51" s="53" customFormat="1" x14ac:dyDescent="0.2">
      <c r="A183" s="491"/>
      <c r="B183" s="157"/>
      <c r="C183" s="130"/>
      <c r="D183" s="138"/>
      <c r="E183" s="138"/>
      <c r="F183" s="138"/>
      <c r="G183" s="130"/>
      <c r="H183" s="139"/>
      <c r="I183" s="138"/>
      <c r="J183" s="138"/>
      <c r="K183" s="137"/>
      <c r="L183" s="130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842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Y183" s="127"/>
    </row>
    <row r="184" spans="1:51" s="53" customFormat="1" x14ac:dyDescent="0.2">
      <c r="A184" s="140">
        <f>'Plant &amp; Reserve'!$A184</f>
        <v>34637</v>
      </c>
      <c r="B184" s="130" t="str">
        <f>'Plant &amp; Reserve'!$B184</f>
        <v>Bayside Amortizable Tools</v>
      </c>
      <c r="C184" s="130"/>
      <c r="D184" s="138"/>
      <c r="E184" s="138"/>
      <c r="F184" s="839" t="s">
        <v>852</v>
      </c>
      <c r="G184" s="130"/>
      <c r="H184" s="139"/>
      <c r="I184" s="138">
        <f>ROUND(1/7*100,1)</f>
        <v>14.3</v>
      </c>
      <c r="J184" s="138"/>
      <c r="K184" s="137"/>
      <c r="L184" s="130"/>
      <c r="M184" s="138"/>
      <c r="N184" s="138"/>
      <c r="O184" s="138"/>
      <c r="P184" s="138"/>
      <c r="Q184" s="138"/>
      <c r="R184" s="839" t="s">
        <v>852</v>
      </c>
      <c r="S184" s="130"/>
      <c r="T184" s="160"/>
      <c r="U184" s="138">
        <f>ROUND(1/7*100,1)</f>
        <v>14.3</v>
      </c>
      <c r="V184" s="138">
        <f>U184</f>
        <v>14.3</v>
      </c>
      <c r="W184" s="842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Y184" s="127"/>
    </row>
    <row r="185" spans="1:51" s="53" customFormat="1" ht="13.5" thickBot="1" x14ac:dyDescent="0.25">
      <c r="A185" s="493"/>
      <c r="B185" s="180"/>
      <c r="C185" s="130"/>
      <c r="D185" s="138"/>
      <c r="E185" s="138"/>
      <c r="F185" s="138"/>
      <c r="G185" s="130"/>
      <c r="H185" s="139"/>
      <c r="I185" s="138"/>
      <c r="J185" s="138"/>
      <c r="K185" s="137"/>
      <c r="L185" s="130"/>
      <c r="M185" s="138"/>
      <c r="N185" s="138"/>
      <c r="O185" s="138"/>
      <c r="P185" s="138"/>
      <c r="Q185" s="138"/>
      <c r="R185" s="138"/>
      <c r="S185" s="138"/>
      <c r="T185" s="160"/>
      <c r="U185" s="138"/>
      <c r="V185" s="138"/>
      <c r="W185" s="842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Y185" s="127"/>
    </row>
    <row r="186" spans="1:51" s="53" customFormat="1" ht="19.5" customHeight="1" thickTop="1" thickBot="1" x14ac:dyDescent="0.25">
      <c r="A186" s="494"/>
      <c r="B186" s="383"/>
      <c r="C186" s="196"/>
      <c r="D186" s="196"/>
      <c r="E186" s="196"/>
      <c r="F186" s="196"/>
      <c r="G186" s="196"/>
      <c r="H186" s="196"/>
      <c r="I186" s="196"/>
      <c r="J186" s="196"/>
      <c r="K186" s="137"/>
      <c r="L186" s="130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842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Y186" s="127"/>
    </row>
    <row r="187" spans="1:51" s="53" customFormat="1" ht="13.5" thickTop="1" x14ac:dyDescent="0.2">
      <c r="A187" s="140"/>
      <c r="B187" s="129"/>
      <c r="C187" s="130"/>
      <c r="D187" s="138"/>
      <c r="E187" s="138"/>
      <c r="F187" s="138"/>
      <c r="G187" s="130"/>
      <c r="H187" s="139"/>
      <c r="I187" s="138"/>
      <c r="J187" s="138"/>
      <c r="K187" s="137"/>
      <c r="L187" s="130"/>
      <c r="M187" s="138"/>
      <c r="N187" s="138"/>
      <c r="O187" s="138"/>
      <c r="P187" s="138"/>
      <c r="Q187" s="138"/>
      <c r="R187" s="138"/>
      <c r="S187" s="138"/>
      <c r="T187" s="160"/>
      <c r="U187" s="138"/>
      <c r="V187" s="138"/>
      <c r="W187" s="842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Y187" s="127"/>
    </row>
    <row r="188" spans="1:51" s="53" customFormat="1" x14ac:dyDescent="0.2">
      <c r="A188" s="140"/>
      <c r="B188" s="144" t="s">
        <v>64</v>
      </c>
      <c r="C188" s="130"/>
      <c r="D188" s="138"/>
      <c r="E188" s="138"/>
      <c r="F188" s="138"/>
      <c r="G188" s="130"/>
      <c r="H188" s="139"/>
      <c r="I188" s="138"/>
      <c r="J188" s="138"/>
      <c r="K188" s="137"/>
      <c r="L188" s="130"/>
      <c r="M188" s="138"/>
      <c r="N188" s="138"/>
      <c r="O188" s="138"/>
      <c r="P188" s="138"/>
      <c r="Q188" s="138"/>
      <c r="R188" s="138"/>
      <c r="S188" s="138"/>
      <c r="T188" s="160"/>
      <c r="U188" s="138"/>
      <c r="V188" s="138"/>
      <c r="W188" s="842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Y188" s="127"/>
    </row>
    <row r="189" spans="1:51" s="53" customFormat="1" x14ac:dyDescent="0.2">
      <c r="A189" s="140"/>
      <c r="B189" s="129"/>
      <c r="C189" s="130"/>
      <c r="D189" s="138"/>
      <c r="E189" s="138"/>
      <c r="F189" s="138"/>
      <c r="G189" s="130"/>
      <c r="H189" s="139"/>
      <c r="I189" s="138"/>
      <c r="J189" s="138"/>
      <c r="K189" s="137"/>
      <c r="L189" s="130"/>
      <c r="M189" s="138"/>
      <c r="N189" s="138"/>
      <c r="O189" s="138"/>
      <c r="P189" s="138"/>
      <c r="Q189" s="138"/>
      <c r="R189" s="138"/>
      <c r="S189" s="138"/>
      <c r="T189" s="160"/>
      <c r="U189" s="138"/>
      <c r="V189" s="138"/>
      <c r="W189" s="842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Y189" s="127"/>
    </row>
    <row r="190" spans="1:51" s="53" customFormat="1" x14ac:dyDescent="0.2">
      <c r="A190" s="140">
        <f>'Plant &amp; Reserve'!$A190</f>
        <v>34180</v>
      </c>
      <c r="B190" s="130" t="str">
        <f>'Plant &amp; Reserve'!$B190</f>
        <v>PK Common</v>
      </c>
      <c r="C190" s="130"/>
      <c r="D190" s="138">
        <v>14.697206263227493</v>
      </c>
      <c r="E190" s="138">
        <v>45</v>
      </c>
      <c r="F190" s="138">
        <v>32</v>
      </c>
      <c r="G190" s="130">
        <v>30.89</v>
      </c>
      <c r="H190" s="139">
        <v>-1</v>
      </c>
      <c r="I190" s="138">
        <v>2.2000000000000002</v>
      </c>
      <c r="J190" s="138">
        <f t="shared" ref="J190:J195" si="87">IF(F190=0,0,ROUND(((100-H190-G190)/F190),1))-I190</f>
        <v>0</v>
      </c>
      <c r="K190" s="137"/>
      <c r="L190" s="130"/>
      <c r="M190" s="138">
        <f>'Polk Common'!$G$17</f>
        <v>10.13270429</v>
      </c>
      <c r="N190" s="830">
        <f t="shared" ref="N190:N195" si="88">ROUND(M190,1)</f>
        <v>10.1</v>
      </c>
      <c r="O190" s="138">
        <f>'Polk Common'!$I$17</f>
        <v>34.704318970000003</v>
      </c>
      <c r="P190" s="138">
        <f t="shared" ref="P190:P195" si="89">IF(O190&gt;20,ROUND(O190,0),ROUND(O190,1))</f>
        <v>35</v>
      </c>
      <c r="Q190" s="138">
        <f>'Polk Common'!$K$17</f>
        <v>26.389924260000001</v>
      </c>
      <c r="R190" s="138">
        <f t="shared" ref="R190:R195" si="90">IF(Q190&gt;20,ROUND(Q190,0),ROUND(Q190,1))</f>
        <v>26</v>
      </c>
      <c r="S190" s="130">
        <f>IF('Plant &amp; Reserve'!$D190=0,0,ROUND(('Plant &amp; Reserve'!$E190/'Plant &amp; Reserve'!$D190)*100,2))</f>
        <v>21.87</v>
      </c>
      <c r="T190" s="160">
        <f>ROUND(100*'Polk Common'!$O$17,0)</f>
        <v>-2</v>
      </c>
      <c r="U190" s="836">
        <f t="shared" ref="U190:U195" si="91">IF(Q190=0,0,ROUND(((100-T190-S190)/Q190),3))</f>
        <v>3.036</v>
      </c>
      <c r="V190" s="138">
        <f t="shared" ref="V190:V195" si="92">IF(R190=0,0,ROUND(((100-T190-S190)/R190),1))</f>
        <v>3.1</v>
      </c>
      <c r="W190" s="842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Y190" s="127"/>
    </row>
    <row r="191" spans="1:51" s="53" customFormat="1" x14ac:dyDescent="0.2">
      <c r="A191" s="140">
        <f>'Plant &amp; Reserve'!$A191</f>
        <v>34280</v>
      </c>
      <c r="B191" s="130" t="str">
        <f>'Plant &amp; Reserve'!$B191</f>
        <v>PK Common</v>
      </c>
      <c r="C191" s="130"/>
      <c r="D191" s="138">
        <v>3.3037308456750782</v>
      </c>
      <c r="E191" s="138">
        <v>28</v>
      </c>
      <c r="F191" s="138">
        <v>26</v>
      </c>
      <c r="G191" s="130">
        <v>8.77</v>
      </c>
      <c r="H191" s="139">
        <v>-5</v>
      </c>
      <c r="I191" s="138">
        <v>3.7</v>
      </c>
      <c r="J191" s="138">
        <f t="shared" si="87"/>
        <v>0</v>
      </c>
      <c r="K191" s="137"/>
      <c r="L191" s="130"/>
      <c r="M191" s="138">
        <f>'Polk Common'!$G$24</f>
        <v>8.1248367100000003</v>
      </c>
      <c r="N191" s="830">
        <f t="shared" si="88"/>
        <v>8.1</v>
      </c>
      <c r="O191" s="138">
        <f>'Polk Common'!$I$24</f>
        <v>31.234231780000002</v>
      </c>
      <c r="P191" s="138">
        <f t="shared" si="89"/>
        <v>31</v>
      </c>
      <c r="Q191" s="138">
        <f>'Polk Common'!$K$24</f>
        <v>24.03950025</v>
      </c>
      <c r="R191" s="138">
        <f t="shared" si="90"/>
        <v>24</v>
      </c>
      <c r="S191" s="130">
        <f>IF('Plant &amp; Reserve'!$D191=0,0,ROUND(('Plant &amp; Reserve'!$E191/'Plant &amp; Reserve'!$D191)*100,2))</f>
        <v>32.97</v>
      </c>
      <c r="T191" s="160">
        <f>ROUND(100*'Polk Common'!$O$24,0)</f>
        <v>-5</v>
      </c>
      <c r="U191" s="836">
        <f t="shared" si="91"/>
        <v>2.996</v>
      </c>
      <c r="V191" s="138">
        <f t="shared" si="92"/>
        <v>3</v>
      </c>
      <c r="W191" s="842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Y191" s="127"/>
    </row>
    <row r="192" spans="1:51" s="53" customFormat="1" x14ac:dyDescent="0.2">
      <c r="A192" s="140">
        <f>'Plant &amp; Reserve'!$A192</f>
        <v>34380</v>
      </c>
      <c r="B192" s="130" t="str">
        <f>'Plant &amp; Reserve'!$B192</f>
        <v>PK Common</v>
      </c>
      <c r="C192" s="130"/>
      <c r="D192" s="138">
        <v>15.5</v>
      </c>
      <c r="E192" s="138">
        <v>47</v>
      </c>
      <c r="F192" s="138">
        <v>33</v>
      </c>
      <c r="G192" s="130">
        <v>30.22</v>
      </c>
      <c r="H192" s="139">
        <v>-2</v>
      </c>
      <c r="I192" s="138">
        <v>2.2000000000000002</v>
      </c>
      <c r="J192" s="138">
        <f t="shared" si="87"/>
        <v>0</v>
      </c>
      <c r="K192" s="137"/>
      <c r="L192" s="130"/>
      <c r="M192" s="138">
        <f>'Polk Common'!$G$31</f>
        <v>7.2607591370365112</v>
      </c>
      <c r="N192" s="830">
        <f t="shared" si="88"/>
        <v>7.3</v>
      </c>
      <c r="O192" s="138">
        <f>'Polk Common'!$I$31</f>
        <v>32.27201030903219</v>
      </c>
      <c r="P192" s="138">
        <f t="shared" si="89"/>
        <v>32</v>
      </c>
      <c r="Q192" s="138">
        <f>'Polk Common'!$K$31</f>
        <v>24.843333922849812</v>
      </c>
      <c r="R192" s="138">
        <f t="shared" si="90"/>
        <v>25</v>
      </c>
      <c r="S192" s="130">
        <f>IF('Plant &amp; Reserve'!$D192=0,0,ROUND(('Plant &amp; Reserve'!$E192/'Plant &amp; Reserve'!$D192)*100,2))</f>
        <v>15.79</v>
      </c>
      <c r="T192" s="160">
        <f>ROUND(100*'Polk Common'!$O$31,0)</f>
        <v>-7</v>
      </c>
      <c r="U192" s="836">
        <f t="shared" si="91"/>
        <v>3.6709999999999998</v>
      </c>
      <c r="V192" s="138">
        <f t="shared" si="92"/>
        <v>3.6</v>
      </c>
      <c r="W192" s="84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Y192" s="127"/>
    </row>
    <row r="193" spans="1:51" s="53" customFormat="1" x14ac:dyDescent="0.2">
      <c r="A193" s="140">
        <f>'Plant &amp; Reserve'!$A193</f>
        <v>34580</v>
      </c>
      <c r="B193" s="130" t="str">
        <f>'Plant &amp; Reserve'!$B193</f>
        <v>PK Common</v>
      </c>
      <c r="C193" s="130"/>
      <c r="D193" s="138">
        <v>13.465624096243312</v>
      </c>
      <c r="E193" s="138">
        <v>36</v>
      </c>
      <c r="F193" s="138">
        <v>25</v>
      </c>
      <c r="G193" s="130">
        <v>32.15</v>
      </c>
      <c r="H193" s="139">
        <v>-4</v>
      </c>
      <c r="I193" s="138">
        <v>2.9</v>
      </c>
      <c r="J193" s="138">
        <f t="shared" si="87"/>
        <v>0</v>
      </c>
      <c r="K193" s="137"/>
      <c r="L193" s="130"/>
      <c r="M193" s="138">
        <f>'Polk Common'!$G$38</f>
        <v>5.6989959099999998</v>
      </c>
      <c r="N193" s="830">
        <f t="shared" si="88"/>
        <v>5.7</v>
      </c>
      <c r="O193" s="138">
        <f>'Polk Common'!$I$38</f>
        <v>30.48391135</v>
      </c>
      <c r="P193" s="138">
        <f t="shared" si="89"/>
        <v>30</v>
      </c>
      <c r="Q193" s="138">
        <f>'Polk Common'!$K$38</f>
        <v>25.332316129999999</v>
      </c>
      <c r="R193" s="138">
        <f t="shared" si="90"/>
        <v>25</v>
      </c>
      <c r="S193" s="130">
        <f>IF('Plant &amp; Reserve'!$D193=0,0,ROUND(('Plant &amp; Reserve'!$E193/'Plant &amp; Reserve'!$D193)*100,2))</f>
        <v>14.47</v>
      </c>
      <c r="T193" s="160">
        <f>ROUND(100*'Polk Common'!$O$38,0)</f>
        <v>-5</v>
      </c>
      <c r="U193" s="836">
        <f t="shared" si="91"/>
        <v>3.5739999999999998</v>
      </c>
      <c r="V193" s="138">
        <f t="shared" si="92"/>
        <v>3.6</v>
      </c>
      <c r="W193" s="842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Y193" s="127"/>
    </row>
    <row r="194" spans="1:51" s="53" customFormat="1" x14ac:dyDescent="0.2">
      <c r="A194" s="140">
        <f>'Plant &amp; Reserve'!$A194</f>
        <v>34680</v>
      </c>
      <c r="B194" s="168" t="str">
        <f>'Plant &amp; Reserve'!$B194</f>
        <v>PK Common</v>
      </c>
      <c r="C194" s="130"/>
      <c r="D194" s="170">
        <v>15.499999999999998</v>
      </c>
      <c r="E194" s="170">
        <v>43</v>
      </c>
      <c r="F194" s="170">
        <v>29</v>
      </c>
      <c r="G194" s="168">
        <v>33.130000000000003</v>
      </c>
      <c r="H194" s="837">
        <v>-3</v>
      </c>
      <c r="I194" s="170">
        <v>2.4</v>
      </c>
      <c r="J194" s="170">
        <f t="shared" si="87"/>
        <v>0</v>
      </c>
      <c r="K194" s="137"/>
      <c r="L194" s="130"/>
      <c r="M194" s="170">
        <f>'Polk Common'!$G$45</f>
        <v>10.783110880000001</v>
      </c>
      <c r="N194" s="779">
        <f t="shared" si="88"/>
        <v>10.8</v>
      </c>
      <c r="O194" s="170">
        <f>'Polk Common'!$I$45</f>
        <v>30.658148260000001</v>
      </c>
      <c r="P194" s="170">
        <f t="shared" si="89"/>
        <v>31</v>
      </c>
      <c r="Q194" s="170">
        <f>'Polk Common'!$K$45</f>
        <v>21.064955099999999</v>
      </c>
      <c r="R194" s="170">
        <f t="shared" si="90"/>
        <v>21</v>
      </c>
      <c r="S194" s="168">
        <f>IF('Plant &amp; Reserve'!$D194=0,0,ROUND(('Plant &amp; Reserve'!$E194/'Plant &amp; Reserve'!$D194)*100,2))</f>
        <v>-15.44</v>
      </c>
      <c r="T194" s="169">
        <f>ROUND(100*'Polk Common'!$O$45,0)</f>
        <v>-2</v>
      </c>
      <c r="U194" s="838">
        <f t="shared" si="91"/>
        <v>5.5750000000000002</v>
      </c>
      <c r="V194" s="170">
        <f t="shared" si="92"/>
        <v>5.6</v>
      </c>
      <c r="W194" s="842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Y194" s="127"/>
    </row>
    <row r="195" spans="1:51" s="53" customFormat="1" x14ac:dyDescent="0.2">
      <c r="A195" s="134"/>
      <c r="B195" s="125" t="s">
        <v>75</v>
      </c>
      <c r="C195" s="128"/>
      <c r="D195" s="177">
        <v>14.049409998039266</v>
      </c>
      <c r="E195" s="177">
        <v>44</v>
      </c>
      <c r="F195" s="177">
        <v>31</v>
      </c>
      <c r="G195" s="128">
        <v>45.77</v>
      </c>
      <c r="H195" s="820">
        <v>-1</v>
      </c>
      <c r="I195" s="177">
        <v>1.8</v>
      </c>
      <c r="J195" s="138">
        <f t="shared" si="87"/>
        <v>0</v>
      </c>
      <c r="K195" s="137"/>
      <c r="L195" s="130"/>
      <c r="M195" s="177">
        <f>'Polk Common'!$G$53</f>
        <v>9.6598972718805243</v>
      </c>
      <c r="N195" s="845">
        <f t="shared" si="88"/>
        <v>9.6999999999999993</v>
      </c>
      <c r="O195" s="177">
        <f>'Polk Common'!$I$53</f>
        <v>34.231050953683578</v>
      </c>
      <c r="P195" s="177">
        <f t="shared" si="89"/>
        <v>34</v>
      </c>
      <c r="Q195" s="177">
        <f>'Polk Common'!$K$53</f>
        <v>26.181276910751549</v>
      </c>
      <c r="R195" s="177">
        <f t="shared" si="90"/>
        <v>26</v>
      </c>
      <c r="S195" s="128">
        <f>IF('Plant &amp; Reserve'!$D195=0,0,ROUND(('Plant &amp; Reserve'!$E195/'Plant &amp; Reserve'!$D195)*100,2))</f>
        <v>21.47</v>
      </c>
      <c r="T195" s="175">
        <f>ROUND(100*'Polk Common'!$O$53,0)</f>
        <v>-3</v>
      </c>
      <c r="U195" s="836">
        <f t="shared" si="91"/>
        <v>3.1139999999999999</v>
      </c>
      <c r="V195" s="177">
        <f t="shared" si="92"/>
        <v>3.1</v>
      </c>
      <c r="W195" s="842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Y195" s="127"/>
    </row>
    <row r="196" spans="1:51" s="53" customFormat="1" x14ac:dyDescent="0.2">
      <c r="A196" s="200"/>
      <c r="B196" s="129"/>
      <c r="C196" s="130"/>
      <c r="D196" s="138"/>
      <c r="E196" s="138"/>
      <c r="F196" s="138"/>
      <c r="G196" s="130"/>
      <c r="H196" s="139"/>
      <c r="I196" s="138"/>
      <c r="J196" s="138"/>
      <c r="K196" s="137"/>
      <c r="L196" s="130"/>
      <c r="M196" s="138"/>
      <c r="N196" s="138"/>
      <c r="O196" s="138"/>
      <c r="P196" s="138"/>
      <c r="Q196" s="138"/>
      <c r="R196" s="138"/>
      <c r="S196" s="138"/>
      <c r="T196" s="160"/>
      <c r="U196" s="138"/>
      <c r="V196" s="138"/>
      <c r="W196" s="842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Y196" s="127"/>
    </row>
    <row r="197" spans="1:51" s="53" customFormat="1" x14ac:dyDescent="0.2">
      <c r="A197" s="140">
        <f>'Plant &amp; Reserve'!$A197</f>
        <v>34181</v>
      </c>
      <c r="B197" s="130" t="str">
        <f>'Plant &amp; Reserve'!$B197</f>
        <v>PK Unit No. 1</v>
      </c>
      <c r="C197" s="130"/>
      <c r="D197" s="138">
        <v>14.702009022952009</v>
      </c>
      <c r="E197" s="138">
        <v>40</v>
      </c>
      <c r="F197" s="138">
        <v>26</v>
      </c>
      <c r="G197" s="130">
        <v>35.1</v>
      </c>
      <c r="H197" s="139">
        <v>-1</v>
      </c>
      <c r="I197" s="138">
        <v>2.5</v>
      </c>
      <c r="J197" s="138">
        <f t="shared" ref="J197:J202" si="93">IF(F197=0,0,ROUND(((100-H197-G197)/F197),1))-I197</f>
        <v>0</v>
      </c>
      <c r="K197" s="137"/>
      <c r="L197" s="130"/>
      <c r="M197" s="138">
        <f>'Polk #1'!$G$17</f>
        <v>20.556830720000001</v>
      </c>
      <c r="N197" s="830">
        <f t="shared" ref="N197:N202" si="94">ROUND(M197,1)</f>
        <v>20.6</v>
      </c>
      <c r="O197" s="138">
        <f>'Polk #1'!$I$17</f>
        <v>34.451077079999997</v>
      </c>
      <c r="P197" s="138">
        <f t="shared" ref="P197:P202" si="95">IF(O197&gt;20,ROUND(O197,0),ROUND(O197,1))</f>
        <v>34</v>
      </c>
      <c r="Q197" s="138">
        <f>'Polk #1'!$K$17</f>
        <v>15.48194726</v>
      </c>
      <c r="R197" s="138">
        <f t="shared" ref="R197:R202" si="96">IF(Q197&gt;20,ROUND(Q197,0),ROUND(Q197,1))</f>
        <v>15.5</v>
      </c>
      <c r="S197" s="130">
        <f>IF('Plant &amp; Reserve'!$D197=0,0,ROUND(('Plant &amp; Reserve'!$E197/'Plant &amp; Reserve'!$D197)*100,2))</f>
        <v>44.63</v>
      </c>
      <c r="T197" s="160">
        <f>ROUND(100*'Polk #1'!$O$17,0)</f>
        <v>-2</v>
      </c>
      <c r="U197" s="836">
        <f t="shared" ref="U197:U202" si="97">IF(Q197=0,0,ROUND(((100-T197-S197)/Q197),3))</f>
        <v>3.706</v>
      </c>
      <c r="V197" s="138">
        <f t="shared" ref="V197:V202" si="98">IF(R197=0,0,ROUND(((100-T197-S197)/R197),1))</f>
        <v>3.7</v>
      </c>
      <c r="W197" s="842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Y197" s="127"/>
    </row>
    <row r="198" spans="1:51" s="53" customFormat="1" x14ac:dyDescent="0.2">
      <c r="A198" s="140">
        <f>'Plant &amp; Reserve'!$A198</f>
        <v>34281</v>
      </c>
      <c r="B198" s="130" t="str">
        <f>'Plant &amp; Reserve'!$B198</f>
        <v>PK Unit No. 1</v>
      </c>
      <c r="C198" s="130"/>
      <c r="D198" s="138">
        <v>13.256516194585465</v>
      </c>
      <c r="E198" s="138">
        <v>32</v>
      </c>
      <c r="F198" s="138">
        <v>19.3</v>
      </c>
      <c r="G198" s="130">
        <v>42.29</v>
      </c>
      <c r="H198" s="139">
        <v>-7</v>
      </c>
      <c r="I198" s="138">
        <v>3.4</v>
      </c>
      <c r="J198" s="138">
        <f t="shared" si="93"/>
        <v>0</v>
      </c>
      <c r="K198" s="137"/>
      <c r="L198" s="130"/>
      <c r="M198" s="138">
        <f>'Polk #1'!$G$24</f>
        <v>17.415348550000001</v>
      </c>
      <c r="N198" s="830">
        <f t="shared" si="94"/>
        <v>17.399999999999999</v>
      </c>
      <c r="O198" s="138">
        <f>'Polk #1'!$I$24</f>
        <v>30.16982677</v>
      </c>
      <c r="P198" s="138">
        <f t="shared" si="95"/>
        <v>30</v>
      </c>
      <c r="Q198" s="138">
        <f>'Polk #1'!$K$24</f>
        <v>14.78976585</v>
      </c>
      <c r="R198" s="138">
        <f t="shared" si="96"/>
        <v>14.8</v>
      </c>
      <c r="S198" s="130">
        <f>IF('Plant &amp; Reserve'!$D198=0,0,ROUND(('Plant &amp; Reserve'!$E198/'Plant &amp; Reserve'!$D198)*100,2))</f>
        <v>44.69</v>
      </c>
      <c r="T198" s="160">
        <f>ROUND(100*'Polk #1'!$O$24,0)</f>
        <v>-5</v>
      </c>
      <c r="U198" s="836">
        <f t="shared" si="97"/>
        <v>4.0780000000000003</v>
      </c>
      <c r="V198" s="138">
        <f t="shared" si="98"/>
        <v>4.0999999999999996</v>
      </c>
      <c r="W198" s="842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Y198" s="127"/>
    </row>
    <row r="199" spans="1:51" s="53" customFormat="1" x14ac:dyDescent="0.2">
      <c r="A199" s="140">
        <f>'Plant &amp; Reserve'!$A199</f>
        <v>34381</v>
      </c>
      <c r="B199" s="130" t="str">
        <f>'Plant &amp; Reserve'!$B199</f>
        <v>PK Unit No. 1</v>
      </c>
      <c r="C199" s="130"/>
      <c r="D199" s="138">
        <v>13.216263736168093</v>
      </c>
      <c r="E199" s="138">
        <v>24</v>
      </c>
      <c r="F199" s="138">
        <v>12.9</v>
      </c>
      <c r="G199" s="130">
        <v>49.44</v>
      </c>
      <c r="H199" s="139">
        <v>-7</v>
      </c>
      <c r="I199" s="138">
        <v>4.5</v>
      </c>
      <c r="J199" s="138">
        <f t="shared" si="93"/>
        <v>0</v>
      </c>
      <c r="K199" s="137"/>
      <c r="L199" s="130"/>
      <c r="M199" s="138">
        <f>'Polk #1'!$G$31</f>
        <v>16.541907370000001</v>
      </c>
      <c r="N199" s="830">
        <f t="shared" si="94"/>
        <v>16.5</v>
      </c>
      <c r="O199" s="138">
        <f>'Polk #1'!$I$31</f>
        <v>27.84000331</v>
      </c>
      <c r="P199" s="138">
        <f t="shared" si="95"/>
        <v>28</v>
      </c>
      <c r="Q199" s="138">
        <f>'Polk #1'!$K$31</f>
        <v>13.121355250000001</v>
      </c>
      <c r="R199" s="138">
        <f t="shared" si="96"/>
        <v>13.1</v>
      </c>
      <c r="S199" s="130">
        <f>IF('Plant &amp; Reserve'!$D199=0,0,ROUND(('Plant &amp; Reserve'!$E199/'Plant &amp; Reserve'!$D199)*100,2))</f>
        <v>47.15</v>
      </c>
      <c r="T199" s="160">
        <f>ROUND(100*'Polk #1'!$O$31,0)</f>
        <v>-7</v>
      </c>
      <c r="U199" s="836">
        <f t="shared" si="97"/>
        <v>4.5609999999999999</v>
      </c>
      <c r="V199" s="138">
        <f t="shared" si="98"/>
        <v>4.5999999999999996</v>
      </c>
      <c r="W199" s="842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Y199" s="127"/>
    </row>
    <row r="200" spans="1:51" s="53" customFormat="1" x14ac:dyDescent="0.2">
      <c r="A200" s="140">
        <f>'Plant &amp; Reserve'!$A200</f>
        <v>34581</v>
      </c>
      <c r="B200" s="130" t="str">
        <f>'Plant &amp; Reserve'!$B200</f>
        <v>PK Unit No. 1</v>
      </c>
      <c r="C200" s="130"/>
      <c r="D200" s="138">
        <v>15.060074431586294</v>
      </c>
      <c r="E200" s="138">
        <v>31</v>
      </c>
      <c r="F200" s="138">
        <v>17.399999999999999</v>
      </c>
      <c r="G200" s="130">
        <v>46.51</v>
      </c>
      <c r="H200" s="139">
        <v>-4</v>
      </c>
      <c r="I200" s="138">
        <v>3.3</v>
      </c>
      <c r="J200" s="138">
        <f t="shared" si="93"/>
        <v>0</v>
      </c>
      <c r="K200" s="137"/>
      <c r="L200" s="130"/>
      <c r="M200" s="138">
        <f>'Polk #1'!$G$38</f>
        <v>21.114793129999999</v>
      </c>
      <c r="N200" s="830">
        <f t="shared" si="94"/>
        <v>21.1</v>
      </c>
      <c r="O200" s="138">
        <f>'Polk #1'!$I$38</f>
        <v>32.913953370000002</v>
      </c>
      <c r="P200" s="138">
        <f t="shared" si="95"/>
        <v>33</v>
      </c>
      <c r="Q200" s="138">
        <f>'Polk #1'!$K$38</f>
        <v>13.142307089999999</v>
      </c>
      <c r="R200" s="138">
        <f t="shared" si="96"/>
        <v>13.1</v>
      </c>
      <c r="S200" s="130">
        <f>IF('Plant &amp; Reserve'!$D200=0,0,ROUND(('Plant &amp; Reserve'!$E200/'Plant &amp; Reserve'!$D200)*100,2))</f>
        <v>62.13</v>
      </c>
      <c r="T200" s="160">
        <f>ROUND(100*'Polk #1'!$O$38,0)</f>
        <v>-5</v>
      </c>
      <c r="U200" s="836">
        <f t="shared" si="97"/>
        <v>3.262</v>
      </c>
      <c r="V200" s="138">
        <f t="shared" si="98"/>
        <v>3.3</v>
      </c>
      <c r="W200" s="842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Y200" s="127"/>
    </row>
    <row r="201" spans="1:51" s="53" customFormat="1" x14ac:dyDescent="0.2">
      <c r="A201" s="140">
        <f>'Plant &amp; Reserve'!$A201</f>
        <v>34681</v>
      </c>
      <c r="B201" s="168" t="str">
        <f>'Plant &amp; Reserve'!$B201</f>
        <v>PK Unit No. 1</v>
      </c>
      <c r="C201" s="130"/>
      <c r="D201" s="170">
        <v>13.965614324949369</v>
      </c>
      <c r="E201" s="170">
        <v>35</v>
      </c>
      <c r="F201" s="170">
        <v>22</v>
      </c>
      <c r="G201" s="168">
        <v>37.86</v>
      </c>
      <c r="H201" s="837">
        <v>-5</v>
      </c>
      <c r="I201" s="170">
        <v>3.1</v>
      </c>
      <c r="J201" s="170">
        <f t="shared" si="93"/>
        <v>0</v>
      </c>
      <c r="K201" s="137"/>
      <c r="L201" s="130"/>
      <c r="M201" s="170">
        <f>'Polk #1'!$G$45</f>
        <v>16.526363010000001</v>
      </c>
      <c r="N201" s="779">
        <f t="shared" si="94"/>
        <v>16.5</v>
      </c>
      <c r="O201" s="170">
        <f>'Polk #1'!$I$45</f>
        <v>30.36518899</v>
      </c>
      <c r="P201" s="170">
        <f t="shared" si="95"/>
        <v>30</v>
      </c>
      <c r="Q201" s="170">
        <f>'Polk #1'!$K$45</f>
        <v>15.504492770000001</v>
      </c>
      <c r="R201" s="170">
        <f t="shared" si="96"/>
        <v>15.5</v>
      </c>
      <c r="S201" s="168">
        <f>IF('Plant &amp; Reserve'!$D201=0,0,ROUND(('Plant &amp; Reserve'!$E201/'Plant &amp; Reserve'!$D201)*100,2))</f>
        <v>36.17</v>
      </c>
      <c r="T201" s="169">
        <f>ROUND(100*'Polk #1'!$O$45,0)</f>
        <v>-2</v>
      </c>
      <c r="U201" s="838">
        <f t="shared" si="97"/>
        <v>4.2460000000000004</v>
      </c>
      <c r="V201" s="170">
        <f t="shared" si="98"/>
        <v>4.2</v>
      </c>
      <c r="W201" s="842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Y201" s="127"/>
    </row>
    <row r="202" spans="1:51" s="53" customFormat="1" x14ac:dyDescent="0.2">
      <c r="A202" s="134"/>
      <c r="B202" s="125" t="s">
        <v>75</v>
      </c>
      <c r="C202" s="128"/>
      <c r="D202" s="177">
        <v>13.620759396829607</v>
      </c>
      <c r="E202" s="177">
        <v>30</v>
      </c>
      <c r="F202" s="177">
        <v>17.5</v>
      </c>
      <c r="G202" s="128">
        <v>45.89</v>
      </c>
      <c r="H202" s="820">
        <v>-6</v>
      </c>
      <c r="I202" s="177">
        <v>3.4</v>
      </c>
      <c r="J202" s="138">
        <f t="shared" si="93"/>
        <v>0</v>
      </c>
      <c r="K202" s="137"/>
      <c r="L202" s="130"/>
      <c r="M202" s="177">
        <f>'Polk #1'!$G$53</f>
        <v>17.886061597499193</v>
      </c>
      <c r="N202" s="845">
        <f t="shared" si="94"/>
        <v>17.899999999999999</v>
      </c>
      <c r="O202" s="177">
        <f>'Polk #1'!$I$53</f>
        <v>30.233396237998477</v>
      </c>
      <c r="P202" s="177">
        <f t="shared" si="95"/>
        <v>30</v>
      </c>
      <c r="Q202" s="177">
        <f>'Polk #1'!$K$53</f>
        <v>14.19295550029903</v>
      </c>
      <c r="R202" s="177">
        <f t="shared" si="96"/>
        <v>14.2</v>
      </c>
      <c r="S202" s="128">
        <f>IF('Plant &amp; Reserve'!$D202=0,0,ROUND(('Plant &amp; Reserve'!$E202/'Plant &amp; Reserve'!$D202)*100,2))</f>
        <v>47.3</v>
      </c>
      <c r="T202" s="175">
        <f>ROUND(100*'Polk #1'!$O$53,0)</f>
        <v>-5</v>
      </c>
      <c r="U202" s="836">
        <f t="shared" si="97"/>
        <v>4.0650000000000004</v>
      </c>
      <c r="V202" s="177">
        <f t="shared" si="98"/>
        <v>4.0999999999999996</v>
      </c>
      <c r="W202" s="84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Y202" s="127"/>
    </row>
    <row r="203" spans="1:51" s="53" customFormat="1" x14ac:dyDescent="0.2">
      <c r="A203" s="200"/>
      <c r="B203" s="129"/>
      <c r="C203" s="130"/>
      <c r="D203" s="138"/>
      <c r="E203" s="138"/>
      <c r="F203" s="138"/>
      <c r="G203" s="130"/>
      <c r="H203" s="139"/>
      <c r="I203" s="138"/>
      <c r="J203" s="138"/>
      <c r="K203" s="137"/>
      <c r="L203" s="130"/>
      <c r="M203" s="138"/>
      <c r="N203" s="138"/>
      <c r="O203" s="138"/>
      <c r="P203" s="138"/>
      <c r="Q203" s="138"/>
      <c r="R203" s="138"/>
      <c r="S203" s="138"/>
      <c r="T203" s="160"/>
      <c r="U203" s="138"/>
      <c r="V203" s="138"/>
      <c r="W203" s="842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Y203" s="127"/>
    </row>
    <row r="204" spans="1:51" s="53" customFormat="1" x14ac:dyDescent="0.2">
      <c r="A204" s="140">
        <f>'Plant &amp; Reserve'!$A204</f>
        <v>34182</v>
      </c>
      <c r="B204" s="130" t="str">
        <f>'Plant &amp; Reserve'!$B204</f>
        <v>PK CT No. 2</v>
      </c>
      <c r="C204" s="130"/>
      <c r="D204" s="138">
        <v>11.226261615226864</v>
      </c>
      <c r="E204" s="138">
        <v>37</v>
      </c>
      <c r="F204" s="138">
        <v>26</v>
      </c>
      <c r="G204" s="130">
        <v>29.64</v>
      </c>
      <c r="H204" s="139">
        <v>-1</v>
      </c>
      <c r="I204" s="138">
        <v>2.7</v>
      </c>
      <c r="J204" s="138">
        <f t="shared" ref="J204:J209" si="99">IF(F204=0,0,ROUND(((100-H204-G204)/F204),1))-I204</f>
        <v>0</v>
      </c>
      <c r="K204" s="137"/>
      <c r="L204" s="130"/>
      <c r="M204" s="138">
        <f>'Polk #2'!$G$17</f>
        <v>19.095284159999999</v>
      </c>
      <c r="N204" s="830">
        <f t="shared" ref="N204:N209" si="100">ROUND(M204,1)</f>
        <v>19.100000000000001</v>
      </c>
      <c r="O204" s="138">
        <f>'Polk #2'!$I$17</f>
        <v>38.683259569999997</v>
      </c>
      <c r="P204" s="138">
        <f t="shared" ref="P204:P209" si="101">IF(O204&gt;20,ROUND(O204,0),ROUND(O204,1))</f>
        <v>39</v>
      </c>
      <c r="Q204" s="138">
        <f>'Polk #2'!$K$17</f>
        <v>19.834546110000002</v>
      </c>
      <c r="R204" s="138">
        <f t="shared" ref="R204:R209" si="102">IF(Q204&gt;20,ROUND(Q204,0),ROUND(Q204,1))</f>
        <v>19.8</v>
      </c>
      <c r="S204" s="130">
        <f>IF('Plant &amp; Reserve'!$D204=0,0,ROUND(('Plant &amp; Reserve'!$E204/'Plant &amp; Reserve'!$D204)*100,2))</f>
        <v>50.57</v>
      </c>
      <c r="T204" s="160">
        <f>ROUND(100*'Polk #2'!$O$17,0)</f>
        <v>-2</v>
      </c>
      <c r="U204" s="836">
        <f t="shared" ref="U204:U209" si="103">IF(Q204=0,0,ROUND(((100-T204-S204)/Q204),3))</f>
        <v>2.593</v>
      </c>
      <c r="V204" s="138">
        <f t="shared" ref="V204:V209" si="104">IF(R204=0,0,ROUND(((100-T204-S204)/R204),1))</f>
        <v>2.6</v>
      </c>
      <c r="W204" s="842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Y204" s="127"/>
    </row>
    <row r="205" spans="1:51" s="53" customFormat="1" x14ac:dyDescent="0.2">
      <c r="A205" s="140">
        <f>'Plant &amp; Reserve'!$A205</f>
        <v>34282</v>
      </c>
      <c r="B205" s="130" t="str">
        <f>'Plant &amp; Reserve'!$B205</f>
        <v>PK CT No. 2</v>
      </c>
      <c r="C205" s="130"/>
      <c r="D205" s="138">
        <v>9.6960241737491391</v>
      </c>
      <c r="E205" s="138">
        <v>32</v>
      </c>
      <c r="F205" s="138">
        <v>23</v>
      </c>
      <c r="G205" s="130">
        <v>28.51</v>
      </c>
      <c r="H205" s="139">
        <v>-5</v>
      </c>
      <c r="I205" s="138">
        <v>3.3</v>
      </c>
      <c r="J205" s="138">
        <f t="shared" si="99"/>
        <v>0</v>
      </c>
      <c r="K205" s="137"/>
      <c r="L205" s="130"/>
      <c r="M205" s="138">
        <f>'Polk #2'!$G$24</f>
        <v>10.12778825</v>
      </c>
      <c r="N205" s="830">
        <f t="shared" si="100"/>
        <v>10.1</v>
      </c>
      <c r="O205" s="138">
        <f>'Polk #2'!$I$24</f>
        <v>28.17882651</v>
      </c>
      <c r="P205" s="138">
        <f t="shared" si="101"/>
        <v>28</v>
      </c>
      <c r="Q205" s="138">
        <f>'Polk #2'!$K$24</f>
        <v>19.496407139999999</v>
      </c>
      <c r="R205" s="138">
        <f t="shared" si="102"/>
        <v>19.5</v>
      </c>
      <c r="S205" s="130">
        <f>IF('Plant &amp; Reserve'!$D205=0,0,ROUND(('Plant &amp; Reserve'!$E205/'Plant &amp; Reserve'!$D205)*100,2))</f>
        <v>21.67</v>
      </c>
      <c r="T205" s="160">
        <f>ROUND(100*'Polk #2'!$O$24,0)</f>
        <v>-5</v>
      </c>
      <c r="U205" s="836">
        <f t="shared" si="103"/>
        <v>4.274</v>
      </c>
      <c r="V205" s="138">
        <f t="shared" si="104"/>
        <v>4.3</v>
      </c>
      <c r="W205" s="842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Y205" s="127"/>
    </row>
    <row r="206" spans="1:51" s="53" customFormat="1" x14ac:dyDescent="0.2">
      <c r="A206" s="140">
        <f>'Plant &amp; Reserve'!$A206</f>
        <v>34382</v>
      </c>
      <c r="B206" s="130" t="str">
        <f>'Plant &amp; Reserve'!$B206</f>
        <v>PK CT No. 2</v>
      </c>
      <c r="C206" s="130"/>
      <c r="D206" s="138">
        <v>9.4756046709364981</v>
      </c>
      <c r="E206" s="138">
        <v>25</v>
      </c>
      <c r="F206" s="138">
        <v>15.4</v>
      </c>
      <c r="G206" s="130">
        <v>40.909999999999997</v>
      </c>
      <c r="H206" s="139">
        <v>-8</v>
      </c>
      <c r="I206" s="138">
        <v>4.4000000000000004</v>
      </c>
      <c r="J206" s="138">
        <f t="shared" si="99"/>
        <v>0</v>
      </c>
      <c r="K206" s="137"/>
      <c r="L206" s="130"/>
      <c r="M206" s="138">
        <f>'Polk #2'!$G$31</f>
        <v>14.03365058</v>
      </c>
      <c r="N206" s="830">
        <f t="shared" si="100"/>
        <v>14</v>
      </c>
      <c r="O206" s="138">
        <f>'Polk #2'!$I$31</f>
        <v>29.169061339999999</v>
      </c>
      <c r="P206" s="138">
        <f t="shared" si="101"/>
        <v>29</v>
      </c>
      <c r="Q206" s="138">
        <f>'Polk #2'!$K$31</f>
        <v>15.358316179999999</v>
      </c>
      <c r="R206" s="138">
        <f t="shared" si="102"/>
        <v>15.4</v>
      </c>
      <c r="S206" s="130">
        <f>IF('Plant &amp; Reserve'!$D206=0,0,ROUND(('Plant &amp; Reserve'!$E206/'Plant &amp; Reserve'!$D206)*100,2))</f>
        <v>32.04</v>
      </c>
      <c r="T206" s="160">
        <f>ROUND(100*'Polk #2'!$O$31,0)</f>
        <v>-7</v>
      </c>
      <c r="U206" s="836">
        <f t="shared" si="103"/>
        <v>4.8810000000000002</v>
      </c>
      <c r="V206" s="138">
        <f t="shared" si="104"/>
        <v>4.9000000000000004</v>
      </c>
      <c r="W206" s="842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Y206" s="127"/>
    </row>
    <row r="207" spans="1:51" s="53" customFormat="1" x14ac:dyDescent="0.2">
      <c r="A207" s="140">
        <f>'Plant &amp; Reserve'!$A207</f>
        <v>34582</v>
      </c>
      <c r="B207" s="130" t="str">
        <f>'Plant &amp; Reserve'!$B207</f>
        <v>PK CT No. 2</v>
      </c>
      <c r="C207" s="130"/>
      <c r="D207" s="138">
        <v>11.479355587851387</v>
      </c>
      <c r="E207" s="138">
        <v>36</v>
      </c>
      <c r="F207" s="138">
        <v>25</v>
      </c>
      <c r="G207" s="130">
        <v>30.88</v>
      </c>
      <c r="H207" s="139">
        <v>-2</v>
      </c>
      <c r="I207" s="138">
        <v>2.8</v>
      </c>
      <c r="J207" s="138">
        <f t="shared" si="99"/>
        <v>0</v>
      </c>
      <c r="K207" s="137"/>
      <c r="L207" s="130"/>
      <c r="M207" s="138">
        <f>'Polk #2'!$G$38</f>
        <v>18.262011489999999</v>
      </c>
      <c r="N207" s="830">
        <f t="shared" si="100"/>
        <v>18.3</v>
      </c>
      <c r="O207" s="138">
        <f>'Polk #2'!$I$38</f>
        <v>34.640618740000001</v>
      </c>
      <c r="P207" s="138">
        <f t="shared" si="101"/>
        <v>35</v>
      </c>
      <c r="Q207" s="138">
        <f>'Polk #2'!$K$38</f>
        <v>16.943576199999999</v>
      </c>
      <c r="R207" s="138">
        <f t="shared" si="102"/>
        <v>16.899999999999999</v>
      </c>
      <c r="S207" s="130">
        <f>IF('Plant &amp; Reserve'!$D207=0,0,ROUND(('Plant &amp; Reserve'!$E207/'Plant &amp; Reserve'!$D207)*100,2))</f>
        <v>48.02</v>
      </c>
      <c r="T207" s="160">
        <f>ROUND(100*'Polk #2'!$O$38,0)</f>
        <v>-5</v>
      </c>
      <c r="U207" s="836">
        <f t="shared" si="103"/>
        <v>3.363</v>
      </c>
      <c r="V207" s="138">
        <f t="shared" si="104"/>
        <v>3.4</v>
      </c>
      <c r="W207" s="842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Y207" s="127"/>
    </row>
    <row r="208" spans="1:51" s="53" customFormat="1" x14ac:dyDescent="0.2">
      <c r="A208" s="140">
        <f>'Plant &amp; Reserve'!$A208</f>
        <v>34682</v>
      </c>
      <c r="B208" s="168" t="str">
        <f>'Plant &amp; Reserve'!$B208</f>
        <v>PK CT No. 2</v>
      </c>
      <c r="C208" s="130"/>
      <c r="D208" s="170">
        <v>11.5</v>
      </c>
      <c r="E208" s="170">
        <v>30</v>
      </c>
      <c r="F208" s="170">
        <v>19.3</v>
      </c>
      <c r="G208" s="168">
        <v>39.979999999999997</v>
      </c>
      <c r="H208" s="837">
        <v>-8</v>
      </c>
      <c r="I208" s="170">
        <v>3.5</v>
      </c>
      <c r="J208" s="170">
        <f t="shared" si="99"/>
        <v>0</v>
      </c>
      <c r="K208" s="137"/>
      <c r="L208" s="130"/>
      <c r="M208" s="170">
        <f>'Polk #2'!$G$45</f>
        <v>19.5</v>
      </c>
      <c r="N208" s="779">
        <f t="shared" si="100"/>
        <v>19.5</v>
      </c>
      <c r="O208" s="170">
        <f>'Polk #2'!$I$45</f>
        <v>39.651513010000002</v>
      </c>
      <c r="P208" s="170">
        <f t="shared" si="101"/>
        <v>40</v>
      </c>
      <c r="Q208" s="170">
        <f>'Polk #2'!$K$45</f>
        <v>20.158866369999998</v>
      </c>
      <c r="R208" s="170">
        <f t="shared" si="102"/>
        <v>20</v>
      </c>
      <c r="S208" s="168">
        <f>IF('Plant &amp; Reserve'!$D208=0,0,ROUND(('Plant &amp; Reserve'!$E208/'Plant &amp; Reserve'!$D208)*100,2))</f>
        <v>67.98</v>
      </c>
      <c r="T208" s="169">
        <f>ROUND(100*'Polk #2'!$O$45,0)</f>
        <v>-2</v>
      </c>
      <c r="U208" s="838">
        <f t="shared" si="103"/>
        <v>1.6879999999999999</v>
      </c>
      <c r="V208" s="170">
        <f t="shared" si="104"/>
        <v>1.7</v>
      </c>
      <c r="W208" s="842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Y208" s="127"/>
    </row>
    <row r="209" spans="1:51" s="53" customFormat="1" x14ac:dyDescent="0.2">
      <c r="A209" s="134"/>
      <c r="B209" s="125" t="s">
        <v>75</v>
      </c>
      <c r="C209" s="128"/>
      <c r="D209" s="177">
        <v>10.261929350703969</v>
      </c>
      <c r="E209" s="177">
        <v>28</v>
      </c>
      <c r="F209" s="177">
        <v>18.600000000000001</v>
      </c>
      <c r="G209" s="128">
        <v>28.31</v>
      </c>
      <c r="H209" s="820">
        <v>-6</v>
      </c>
      <c r="I209" s="177">
        <v>4.2</v>
      </c>
      <c r="J209" s="138">
        <f t="shared" si="99"/>
        <v>0</v>
      </c>
      <c r="K209" s="137"/>
      <c r="L209" s="130"/>
      <c r="M209" s="177">
        <f>'Polk #2'!$G$53</f>
        <v>15.682401810338229</v>
      </c>
      <c r="N209" s="845">
        <f t="shared" si="100"/>
        <v>15.7</v>
      </c>
      <c r="O209" s="177">
        <f>'Polk #2'!$I$53</f>
        <v>31.63152171390939</v>
      </c>
      <c r="P209" s="177">
        <f t="shared" si="101"/>
        <v>32</v>
      </c>
      <c r="Q209" s="177">
        <f>'Polk #2'!$K$53</f>
        <v>16.352960340841559</v>
      </c>
      <c r="R209" s="177">
        <f t="shared" si="102"/>
        <v>16.399999999999999</v>
      </c>
      <c r="S209" s="128">
        <f>IF('Plant &amp; Reserve'!$D209=0,0,ROUND(('Plant &amp; Reserve'!$E209/'Plant &amp; Reserve'!$D209)*100,2))</f>
        <v>38.49</v>
      </c>
      <c r="T209" s="175">
        <f>ROUND(100*'Polk #2'!$O$53,0)</f>
        <v>-6</v>
      </c>
      <c r="U209" s="836">
        <f t="shared" si="103"/>
        <v>4.1280000000000001</v>
      </c>
      <c r="V209" s="177">
        <f t="shared" si="104"/>
        <v>4.0999999999999996</v>
      </c>
      <c r="W209" s="842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Y209" s="127"/>
    </row>
    <row r="210" spans="1:51" s="53" customFormat="1" x14ac:dyDescent="0.2">
      <c r="A210" s="200"/>
      <c r="B210" s="129"/>
      <c r="C210" s="130"/>
      <c r="D210" s="138"/>
      <c r="E210" s="138"/>
      <c r="F210" s="138"/>
      <c r="G210" s="130"/>
      <c r="H210" s="139"/>
      <c r="I210" s="138"/>
      <c r="J210" s="138"/>
      <c r="K210" s="137"/>
      <c r="L210" s="130"/>
      <c r="M210" s="138"/>
      <c r="N210" s="138"/>
      <c r="O210" s="138"/>
      <c r="P210" s="138"/>
      <c r="Q210" s="138"/>
      <c r="R210" s="138"/>
      <c r="S210" s="138"/>
      <c r="T210" s="160"/>
      <c r="U210" s="138"/>
      <c r="V210" s="138"/>
      <c r="W210" s="842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Y210" s="127"/>
    </row>
    <row r="211" spans="1:51" s="53" customFormat="1" x14ac:dyDescent="0.2">
      <c r="A211" s="140">
        <f>'Plant &amp; Reserve'!$A211</f>
        <v>34183</v>
      </c>
      <c r="B211" s="130" t="str">
        <f>'Plant &amp; Reserve'!$B211</f>
        <v>PK CT No. 3</v>
      </c>
      <c r="C211" s="130"/>
      <c r="D211" s="138">
        <v>9.5</v>
      </c>
      <c r="E211" s="138">
        <v>39</v>
      </c>
      <c r="F211" s="138">
        <v>30</v>
      </c>
      <c r="G211" s="130">
        <v>23.99</v>
      </c>
      <c r="H211" s="139">
        <v>-1</v>
      </c>
      <c r="I211" s="138">
        <v>2.6</v>
      </c>
      <c r="J211" s="138">
        <f t="shared" ref="J211:J216" si="105">IF(F211=0,0,ROUND(((100-H211-G211)/F211),1))-I211</f>
        <v>0</v>
      </c>
      <c r="K211" s="137"/>
      <c r="L211" s="130"/>
      <c r="M211" s="138">
        <f>'Polk #3'!$G$17</f>
        <v>17.210559310000001</v>
      </c>
      <c r="N211" s="830">
        <f t="shared" ref="N211:N216" si="106">ROUND(M211,1)</f>
        <v>17.2</v>
      </c>
      <c r="O211" s="138">
        <f>'Polk #3'!$I$17</f>
        <v>39.389560609999997</v>
      </c>
      <c r="P211" s="138">
        <f t="shared" ref="P211:P216" si="107">IF(O211&gt;20,ROUND(O211,0),ROUND(O211,1))</f>
        <v>39</v>
      </c>
      <c r="Q211" s="138">
        <f>'Polk #3'!$K$17</f>
        <v>22.359784399999999</v>
      </c>
      <c r="R211" s="138">
        <f t="shared" ref="R211:R216" si="108">IF(Q211&gt;20,ROUND(Q211,0),ROUND(Q211,1))</f>
        <v>22</v>
      </c>
      <c r="S211" s="130">
        <f>IF('Plant &amp; Reserve'!$D211=0,0,ROUND(('Plant &amp; Reserve'!$E211/'Plant &amp; Reserve'!$D211)*100,2))</f>
        <v>44</v>
      </c>
      <c r="T211" s="160">
        <f>ROUND(100*'Polk #3'!$O$17,0)</f>
        <v>-2</v>
      </c>
      <c r="U211" s="836">
        <f t="shared" ref="U211:U216" si="109">IF(Q211=0,0,ROUND(((100-T211-S211)/Q211),3))</f>
        <v>2.5939999999999999</v>
      </c>
      <c r="V211" s="138">
        <f t="shared" ref="V211:V216" si="110">IF(R211=0,0,ROUND(((100-T211-S211)/R211),1))</f>
        <v>2.6</v>
      </c>
      <c r="W211" s="842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Y211" s="127"/>
    </row>
    <row r="212" spans="1:51" s="53" customFormat="1" x14ac:dyDescent="0.2">
      <c r="A212" s="140">
        <f>'Plant &amp; Reserve'!$A212</f>
        <v>34283</v>
      </c>
      <c r="B212" s="130" t="str">
        <f>'Plant &amp; Reserve'!$B212</f>
        <v>PK CT No. 3</v>
      </c>
      <c r="C212" s="130"/>
      <c r="D212" s="138">
        <v>9.5</v>
      </c>
      <c r="E212" s="138">
        <v>35</v>
      </c>
      <c r="F212" s="138">
        <v>26</v>
      </c>
      <c r="G212" s="130">
        <v>26.9</v>
      </c>
      <c r="H212" s="139">
        <v>-3</v>
      </c>
      <c r="I212" s="138">
        <v>2.9</v>
      </c>
      <c r="J212" s="138">
        <f t="shared" si="105"/>
        <v>0</v>
      </c>
      <c r="K212" s="137"/>
      <c r="L212" s="130"/>
      <c r="M212" s="138">
        <f>'Polk #3'!$G$24</f>
        <v>14.318372460000001</v>
      </c>
      <c r="N212" s="830">
        <f t="shared" si="106"/>
        <v>14.3</v>
      </c>
      <c r="O212" s="138">
        <f>'Polk #3'!$I$24</f>
        <v>34.021443140000002</v>
      </c>
      <c r="P212" s="138">
        <f t="shared" si="107"/>
        <v>34</v>
      </c>
      <c r="Q212" s="138">
        <f>'Polk #3'!$K$24</f>
        <v>21.344021349999998</v>
      </c>
      <c r="R212" s="138">
        <f t="shared" si="108"/>
        <v>21</v>
      </c>
      <c r="S212" s="130">
        <f>IF('Plant &amp; Reserve'!$D212=0,0,ROUND(('Plant &amp; Reserve'!$E212/'Plant &amp; Reserve'!$D212)*100,2))</f>
        <v>38.340000000000003</v>
      </c>
      <c r="T212" s="160">
        <f>ROUND(100*'Polk #3'!$O$24,0)</f>
        <v>-5</v>
      </c>
      <c r="U212" s="836">
        <f t="shared" si="109"/>
        <v>3.1230000000000002</v>
      </c>
      <c r="V212" s="138">
        <f t="shared" si="110"/>
        <v>3.2</v>
      </c>
      <c r="W212" s="84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Y212" s="127"/>
    </row>
    <row r="213" spans="1:51" s="53" customFormat="1" x14ac:dyDescent="0.2">
      <c r="A213" s="140">
        <f>'Plant &amp; Reserve'!$A213</f>
        <v>34383</v>
      </c>
      <c r="B213" s="130" t="str">
        <f>'Plant &amp; Reserve'!$B213</f>
        <v>PK CT No. 3</v>
      </c>
      <c r="C213" s="130"/>
      <c r="D213" s="138">
        <v>6.8430847366176826</v>
      </c>
      <c r="E213" s="138">
        <v>24</v>
      </c>
      <c r="F213" s="138">
        <v>17</v>
      </c>
      <c r="G213" s="130">
        <v>31.6</v>
      </c>
      <c r="H213" s="139">
        <v>-9</v>
      </c>
      <c r="I213" s="138">
        <v>4.5999999999999996</v>
      </c>
      <c r="J213" s="138">
        <f t="shared" si="105"/>
        <v>0</v>
      </c>
      <c r="K213" s="137"/>
      <c r="L213" s="130"/>
      <c r="M213" s="138">
        <f>'Polk #3'!$G$31</f>
        <v>16.489039229999999</v>
      </c>
      <c r="N213" s="830">
        <f t="shared" si="106"/>
        <v>16.5</v>
      </c>
      <c r="O213" s="138">
        <f>'Polk #3'!$I$31</f>
        <v>31.831737270000001</v>
      </c>
      <c r="P213" s="138">
        <f t="shared" si="107"/>
        <v>32</v>
      </c>
      <c r="Q213" s="138">
        <f>'Polk #3'!$K$31</f>
        <v>15.623226649999999</v>
      </c>
      <c r="R213" s="138">
        <f t="shared" si="108"/>
        <v>15.6</v>
      </c>
      <c r="S213" s="130">
        <f>IF('Plant &amp; Reserve'!$D213=0,0,ROUND(('Plant &amp; Reserve'!$E213/'Plant &amp; Reserve'!$D213)*100,2))</f>
        <v>51.1</v>
      </c>
      <c r="T213" s="160">
        <f>ROUND(100*'Polk #3'!$O$31,0)</f>
        <v>-7</v>
      </c>
      <c r="U213" s="836">
        <f t="shared" si="109"/>
        <v>3.5779999999999998</v>
      </c>
      <c r="V213" s="138">
        <f t="shared" si="110"/>
        <v>3.6</v>
      </c>
      <c r="W213" s="842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Y213" s="127"/>
    </row>
    <row r="214" spans="1:51" s="53" customFormat="1" x14ac:dyDescent="0.2">
      <c r="A214" s="140">
        <f>'Plant &amp; Reserve'!$A214</f>
        <v>34583</v>
      </c>
      <c r="B214" s="130" t="str">
        <f>'Plant &amp; Reserve'!$B214</f>
        <v>PK CT No. 3</v>
      </c>
      <c r="C214" s="130"/>
      <c r="D214" s="138">
        <v>9.4521536163645319</v>
      </c>
      <c r="E214" s="138">
        <v>34</v>
      </c>
      <c r="F214" s="138">
        <v>25</v>
      </c>
      <c r="G214" s="130">
        <v>26.98</v>
      </c>
      <c r="H214" s="139">
        <v>-3</v>
      </c>
      <c r="I214" s="138">
        <v>3</v>
      </c>
      <c r="J214" s="138">
        <f t="shared" si="105"/>
        <v>0</v>
      </c>
      <c r="K214" s="137"/>
      <c r="L214" s="130"/>
      <c r="M214" s="138">
        <f>'Polk #3'!$G$38</f>
        <v>17.266631870000001</v>
      </c>
      <c r="N214" s="830">
        <f t="shared" si="106"/>
        <v>17.3</v>
      </c>
      <c r="O214" s="138">
        <f>'Polk #3'!$I$38</f>
        <v>31.513471070000001</v>
      </c>
      <c r="P214" s="138">
        <f t="shared" si="107"/>
        <v>32</v>
      </c>
      <c r="Q214" s="138">
        <f>'Polk #3'!$K$38</f>
        <v>14.508045770000001</v>
      </c>
      <c r="R214" s="138">
        <f t="shared" si="108"/>
        <v>14.5</v>
      </c>
      <c r="S214" s="130">
        <f>IF('Plant &amp; Reserve'!$D214=0,0,ROUND(('Plant &amp; Reserve'!$E214/'Plant &amp; Reserve'!$D214)*100,2))</f>
        <v>49.27</v>
      </c>
      <c r="T214" s="160">
        <f>ROUND(100*'Polk #3'!$O$38,0)</f>
        <v>-5</v>
      </c>
      <c r="U214" s="836">
        <f t="shared" si="109"/>
        <v>3.8410000000000002</v>
      </c>
      <c r="V214" s="138">
        <f t="shared" si="110"/>
        <v>3.8</v>
      </c>
      <c r="W214" s="842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Y214" s="127"/>
    </row>
    <row r="215" spans="1:51" s="53" customFormat="1" x14ac:dyDescent="0.2">
      <c r="A215" s="140">
        <f>'Plant &amp; Reserve'!$A215</f>
        <v>34683</v>
      </c>
      <c r="B215" s="168" t="str">
        <f>'Plant &amp; Reserve'!$B215</f>
        <v>PK CT No. 3</v>
      </c>
      <c r="C215" s="130"/>
      <c r="D215" s="170">
        <v>9.5</v>
      </c>
      <c r="E215" s="170">
        <v>34</v>
      </c>
      <c r="F215" s="170">
        <v>25</v>
      </c>
      <c r="G215" s="168">
        <v>27.93</v>
      </c>
      <c r="H215" s="837">
        <v>-5</v>
      </c>
      <c r="I215" s="170">
        <v>3.1</v>
      </c>
      <c r="J215" s="170">
        <f t="shared" si="105"/>
        <v>0</v>
      </c>
      <c r="K215" s="137"/>
      <c r="L215" s="130"/>
      <c r="M215" s="170">
        <f>'Polk #3'!$G$45</f>
        <v>17.5</v>
      </c>
      <c r="N215" s="779">
        <f t="shared" si="106"/>
        <v>17.5</v>
      </c>
      <c r="O215" s="170">
        <f>'Polk #3'!$I$45</f>
        <v>39.866912419999998</v>
      </c>
      <c r="P215" s="170">
        <f t="shared" si="107"/>
        <v>40</v>
      </c>
      <c r="Q215" s="170">
        <f>'Polk #3'!$K$45</f>
        <v>22.367549279999999</v>
      </c>
      <c r="R215" s="170">
        <f t="shared" si="108"/>
        <v>22</v>
      </c>
      <c r="S215" s="168">
        <f>IF('Plant &amp; Reserve'!$D215=0,0,ROUND(('Plant &amp; Reserve'!$E215/'Plant &amp; Reserve'!$D215)*100,2))</f>
        <v>52.73</v>
      </c>
      <c r="T215" s="169">
        <f>ROUND(100*'Polk #3'!$O$45,0)</f>
        <v>-2</v>
      </c>
      <c r="U215" s="838">
        <f t="shared" si="109"/>
        <v>2.2029999999999998</v>
      </c>
      <c r="V215" s="170">
        <f t="shared" si="110"/>
        <v>2.2000000000000002</v>
      </c>
      <c r="W215" s="842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Y215" s="127"/>
    </row>
    <row r="216" spans="1:51" s="53" customFormat="1" x14ac:dyDescent="0.2">
      <c r="A216" s="134"/>
      <c r="B216" s="125" t="s">
        <v>75</v>
      </c>
      <c r="C216" s="128"/>
      <c r="D216" s="177">
        <v>7.7739128892767111</v>
      </c>
      <c r="E216" s="177">
        <v>27</v>
      </c>
      <c r="F216" s="177">
        <v>19.8</v>
      </c>
      <c r="G216" s="128">
        <v>34.590000000000003</v>
      </c>
      <c r="H216" s="820">
        <v>-7</v>
      </c>
      <c r="I216" s="177">
        <v>3.7</v>
      </c>
      <c r="J216" s="138">
        <f t="shared" si="105"/>
        <v>0</v>
      </c>
      <c r="K216" s="137"/>
      <c r="L216" s="130"/>
      <c r="M216" s="177">
        <f>'Polk #3'!$G$53</f>
        <v>16.71401901864899</v>
      </c>
      <c r="N216" s="845">
        <f t="shared" si="106"/>
        <v>16.7</v>
      </c>
      <c r="O216" s="177">
        <f>'Polk #3'!$I$53</f>
        <v>33.37305793774474</v>
      </c>
      <c r="P216" s="177">
        <f t="shared" si="107"/>
        <v>33</v>
      </c>
      <c r="Q216" s="177">
        <f>'Polk #3'!$K$53</f>
        <v>16.948750221124193</v>
      </c>
      <c r="R216" s="177">
        <f t="shared" si="108"/>
        <v>16.899999999999999</v>
      </c>
      <c r="S216" s="128">
        <f>IF('Plant &amp; Reserve'!$D216=0,0,ROUND(('Plant &amp; Reserve'!$E216/'Plant &amp; Reserve'!$D216)*100,2))</f>
        <v>49.1</v>
      </c>
      <c r="T216" s="175">
        <f>ROUND(100*'Polk #3'!$O$53,0)</f>
        <v>-6</v>
      </c>
      <c r="U216" s="836">
        <f t="shared" si="109"/>
        <v>3.3570000000000002</v>
      </c>
      <c r="V216" s="177">
        <f t="shared" si="110"/>
        <v>3.4</v>
      </c>
      <c r="W216" s="842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Y216" s="127"/>
    </row>
    <row r="217" spans="1:51" s="53" customFormat="1" x14ac:dyDescent="0.2">
      <c r="A217" s="134"/>
      <c r="B217" s="125"/>
      <c r="C217" s="128"/>
      <c r="D217" s="177"/>
      <c r="E217" s="177"/>
      <c r="F217" s="177"/>
      <c r="G217" s="128"/>
      <c r="H217" s="820"/>
      <c r="I217" s="177"/>
      <c r="J217" s="177"/>
      <c r="K217" s="137"/>
      <c r="L217" s="130"/>
      <c r="M217" s="177"/>
      <c r="N217" s="177"/>
      <c r="O217" s="177"/>
      <c r="P217" s="177"/>
      <c r="Q217" s="177"/>
      <c r="R217" s="177"/>
      <c r="S217" s="128"/>
      <c r="T217" s="175"/>
      <c r="U217" s="177"/>
      <c r="V217" s="177"/>
      <c r="W217" s="842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Y217" s="127"/>
    </row>
    <row r="218" spans="1:51" s="53" customFormat="1" x14ac:dyDescent="0.2">
      <c r="A218" s="140">
        <f>'Plant &amp; Reserve'!$A218</f>
        <v>34184</v>
      </c>
      <c r="B218" s="130" t="str">
        <f>'Plant &amp; Reserve'!$B218</f>
        <v>PK CT No. 4</v>
      </c>
      <c r="C218" s="130"/>
      <c r="D218" s="138">
        <v>4.5</v>
      </c>
      <c r="E218" s="138">
        <v>41</v>
      </c>
      <c r="F218" s="138">
        <v>37</v>
      </c>
      <c r="G218" s="130">
        <v>10.99</v>
      </c>
      <c r="H218" s="139">
        <v>-1</v>
      </c>
      <c r="I218" s="138">
        <v>2.4</v>
      </c>
      <c r="J218" s="138">
        <f t="shared" ref="J218:J223" si="111">IF(F218=0,0,ROUND(((100-H218-G218)/F218),1))-I218</f>
        <v>0</v>
      </c>
      <c r="K218" s="137"/>
      <c r="L218" s="130"/>
      <c r="M218" s="138">
        <f>'Polk #4'!$G$17</f>
        <v>12.016962769798084</v>
      </c>
      <c r="N218" s="830">
        <f t="shared" ref="N218:N223" si="112">ROUND(M218,1)</f>
        <v>12</v>
      </c>
      <c r="O218" s="138">
        <f>'Polk #4'!$I$17</f>
        <v>38.780452180007678</v>
      </c>
      <c r="P218" s="138">
        <f t="shared" ref="P218:P223" si="113">IF(O218&gt;20,ROUND(O218,0),ROUND(O218,1))</f>
        <v>39</v>
      </c>
      <c r="Q218" s="138">
        <f>'Polk #4'!$K$17</f>
        <v>26.889282435791127</v>
      </c>
      <c r="R218" s="138">
        <f t="shared" ref="R218:R223" si="114">IF(Q218&gt;20,ROUND(Q218,0),ROUND(Q218,1))</f>
        <v>27</v>
      </c>
      <c r="S218" s="130">
        <f>IF('Plant &amp; Reserve'!$D218=0,0,ROUND(('Plant &amp; Reserve'!$E218/'Plant &amp; Reserve'!$D218)*100,2))</f>
        <v>28.91</v>
      </c>
      <c r="T218" s="160">
        <f>ROUND(100*'Polk #4'!$O$17,0)</f>
        <v>-2</v>
      </c>
      <c r="U218" s="836">
        <f t="shared" ref="U218:U223" si="115">IF(Q218=0,0,ROUND(((100-T218-S218)/Q218),3))</f>
        <v>2.718</v>
      </c>
      <c r="V218" s="138">
        <f t="shared" ref="V218:V223" si="116">IF(R218=0,0,ROUND(((100-T218-S218)/R218),1))</f>
        <v>2.7</v>
      </c>
      <c r="W218" s="842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Y218" s="127"/>
    </row>
    <row r="219" spans="1:51" s="53" customFormat="1" x14ac:dyDescent="0.2">
      <c r="A219" s="140">
        <f>'Plant &amp; Reserve'!$A219</f>
        <v>34284</v>
      </c>
      <c r="B219" s="130" t="str">
        <f>'Plant &amp; Reserve'!$B219</f>
        <v>PK CT No. 4</v>
      </c>
      <c r="C219" s="130"/>
      <c r="D219" s="138">
        <v>4.5</v>
      </c>
      <c r="E219" s="138">
        <v>32</v>
      </c>
      <c r="F219" s="138">
        <v>28</v>
      </c>
      <c r="G219" s="130">
        <v>15.08</v>
      </c>
      <c r="H219" s="139">
        <v>-6</v>
      </c>
      <c r="I219" s="138">
        <v>3.2</v>
      </c>
      <c r="J219" s="138">
        <f t="shared" si="111"/>
        <v>0</v>
      </c>
      <c r="K219" s="137"/>
      <c r="L219" s="130"/>
      <c r="M219" s="138">
        <f>'Polk #4'!$G$24</f>
        <v>10.521092080000001</v>
      </c>
      <c r="N219" s="830">
        <f t="shared" si="112"/>
        <v>10.5</v>
      </c>
      <c r="O219" s="138">
        <f>'Polk #4'!$I$24</f>
        <v>42.344266150000003</v>
      </c>
      <c r="P219" s="138">
        <f t="shared" si="113"/>
        <v>42</v>
      </c>
      <c r="Q219" s="138">
        <f>'Polk #4'!$K$24</f>
        <v>32.064949509999998</v>
      </c>
      <c r="R219" s="138">
        <f t="shared" si="114"/>
        <v>32</v>
      </c>
      <c r="S219" s="130">
        <f>IF('Plant &amp; Reserve'!$D219=0,0,ROUND(('Plant &amp; Reserve'!$E219/'Plant &amp; Reserve'!$D219)*100,2))</f>
        <v>14.12</v>
      </c>
      <c r="T219" s="160">
        <f>ROUND(100*'Polk #4'!$O$24,0)</f>
        <v>-5</v>
      </c>
      <c r="U219" s="836">
        <f t="shared" si="115"/>
        <v>2.8340000000000001</v>
      </c>
      <c r="V219" s="138">
        <f t="shared" si="116"/>
        <v>2.8</v>
      </c>
      <c r="W219" s="842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Y219" s="127"/>
    </row>
    <row r="220" spans="1:51" s="53" customFormat="1" x14ac:dyDescent="0.2">
      <c r="A220" s="140">
        <f>'Plant &amp; Reserve'!$A220</f>
        <v>34384</v>
      </c>
      <c r="B220" s="130" t="str">
        <f>'Plant &amp; Reserve'!$B220</f>
        <v>PK CT No. 4</v>
      </c>
      <c r="C220" s="130"/>
      <c r="D220" s="138">
        <v>4.2227048751801188</v>
      </c>
      <c r="E220" s="138">
        <v>27</v>
      </c>
      <c r="F220" s="138">
        <v>22</v>
      </c>
      <c r="G220" s="130">
        <v>16.61</v>
      </c>
      <c r="H220" s="139">
        <v>-6</v>
      </c>
      <c r="I220" s="138">
        <v>4.0999999999999996</v>
      </c>
      <c r="J220" s="138">
        <f t="shared" si="111"/>
        <v>0</v>
      </c>
      <c r="K220" s="137"/>
      <c r="L220" s="130"/>
      <c r="M220" s="138">
        <f>'Polk #4'!$G$31</f>
        <v>11.39620807</v>
      </c>
      <c r="N220" s="830">
        <f t="shared" si="112"/>
        <v>11.4</v>
      </c>
      <c r="O220" s="138">
        <f>'Polk #4'!$I$31</f>
        <v>31.199188079999999</v>
      </c>
      <c r="P220" s="138">
        <f t="shared" si="113"/>
        <v>31</v>
      </c>
      <c r="Q220" s="138">
        <f>'Polk #4'!$K$31</f>
        <v>19.79462813</v>
      </c>
      <c r="R220" s="138">
        <f t="shared" si="114"/>
        <v>19.8</v>
      </c>
      <c r="S220" s="130">
        <f>IF('Plant &amp; Reserve'!$D220=0,0,ROUND(('Plant &amp; Reserve'!$E220/'Plant &amp; Reserve'!$D220)*100,2))</f>
        <v>13.06</v>
      </c>
      <c r="T220" s="160">
        <f>ROUND(100*'Polk #4'!$O$31,0)</f>
        <v>-7</v>
      </c>
      <c r="U220" s="836">
        <f t="shared" si="115"/>
        <v>4.7460000000000004</v>
      </c>
      <c r="V220" s="138">
        <f t="shared" si="116"/>
        <v>4.7</v>
      </c>
      <c r="W220" s="842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Y220" s="127"/>
    </row>
    <row r="221" spans="1:51" s="53" customFormat="1" x14ac:dyDescent="0.2">
      <c r="A221" s="140">
        <f>'Plant &amp; Reserve'!$A221</f>
        <v>34584</v>
      </c>
      <c r="B221" s="130" t="str">
        <f>'Plant &amp; Reserve'!$B221</f>
        <v>PK CT No. 4</v>
      </c>
      <c r="C221" s="130"/>
      <c r="D221" s="138">
        <v>4.4999999999999991</v>
      </c>
      <c r="E221" s="138">
        <v>28</v>
      </c>
      <c r="F221" s="138">
        <v>23</v>
      </c>
      <c r="G221" s="130">
        <v>17.29</v>
      </c>
      <c r="H221" s="139">
        <v>-6</v>
      </c>
      <c r="I221" s="138">
        <v>3.9</v>
      </c>
      <c r="J221" s="138">
        <f t="shared" si="111"/>
        <v>0</v>
      </c>
      <c r="K221" s="137"/>
      <c r="L221" s="130"/>
      <c r="M221" s="138">
        <f>'Polk #4'!$G$38</f>
        <v>12.221314700000001</v>
      </c>
      <c r="N221" s="830">
        <f t="shared" si="112"/>
        <v>12.2</v>
      </c>
      <c r="O221" s="138">
        <f>'Polk #4'!$I$38</f>
        <v>34.773301349999997</v>
      </c>
      <c r="P221" s="138">
        <f t="shared" si="113"/>
        <v>35</v>
      </c>
      <c r="Q221" s="138">
        <f>'Polk #4'!$K$38</f>
        <v>22.55854184</v>
      </c>
      <c r="R221" s="138">
        <f t="shared" si="114"/>
        <v>23</v>
      </c>
      <c r="S221" s="130">
        <f>IF('Plant &amp; Reserve'!$D221=0,0,ROUND(('Plant &amp; Reserve'!$E221/'Plant &amp; Reserve'!$D221)*100,2))</f>
        <v>46.47</v>
      </c>
      <c r="T221" s="160">
        <f>ROUND(100*'Polk #4'!$O$38,0)</f>
        <v>-5</v>
      </c>
      <c r="U221" s="836">
        <f t="shared" si="115"/>
        <v>2.5950000000000002</v>
      </c>
      <c r="V221" s="138">
        <f t="shared" si="116"/>
        <v>2.5</v>
      </c>
      <c r="W221" s="842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Y221" s="127"/>
    </row>
    <row r="222" spans="1:51" s="53" customFormat="1" x14ac:dyDescent="0.2">
      <c r="A222" s="140">
        <f>'Plant &amp; Reserve'!$A222</f>
        <v>34684</v>
      </c>
      <c r="B222" s="168" t="str">
        <f>'Plant &amp; Reserve'!$B222</f>
        <v>PK CT No. 4</v>
      </c>
      <c r="C222" s="130"/>
      <c r="D222" s="170">
        <v>0</v>
      </c>
      <c r="E222" s="170">
        <v>0</v>
      </c>
      <c r="F222" s="170">
        <v>0</v>
      </c>
      <c r="G222" s="168">
        <v>0</v>
      </c>
      <c r="H222" s="837">
        <v>0</v>
      </c>
      <c r="I222" s="170">
        <v>4.3</v>
      </c>
      <c r="J222" s="170">
        <f t="shared" si="111"/>
        <v>-4.3</v>
      </c>
      <c r="K222" s="137"/>
      <c r="L222" s="130"/>
      <c r="M222" s="170">
        <v>0</v>
      </c>
      <c r="N222" s="779">
        <f t="shared" si="112"/>
        <v>0</v>
      </c>
      <c r="O222" s="170">
        <v>35</v>
      </c>
      <c r="P222" s="170">
        <f t="shared" si="113"/>
        <v>35</v>
      </c>
      <c r="Q222" s="170">
        <f>2047-2019</f>
        <v>28</v>
      </c>
      <c r="R222" s="170">
        <f t="shared" si="114"/>
        <v>28</v>
      </c>
      <c r="S222" s="168">
        <f>IF('Plant &amp; Reserve'!$D222=0,0,ROUND(('Plant &amp; Reserve'!$E222/'Plant &amp; Reserve'!$D222)*100,2))</f>
        <v>0</v>
      </c>
      <c r="T222" s="837">
        <v>-2</v>
      </c>
      <c r="U222" s="838">
        <f t="shared" si="115"/>
        <v>3.6429999999999998</v>
      </c>
      <c r="V222" s="170">
        <f t="shared" si="116"/>
        <v>3.6</v>
      </c>
      <c r="W222" s="84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Y222" s="127"/>
    </row>
    <row r="223" spans="1:51" s="53" customFormat="1" x14ac:dyDescent="0.2">
      <c r="A223" s="134"/>
      <c r="B223" s="125" t="s">
        <v>75</v>
      </c>
      <c r="C223" s="128"/>
      <c r="D223" s="177">
        <v>4.3238046908107579</v>
      </c>
      <c r="E223" s="177">
        <v>29</v>
      </c>
      <c r="F223" s="177">
        <v>24</v>
      </c>
      <c r="G223" s="128">
        <v>11.23</v>
      </c>
      <c r="H223" s="820">
        <v>-5</v>
      </c>
      <c r="I223" s="177">
        <v>3.8</v>
      </c>
      <c r="J223" s="138">
        <f t="shared" si="111"/>
        <v>0.10000000000000009</v>
      </c>
      <c r="K223" s="137"/>
      <c r="L223" s="130"/>
      <c r="M223" s="177">
        <f>'Polk #4'!$G$53</f>
        <v>11.598661072033117</v>
      </c>
      <c r="N223" s="845">
        <f t="shared" si="112"/>
        <v>11.6</v>
      </c>
      <c r="O223" s="177">
        <f>'Polk #4'!$I$53</f>
        <v>33.74929568613782</v>
      </c>
      <c r="P223" s="177">
        <f t="shared" si="113"/>
        <v>34</v>
      </c>
      <c r="Q223" s="177">
        <f>'Polk #4'!$K$53</f>
        <v>22.181834745539707</v>
      </c>
      <c r="R223" s="177">
        <f t="shared" si="114"/>
        <v>22</v>
      </c>
      <c r="S223" s="128">
        <f>IF('Plant &amp; Reserve'!$D223=0,0,ROUND(('Plant &amp; Reserve'!$E223/'Plant &amp; Reserve'!$D223)*100,2))</f>
        <v>20.93</v>
      </c>
      <c r="T223" s="175">
        <f>ROUND(100*'Polk #4'!$O$53,0)</f>
        <v>-6</v>
      </c>
      <c r="U223" s="836">
        <f t="shared" si="115"/>
        <v>3.835</v>
      </c>
      <c r="V223" s="177">
        <f t="shared" si="116"/>
        <v>3.9</v>
      </c>
      <c r="W223" s="842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Y223" s="127"/>
    </row>
    <row r="224" spans="1:51" s="53" customFormat="1" x14ac:dyDescent="0.2">
      <c r="A224" s="134"/>
      <c r="B224" s="125"/>
      <c r="C224" s="128"/>
      <c r="D224" s="177"/>
      <c r="E224" s="177"/>
      <c r="F224" s="177"/>
      <c r="G224" s="128"/>
      <c r="H224" s="820"/>
      <c r="I224" s="177"/>
      <c r="J224" s="177"/>
      <c r="K224" s="137"/>
      <c r="L224" s="130"/>
      <c r="M224" s="177"/>
      <c r="N224" s="177"/>
      <c r="O224" s="177"/>
      <c r="P224" s="177"/>
      <c r="Q224" s="177"/>
      <c r="R224" s="177"/>
      <c r="S224" s="128"/>
      <c r="T224" s="175"/>
      <c r="U224" s="177"/>
      <c r="V224" s="177"/>
      <c r="W224" s="842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Y224" s="127"/>
    </row>
    <row r="225" spans="1:51" s="53" customFormat="1" x14ac:dyDescent="0.2">
      <c r="A225" s="140">
        <f>'Plant &amp; Reserve'!$A225</f>
        <v>34185</v>
      </c>
      <c r="B225" s="130" t="str">
        <f>'Plant &amp; Reserve'!$B225</f>
        <v>PK CT No. 5</v>
      </c>
      <c r="C225" s="130"/>
      <c r="D225" s="138">
        <v>4.5</v>
      </c>
      <c r="E225" s="138">
        <v>41</v>
      </c>
      <c r="F225" s="138">
        <v>37</v>
      </c>
      <c r="G225" s="130">
        <v>10.99</v>
      </c>
      <c r="H225" s="139">
        <v>-1</v>
      </c>
      <c r="I225" s="138">
        <v>2.4</v>
      </c>
      <c r="J225" s="138">
        <f t="shared" ref="J225:J230" si="117">IF(F225=0,0,ROUND(((100-H225-G225)/F225),1))-I225</f>
        <v>0</v>
      </c>
      <c r="K225" s="137"/>
      <c r="L225" s="130"/>
      <c r="M225" s="138">
        <f>'Polk #5'!$G$17</f>
        <v>12.175847600000001</v>
      </c>
      <c r="N225" s="830">
        <f t="shared" ref="N225:N237" si="118">ROUND(M225,1)</f>
        <v>12.2</v>
      </c>
      <c r="O225" s="138">
        <f>'Polk #5'!$I$17</f>
        <v>39.288952449999996</v>
      </c>
      <c r="P225" s="138">
        <f t="shared" ref="P225:P230" si="119">IF(O225&gt;20,ROUND(O225,0),ROUND(O225,1))</f>
        <v>39</v>
      </c>
      <c r="Q225" s="138">
        <f>'Polk #5'!$K$17</f>
        <v>27.23569285</v>
      </c>
      <c r="R225" s="138">
        <f t="shared" ref="R225:R230" si="120">IF(Q225&gt;20,ROUND(Q225,0),ROUND(Q225,1))</f>
        <v>27</v>
      </c>
      <c r="S225" s="130">
        <f>IF('Plant &amp; Reserve'!$D225=0,0,ROUND(('Plant &amp; Reserve'!$E225/'Plant &amp; Reserve'!$D225)*100,2))</f>
        <v>29.29</v>
      </c>
      <c r="T225" s="160">
        <f>ROUND(100*'Polk #5'!$O$17,0)</f>
        <v>-2</v>
      </c>
      <c r="U225" s="836">
        <f t="shared" ref="U225:U237" si="121">IF(Q225=0,0,ROUND(((100-T225-S225)/Q225),3))</f>
        <v>2.67</v>
      </c>
      <c r="V225" s="138">
        <f t="shared" ref="V225:V230" si="122">IF(R225=0,0,ROUND(((100-T225-S225)/R225),1))</f>
        <v>2.7</v>
      </c>
      <c r="W225" s="842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Y225" s="127"/>
    </row>
    <row r="226" spans="1:51" s="53" customFormat="1" x14ac:dyDescent="0.2">
      <c r="A226" s="140">
        <f>'Plant &amp; Reserve'!$A226</f>
        <v>34285</v>
      </c>
      <c r="B226" s="130" t="str">
        <f>'Plant &amp; Reserve'!$B226</f>
        <v>PK CT No. 5</v>
      </c>
      <c r="C226" s="130"/>
      <c r="D226" s="138">
        <v>4.5</v>
      </c>
      <c r="E226" s="138">
        <v>32</v>
      </c>
      <c r="F226" s="138">
        <v>27</v>
      </c>
      <c r="G226" s="130">
        <v>15.28</v>
      </c>
      <c r="H226" s="139">
        <v>-7</v>
      </c>
      <c r="I226" s="138">
        <v>3.4</v>
      </c>
      <c r="J226" s="138">
        <f t="shared" si="117"/>
        <v>0</v>
      </c>
      <c r="K226" s="137"/>
      <c r="L226" s="130"/>
      <c r="M226" s="138">
        <f>'Polk #5'!$G$24</f>
        <v>11.183280279832962</v>
      </c>
      <c r="N226" s="830">
        <f t="shared" si="118"/>
        <v>11.2</v>
      </c>
      <c r="O226" s="138">
        <f>'Polk #5'!$I$24</f>
        <v>32.377221091949728</v>
      </c>
      <c r="P226" s="138">
        <f t="shared" si="119"/>
        <v>32</v>
      </c>
      <c r="Q226" s="138">
        <f>'Polk #5'!$K$24</f>
        <v>21.262717897244521</v>
      </c>
      <c r="R226" s="138">
        <f t="shared" si="120"/>
        <v>21</v>
      </c>
      <c r="S226" s="130">
        <f>IF('Plant &amp; Reserve'!$D226=0,0,ROUND(('Plant &amp; Reserve'!$E226/'Plant &amp; Reserve'!$D226)*100,2))</f>
        <v>26.71</v>
      </c>
      <c r="T226" s="160">
        <f>ROUND(100*'Polk #5'!$O$24,0)</f>
        <v>-5</v>
      </c>
      <c r="U226" s="836">
        <f t="shared" si="121"/>
        <v>3.6819999999999999</v>
      </c>
      <c r="V226" s="138">
        <f t="shared" si="122"/>
        <v>3.7</v>
      </c>
      <c r="W226" s="842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Y226" s="127"/>
    </row>
    <row r="227" spans="1:51" s="53" customFormat="1" x14ac:dyDescent="0.2">
      <c r="A227" s="140">
        <f>'Plant &amp; Reserve'!$A227</f>
        <v>34385</v>
      </c>
      <c r="B227" s="130" t="str">
        <f>'Plant &amp; Reserve'!$B227</f>
        <v>PK CT No. 5</v>
      </c>
      <c r="C227" s="130"/>
      <c r="D227" s="138">
        <v>4.4002460090413908</v>
      </c>
      <c r="E227" s="138">
        <v>27</v>
      </c>
      <c r="F227" s="138">
        <v>23</v>
      </c>
      <c r="G227" s="130">
        <v>17.37</v>
      </c>
      <c r="H227" s="139">
        <v>-6</v>
      </c>
      <c r="I227" s="138">
        <v>3.9</v>
      </c>
      <c r="J227" s="138">
        <f t="shared" si="117"/>
        <v>0</v>
      </c>
      <c r="K227" s="137"/>
      <c r="L227" s="130"/>
      <c r="M227" s="138">
        <f>'Polk #5'!$G$31</f>
        <v>11.65655192</v>
      </c>
      <c r="N227" s="830">
        <f t="shared" si="118"/>
        <v>11.7</v>
      </c>
      <c r="O227" s="138">
        <f>'Polk #5'!$I$31</f>
        <v>30.958149079999998</v>
      </c>
      <c r="P227" s="138">
        <f t="shared" si="119"/>
        <v>31</v>
      </c>
      <c r="Q227" s="138">
        <f>'Polk #5'!$K$31</f>
        <v>19.26943958</v>
      </c>
      <c r="R227" s="138">
        <f t="shared" si="120"/>
        <v>19.3</v>
      </c>
      <c r="S227" s="130">
        <f>IF('Plant &amp; Reserve'!$D227=0,0,ROUND(('Plant &amp; Reserve'!$E227/'Plant &amp; Reserve'!$D227)*100,2))</f>
        <v>10.3</v>
      </c>
      <c r="T227" s="160">
        <f>ROUND(100*'Polk #5'!$O$31,0)</f>
        <v>-7</v>
      </c>
      <c r="U227" s="836">
        <f t="shared" si="121"/>
        <v>5.0179999999999998</v>
      </c>
      <c r="V227" s="138">
        <f t="shared" si="122"/>
        <v>5</v>
      </c>
      <c r="W227" s="842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Y227" s="127"/>
    </row>
    <row r="228" spans="1:51" s="53" customFormat="1" x14ac:dyDescent="0.2">
      <c r="A228" s="140">
        <f>'Plant &amp; Reserve'!$A228</f>
        <v>34585</v>
      </c>
      <c r="B228" s="130" t="str">
        <f>'Plant &amp; Reserve'!$B228</f>
        <v>PK CT No. 5</v>
      </c>
      <c r="C228" s="130"/>
      <c r="D228" s="138">
        <v>4.5</v>
      </c>
      <c r="E228" s="138">
        <v>28</v>
      </c>
      <c r="F228" s="138">
        <v>23</v>
      </c>
      <c r="G228" s="130">
        <v>17.27</v>
      </c>
      <c r="H228" s="139">
        <v>-6</v>
      </c>
      <c r="I228" s="138">
        <v>3.9</v>
      </c>
      <c r="J228" s="138">
        <f t="shared" si="117"/>
        <v>0</v>
      </c>
      <c r="K228" s="137"/>
      <c r="L228" s="130"/>
      <c r="M228" s="138">
        <f>'Polk #5'!$G$38</f>
        <v>12.336739420000001</v>
      </c>
      <c r="N228" s="830">
        <f t="shared" si="118"/>
        <v>12.3</v>
      </c>
      <c r="O228" s="138">
        <f>'Polk #5'!$I$38</f>
        <v>34.802568299999997</v>
      </c>
      <c r="P228" s="138">
        <f t="shared" si="119"/>
        <v>35</v>
      </c>
      <c r="Q228" s="138">
        <f>'Polk #5'!$K$38</f>
        <v>22.474856580000001</v>
      </c>
      <c r="R228" s="138">
        <f t="shared" si="120"/>
        <v>22</v>
      </c>
      <c r="S228" s="130">
        <f>IF('Plant &amp; Reserve'!$D228=0,0,ROUND(('Plant &amp; Reserve'!$E228/'Plant &amp; Reserve'!$D228)*100,2))</f>
        <v>47.11</v>
      </c>
      <c r="T228" s="160">
        <f>ROUND(100*'Polk #5'!$O$38,0)</f>
        <v>-5</v>
      </c>
      <c r="U228" s="836">
        <f t="shared" si="121"/>
        <v>2.5760000000000001</v>
      </c>
      <c r="V228" s="138">
        <f t="shared" si="122"/>
        <v>2.6</v>
      </c>
      <c r="W228" s="842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Y228" s="127"/>
    </row>
    <row r="229" spans="1:51" s="53" customFormat="1" x14ac:dyDescent="0.2">
      <c r="A229" s="140">
        <f>'Plant &amp; Reserve'!$A229</f>
        <v>34685</v>
      </c>
      <c r="B229" s="168" t="str">
        <f>'Plant &amp; Reserve'!$B229</f>
        <v>PK CT No. 5</v>
      </c>
      <c r="C229" s="130"/>
      <c r="D229" s="170">
        <v>0</v>
      </c>
      <c r="E229" s="170">
        <v>0</v>
      </c>
      <c r="F229" s="170">
        <v>0</v>
      </c>
      <c r="G229" s="168">
        <v>0</v>
      </c>
      <c r="H229" s="837">
        <v>0</v>
      </c>
      <c r="I229" s="170">
        <v>4.3</v>
      </c>
      <c r="J229" s="170">
        <f t="shared" si="117"/>
        <v>-4.3</v>
      </c>
      <c r="K229" s="137"/>
      <c r="L229" s="130"/>
      <c r="M229" s="170">
        <v>0</v>
      </c>
      <c r="N229" s="779">
        <f t="shared" si="118"/>
        <v>0</v>
      </c>
      <c r="O229" s="170">
        <v>35</v>
      </c>
      <c r="P229" s="170">
        <f t="shared" si="119"/>
        <v>35</v>
      </c>
      <c r="Q229" s="170">
        <f>2047-2019</f>
        <v>28</v>
      </c>
      <c r="R229" s="170">
        <f t="shared" si="120"/>
        <v>28</v>
      </c>
      <c r="S229" s="168">
        <f>IF('Plant &amp; Reserve'!$D229=0,0,ROUND(('Plant &amp; Reserve'!$E229/'Plant &amp; Reserve'!$D229)*100,2))</f>
        <v>0</v>
      </c>
      <c r="T229" s="837">
        <v>-2</v>
      </c>
      <c r="U229" s="838">
        <f t="shared" si="121"/>
        <v>3.6429999999999998</v>
      </c>
      <c r="V229" s="170">
        <f t="shared" si="122"/>
        <v>3.6</v>
      </c>
      <c r="W229" s="842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Y229" s="127"/>
    </row>
    <row r="230" spans="1:51" s="53" customFormat="1" x14ac:dyDescent="0.2">
      <c r="A230" s="134"/>
      <c r="B230" s="125" t="s">
        <v>75</v>
      </c>
      <c r="C230" s="128"/>
      <c r="D230" s="177">
        <v>4.4380819950101671</v>
      </c>
      <c r="E230" s="177">
        <v>29</v>
      </c>
      <c r="F230" s="177">
        <v>25</v>
      </c>
      <c r="G230" s="128">
        <v>10.37</v>
      </c>
      <c r="H230" s="820">
        <v>-5</v>
      </c>
      <c r="I230" s="177">
        <v>3.8</v>
      </c>
      <c r="J230" s="138">
        <f t="shared" si="117"/>
        <v>0</v>
      </c>
      <c r="K230" s="137"/>
      <c r="L230" s="130"/>
      <c r="M230" s="177">
        <f>'Polk #5'!$G$53</f>
        <v>11.825456461969127</v>
      </c>
      <c r="N230" s="845">
        <f t="shared" si="118"/>
        <v>11.8</v>
      </c>
      <c r="O230" s="177">
        <f>'Polk #5'!$I$53</f>
        <v>33.106844096106791</v>
      </c>
      <c r="P230" s="177">
        <f t="shared" si="119"/>
        <v>33</v>
      </c>
      <c r="Q230" s="177">
        <f>'Polk #5'!$K$53</f>
        <v>21.28910908024007</v>
      </c>
      <c r="R230" s="177">
        <f t="shared" si="120"/>
        <v>21</v>
      </c>
      <c r="S230" s="128">
        <f>IF('Plant &amp; Reserve'!$D230=0,0,ROUND(('Plant &amp; Reserve'!$E230/'Plant &amp; Reserve'!$D230)*100,2))</f>
        <v>20.64</v>
      </c>
      <c r="T230" s="175">
        <f>ROUND(100*'Polk #5'!$O$53,0)</f>
        <v>-6</v>
      </c>
      <c r="U230" s="836">
        <f t="shared" si="121"/>
        <v>4.01</v>
      </c>
      <c r="V230" s="177">
        <f t="shared" si="122"/>
        <v>4.0999999999999996</v>
      </c>
      <c r="W230" s="842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Y230" s="127"/>
    </row>
    <row r="231" spans="1:51" s="53" customFormat="1" x14ac:dyDescent="0.2">
      <c r="A231" s="200"/>
      <c r="B231" s="129"/>
      <c r="C231" s="130"/>
      <c r="D231" s="138"/>
      <c r="E231" s="138"/>
      <c r="F231" s="138"/>
      <c r="G231" s="130"/>
      <c r="H231" s="139"/>
      <c r="I231" s="138"/>
      <c r="J231" s="138"/>
      <c r="K231" s="137"/>
      <c r="L231" s="130"/>
      <c r="M231" s="138"/>
      <c r="N231" s="138"/>
      <c r="O231" s="138"/>
      <c r="P231" s="138"/>
      <c r="Q231" s="138"/>
      <c r="R231" s="138"/>
      <c r="S231" s="138"/>
      <c r="T231" s="160"/>
      <c r="U231" s="138"/>
      <c r="V231" s="138"/>
      <c r="W231" s="842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Y231" s="127"/>
    </row>
    <row r="232" spans="1:51" s="53" customFormat="1" x14ac:dyDescent="0.2">
      <c r="A232" s="140">
        <f>'Plant &amp; Reserve'!$A232</f>
        <v>34186</v>
      </c>
      <c r="B232" s="130" t="str">
        <f>'Plant &amp; Reserve'!$B232</f>
        <v>PK CCST for CT 2-5</v>
      </c>
      <c r="C232" s="130"/>
      <c r="D232" s="138">
        <v>0</v>
      </c>
      <c r="E232" s="138">
        <v>35</v>
      </c>
      <c r="F232" s="138">
        <v>35</v>
      </c>
      <c r="G232" s="138">
        <v>0</v>
      </c>
      <c r="H232" s="139">
        <v>0</v>
      </c>
      <c r="I232" s="138">
        <v>2.9</v>
      </c>
      <c r="J232" s="138">
        <f t="shared" ref="J232:J237" si="123">IF(F232=0,0,ROUND(((100-H232-G232)/F232),1))-I232</f>
        <v>0</v>
      </c>
      <c r="K232" s="137"/>
      <c r="L232" s="130"/>
      <c r="M232" s="138">
        <v>2.5</v>
      </c>
      <c r="N232" s="830">
        <f t="shared" si="118"/>
        <v>2.5</v>
      </c>
      <c r="O232" s="138">
        <v>35</v>
      </c>
      <c r="P232" s="138">
        <f t="shared" ref="P232:P237" si="124">IF(O232&gt;20,ROUND(O232,0),ROUND(O232,1))</f>
        <v>35</v>
      </c>
      <c r="Q232" s="138">
        <v>32</v>
      </c>
      <c r="R232" s="138">
        <f t="shared" ref="R232:R237" si="125">IF(Q232&gt;20,ROUND(Q232,0),ROUND(Q232,1))</f>
        <v>32</v>
      </c>
      <c r="S232" s="130">
        <f>IF('Plant &amp; Reserve'!$D232=0,0,ROUND(('Plant &amp; Reserve'!$E232/'Plant &amp; Reserve'!$D232)*100,2))</f>
        <v>18.3</v>
      </c>
      <c r="T232" s="139">
        <v>-2</v>
      </c>
      <c r="U232" s="836">
        <f t="shared" si="121"/>
        <v>2.6160000000000001</v>
      </c>
      <c r="V232" s="138">
        <f t="shared" ref="V232:V237" si="126">IF(R232=0,0,ROUND(((100-T232-S232)/R232),1))</f>
        <v>2.6</v>
      </c>
      <c r="W232" s="84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Y232" s="127"/>
    </row>
    <row r="233" spans="1:51" s="53" customFormat="1" x14ac:dyDescent="0.2">
      <c r="A233" s="140">
        <f>'Plant &amp; Reserve'!$A233</f>
        <v>34286</v>
      </c>
      <c r="B233" s="130" t="str">
        <f>'Plant &amp; Reserve'!$B233</f>
        <v>PK CCST for CT 2-5</v>
      </c>
      <c r="C233" s="130"/>
      <c r="D233" s="138">
        <v>0</v>
      </c>
      <c r="E233" s="138">
        <v>35</v>
      </c>
      <c r="F233" s="138">
        <v>35</v>
      </c>
      <c r="G233" s="138">
        <v>0</v>
      </c>
      <c r="H233" s="139">
        <v>0</v>
      </c>
      <c r="I233" s="138">
        <v>2.9</v>
      </c>
      <c r="J233" s="138">
        <f t="shared" si="123"/>
        <v>0</v>
      </c>
      <c r="K233" s="137"/>
      <c r="L233" s="130"/>
      <c r="M233" s="138">
        <v>2.5</v>
      </c>
      <c r="N233" s="830">
        <f t="shared" si="118"/>
        <v>2.5</v>
      </c>
      <c r="O233" s="138">
        <v>35</v>
      </c>
      <c r="P233" s="138">
        <f t="shared" si="124"/>
        <v>35</v>
      </c>
      <c r="Q233" s="138">
        <v>32</v>
      </c>
      <c r="R233" s="138">
        <f t="shared" si="125"/>
        <v>32</v>
      </c>
      <c r="S233" s="130">
        <f>IF('Plant &amp; Reserve'!$D233=0,0,ROUND(('Plant &amp; Reserve'!$E233/'Plant &amp; Reserve'!$D233)*100,2))</f>
        <v>7.99</v>
      </c>
      <c r="T233" s="139">
        <v>-5</v>
      </c>
      <c r="U233" s="836">
        <f t="shared" si="121"/>
        <v>3.032</v>
      </c>
      <c r="V233" s="138">
        <f t="shared" si="126"/>
        <v>3</v>
      </c>
      <c r="W233" s="842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Y233" s="127"/>
    </row>
    <row r="234" spans="1:51" s="53" customFormat="1" x14ac:dyDescent="0.2">
      <c r="A234" s="140">
        <f>'Plant &amp; Reserve'!$A234</f>
        <v>34386</v>
      </c>
      <c r="B234" s="130" t="str">
        <f>'Plant &amp; Reserve'!$B234</f>
        <v>PK CCST for CT 2-5</v>
      </c>
      <c r="C234" s="130"/>
      <c r="D234" s="138">
        <v>0</v>
      </c>
      <c r="E234" s="138">
        <v>35</v>
      </c>
      <c r="F234" s="138">
        <v>35</v>
      </c>
      <c r="G234" s="138">
        <v>0</v>
      </c>
      <c r="H234" s="139">
        <v>0</v>
      </c>
      <c r="I234" s="138">
        <v>2.9</v>
      </c>
      <c r="J234" s="138">
        <f t="shared" si="123"/>
        <v>0</v>
      </c>
      <c r="K234" s="137"/>
      <c r="L234" s="130"/>
      <c r="M234" s="138">
        <v>2.5</v>
      </c>
      <c r="N234" s="830">
        <f t="shared" si="118"/>
        <v>2.5</v>
      </c>
      <c r="O234" s="138">
        <v>35</v>
      </c>
      <c r="P234" s="138">
        <f t="shared" si="124"/>
        <v>35</v>
      </c>
      <c r="Q234" s="138">
        <v>32</v>
      </c>
      <c r="R234" s="138">
        <f t="shared" si="125"/>
        <v>32</v>
      </c>
      <c r="S234" s="130">
        <f>IF('Plant &amp; Reserve'!$D234=0,0,ROUND(('Plant &amp; Reserve'!$E234/'Plant &amp; Reserve'!$D234)*100,2))</f>
        <v>7.95</v>
      </c>
      <c r="T234" s="139">
        <v>-7</v>
      </c>
      <c r="U234" s="836">
        <f t="shared" si="121"/>
        <v>3.0950000000000002</v>
      </c>
      <c r="V234" s="138">
        <f t="shared" si="126"/>
        <v>3.1</v>
      </c>
      <c r="W234" s="842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Y234" s="127"/>
    </row>
    <row r="235" spans="1:51" s="53" customFormat="1" x14ac:dyDescent="0.2">
      <c r="A235" s="140">
        <f>'Plant &amp; Reserve'!$A235</f>
        <v>34586</v>
      </c>
      <c r="B235" s="130" t="str">
        <f>'Plant &amp; Reserve'!$B235</f>
        <v>PK CCST for CT 2-5</v>
      </c>
      <c r="C235" s="130"/>
      <c r="D235" s="138">
        <v>0</v>
      </c>
      <c r="E235" s="138">
        <v>35</v>
      </c>
      <c r="F235" s="138">
        <v>35</v>
      </c>
      <c r="G235" s="138">
        <v>0</v>
      </c>
      <c r="H235" s="139">
        <v>0</v>
      </c>
      <c r="I235" s="138">
        <v>2.9</v>
      </c>
      <c r="J235" s="138">
        <f t="shared" si="123"/>
        <v>0</v>
      </c>
      <c r="K235" s="137"/>
      <c r="L235" s="130"/>
      <c r="M235" s="138">
        <v>2.5</v>
      </c>
      <c r="N235" s="830">
        <f t="shared" si="118"/>
        <v>2.5</v>
      </c>
      <c r="O235" s="138">
        <v>35</v>
      </c>
      <c r="P235" s="138">
        <f t="shared" si="124"/>
        <v>35</v>
      </c>
      <c r="Q235" s="138">
        <v>32</v>
      </c>
      <c r="R235" s="138">
        <f t="shared" si="125"/>
        <v>32</v>
      </c>
      <c r="S235" s="130">
        <f>IF('Plant &amp; Reserve'!$D235=0,0,ROUND(('Plant &amp; Reserve'!$E235/'Plant &amp; Reserve'!$D235)*100,2))</f>
        <v>10.16</v>
      </c>
      <c r="T235" s="139">
        <v>-5</v>
      </c>
      <c r="U235" s="836">
        <f t="shared" si="121"/>
        <v>2.964</v>
      </c>
      <c r="V235" s="138">
        <f t="shared" si="126"/>
        <v>3</v>
      </c>
      <c r="W235" s="842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Y235" s="127"/>
    </row>
    <row r="236" spans="1:51" s="53" customFormat="1" x14ac:dyDescent="0.2">
      <c r="A236" s="140">
        <f>'Plant &amp; Reserve'!$A236</f>
        <v>34686</v>
      </c>
      <c r="B236" s="168" t="str">
        <f>'Plant &amp; Reserve'!$B236</f>
        <v>PK CCST for CT 2-5</v>
      </c>
      <c r="C236" s="130"/>
      <c r="D236" s="170">
        <v>0</v>
      </c>
      <c r="E236" s="170">
        <v>35</v>
      </c>
      <c r="F236" s="170">
        <v>35</v>
      </c>
      <c r="G236" s="170">
        <v>0</v>
      </c>
      <c r="H236" s="837">
        <v>0</v>
      </c>
      <c r="I236" s="170">
        <v>2.9</v>
      </c>
      <c r="J236" s="170">
        <f t="shared" si="123"/>
        <v>0</v>
      </c>
      <c r="K236" s="137"/>
      <c r="L236" s="130"/>
      <c r="M236" s="170">
        <v>2.5</v>
      </c>
      <c r="N236" s="779">
        <f t="shared" si="118"/>
        <v>2.5</v>
      </c>
      <c r="O236" s="170">
        <v>35</v>
      </c>
      <c r="P236" s="170">
        <f t="shared" si="124"/>
        <v>35</v>
      </c>
      <c r="Q236" s="170">
        <v>32</v>
      </c>
      <c r="R236" s="170">
        <f t="shared" si="125"/>
        <v>32</v>
      </c>
      <c r="S236" s="168">
        <f>IF('Plant &amp; Reserve'!$D236=0,0,ROUND(('Plant &amp; Reserve'!$E236/'Plant &amp; Reserve'!$D236)*100,2))</f>
        <v>7.01</v>
      </c>
      <c r="T236" s="837">
        <v>-2</v>
      </c>
      <c r="U236" s="838">
        <f t="shared" si="121"/>
        <v>2.968</v>
      </c>
      <c r="V236" s="170">
        <f t="shared" si="126"/>
        <v>3</v>
      </c>
      <c r="W236" s="842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Y236" s="127"/>
    </row>
    <row r="237" spans="1:51" s="53" customFormat="1" x14ac:dyDescent="0.2">
      <c r="A237" s="134"/>
      <c r="B237" s="125" t="s">
        <v>75</v>
      </c>
      <c r="C237" s="128"/>
      <c r="D237" s="177">
        <v>0</v>
      </c>
      <c r="E237" s="177">
        <v>35</v>
      </c>
      <c r="F237" s="177">
        <v>35</v>
      </c>
      <c r="G237" s="177">
        <v>0</v>
      </c>
      <c r="H237" s="820">
        <v>0</v>
      </c>
      <c r="I237" s="177">
        <v>2.9</v>
      </c>
      <c r="J237" s="138">
        <f t="shared" si="123"/>
        <v>0</v>
      </c>
      <c r="K237" s="137"/>
      <c r="L237" s="130"/>
      <c r="M237" s="177">
        <v>2.5</v>
      </c>
      <c r="N237" s="845">
        <f t="shared" si="118"/>
        <v>2.5</v>
      </c>
      <c r="O237" s="177">
        <v>35</v>
      </c>
      <c r="P237" s="177">
        <f t="shared" si="124"/>
        <v>35</v>
      </c>
      <c r="Q237" s="138">
        <v>32</v>
      </c>
      <c r="R237" s="177">
        <f t="shared" si="125"/>
        <v>32</v>
      </c>
      <c r="S237" s="128">
        <f>IF('Plant &amp; Reserve'!$D237=0,0,ROUND(('Plant &amp; Reserve'!$E237/'Plant &amp; Reserve'!$D237)*100,2))</f>
        <v>8.35</v>
      </c>
      <c r="T237" s="820">
        <v>-6</v>
      </c>
      <c r="U237" s="836">
        <f t="shared" si="121"/>
        <v>3.052</v>
      </c>
      <c r="V237" s="177">
        <f t="shared" si="126"/>
        <v>3.1</v>
      </c>
      <c r="W237" s="842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Y237" s="127"/>
    </row>
    <row r="238" spans="1:51" s="53" customFormat="1" x14ac:dyDescent="0.2">
      <c r="A238" s="134"/>
      <c r="B238" s="125"/>
      <c r="C238" s="128"/>
      <c r="D238" s="177"/>
      <c r="E238" s="177"/>
      <c r="F238" s="177"/>
      <c r="G238" s="128"/>
      <c r="H238" s="820"/>
      <c r="I238" s="177"/>
      <c r="J238" s="177"/>
      <c r="K238" s="137"/>
      <c r="L238" s="130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842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Y238" s="127"/>
    </row>
    <row r="239" spans="1:51" s="53" customFormat="1" x14ac:dyDescent="0.2">
      <c r="A239" s="140">
        <f>'Plant &amp; Reserve'!$A239</f>
        <v>34687</v>
      </c>
      <c r="B239" s="130" t="str">
        <f>'Plant &amp; Reserve'!$B239</f>
        <v>Polk Amortizable Tools</v>
      </c>
      <c r="C239" s="130"/>
      <c r="D239" s="138"/>
      <c r="E239" s="138"/>
      <c r="F239" s="839" t="s">
        <v>852</v>
      </c>
      <c r="G239" s="130"/>
      <c r="H239" s="139"/>
      <c r="I239" s="138">
        <f>ROUND(1/7*100,1)</f>
        <v>14.3</v>
      </c>
      <c r="J239" s="138"/>
      <c r="K239" s="137"/>
      <c r="L239" s="130"/>
      <c r="M239" s="840"/>
      <c r="N239" s="840"/>
      <c r="O239" s="840"/>
      <c r="P239" s="840"/>
      <c r="Q239" s="840"/>
      <c r="R239" s="839" t="s">
        <v>852</v>
      </c>
      <c r="S239" s="138"/>
      <c r="T239" s="160"/>
      <c r="U239" s="138">
        <f>ROUND(1/7*100,1)</f>
        <v>14.3</v>
      </c>
      <c r="V239" s="138">
        <f>U239</f>
        <v>14.3</v>
      </c>
      <c r="W239" s="842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Y239" s="127"/>
    </row>
    <row r="240" spans="1:51" s="53" customFormat="1" x14ac:dyDescent="0.2">
      <c r="A240" s="491"/>
      <c r="B240" s="153"/>
      <c r="C240" s="130"/>
      <c r="D240" s="138"/>
      <c r="E240" s="138"/>
      <c r="F240" s="138"/>
      <c r="G240" s="130"/>
      <c r="H240" s="139"/>
      <c r="I240" s="138"/>
      <c r="J240" s="138"/>
      <c r="K240" s="137"/>
      <c r="L240" s="130"/>
      <c r="M240" s="840"/>
      <c r="N240" s="840"/>
      <c r="O240" s="840"/>
      <c r="P240" s="840"/>
      <c r="Q240" s="840"/>
      <c r="R240" s="138"/>
      <c r="S240" s="138"/>
      <c r="T240" s="160"/>
      <c r="U240" s="138"/>
      <c r="V240" s="160"/>
      <c r="W240" s="842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Y240" s="127"/>
    </row>
    <row r="241" spans="1:51" s="53" customFormat="1" x14ac:dyDescent="0.2">
      <c r="A241" s="140">
        <f>'Plant &amp; Reserve'!$A241</f>
        <v>34287</v>
      </c>
      <c r="B241" s="130" t="str">
        <f>'Plant &amp; Reserve'!$B241</f>
        <v>Polk 1 Fuel Clause</v>
      </c>
      <c r="C241" s="130"/>
      <c r="D241" s="138"/>
      <c r="E241" s="138"/>
      <c r="F241" s="839" t="s">
        <v>1304</v>
      </c>
      <c r="G241" s="130"/>
      <c r="H241" s="139"/>
      <c r="I241" s="138">
        <f>ROUND(1/5*100,1)</f>
        <v>20</v>
      </c>
      <c r="J241" s="138"/>
      <c r="K241" s="137"/>
      <c r="L241" s="130"/>
      <c r="M241" s="840"/>
      <c r="N241" s="840"/>
      <c r="O241" s="840"/>
      <c r="P241" s="840"/>
      <c r="Q241" s="840"/>
      <c r="R241" s="839" t="s">
        <v>1304</v>
      </c>
      <c r="S241" s="138"/>
      <c r="T241" s="160"/>
      <c r="U241" s="138">
        <f>ROUND(1/5*100,1)</f>
        <v>20</v>
      </c>
      <c r="V241" s="138">
        <f>U241</f>
        <v>20</v>
      </c>
      <c r="W241" s="842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Y241" s="127"/>
    </row>
    <row r="242" spans="1:51" s="53" customFormat="1" ht="13.5" thickBot="1" x14ac:dyDescent="0.25">
      <c r="A242" s="195"/>
      <c r="B242" s="181"/>
      <c r="C242" s="130"/>
      <c r="D242" s="138"/>
      <c r="E242" s="138"/>
      <c r="F242" s="138"/>
      <c r="G242" s="130"/>
      <c r="H242" s="139"/>
      <c r="I242" s="138"/>
      <c r="J242" s="138"/>
      <c r="K242" s="137"/>
      <c r="L242" s="130"/>
      <c r="M242" s="138"/>
      <c r="N242" s="138"/>
      <c r="O242" s="138"/>
      <c r="P242" s="138"/>
      <c r="Q242" s="138"/>
      <c r="R242" s="138"/>
      <c r="S242" s="138"/>
      <c r="T242" s="160"/>
      <c r="U242" s="138"/>
      <c r="V242" s="138"/>
      <c r="W242" s="8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Y242" s="127"/>
    </row>
    <row r="243" spans="1:51" s="53" customFormat="1" ht="19.5" customHeight="1" thickTop="1" thickBot="1" x14ac:dyDescent="0.25">
      <c r="A243" s="494"/>
      <c r="B243" s="383"/>
      <c r="C243" s="196"/>
      <c r="D243" s="196"/>
      <c r="E243" s="196"/>
      <c r="F243" s="196"/>
      <c r="G243" s="196"/>
      <c r="H243" s="196"/>
      <c r="I243" s="196"/>
      <c r="J243" s="196"/>
      <c r="K243" s="137"/>
      <c r="L243" s="130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842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Y243" s="127"/>
    </row>
    <row r="244" spans="1:51" s="53" customFormat="1" ht="13.5" thickTop="1" x14ac:dyDescent="0.2">
      <c r="A244" s="200"/>
      <c r="B244" s="129"/>
      <c r="C244" s="130"/>
      <c r="D244" s="138"/>
      <c r="E244" s="138"/>
      <c r="F244" s="138"/>
      <c r="G244" s="130"/>
      <c r="H244" s="139"/>
      <c r="I244" s="138"/>
      <c r="J244" s="138"/>
      <c r="K244" s="137"/>
      <c r="L244" s="130"/>
      <c r="M244" s="138"/>
      <c r="N244" s="138"/>
      <c r="O244" s="138"/>
      <c r="P244" s="138"/>
      <c r="Q244" s="138"/>
      <c r="R244" s="138"/>
      <c r="S244" s="138"/>
      <c r="T244" s="160"/>
      <c r="U244" s="138"/>
      <c r="V244" s="138"/>
      <c r="W244" s="842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Y244" s="127"/>
    </row>
    <row r="245" spans="1:51" s="53" customFormat="1" x14ac:dyDescent="0.2">
      <c r="A245" s="200"/>
      <c r="B245" s="202" t="s">
        <v>861</v>
      </c>
      <c r="C245" s="130"/>
      <c r="D245" s="138"/>
      <c r="E245" s="138"/>
      <c r="F245" s="138"/>
      <c r="G245" s="130"/>
      <c r="H245" s="139"/>
      <c r="I245" s="138"/>
      <c r="J245" s="138"/>
      <c r="K245" s="137"/>
      <c r="L245" s="130"/>
      <c r="M245" s="138"/>
      <c r="N245" s="138"/>
      <c r="O245" s="138"/>
      <c r="P245" s="138"/>
      <c r="Q245" s="138"/>
      <c r="R245" s="138"/>
      <c r="S245" s="138"/>
      <c r="T245" s="160"/>
      <c r="U245" s="138"/>
      <c r="V245" s="138"/>
      <c r="W245" s="842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Y245" s="127"/>
    </row>
    <row r="246" spans="1:51" s="53" customFormat="1" x14ac:dyDescent="0.2">
      <c r="A246" s="200"/>
      <c r="B246" s="129"/>
      <c r="C246" s="130"/>
      <c r="D246" s="138"/>
      <c r="E246" s="138"/>
      <c r="F246" s="138"/>
      <c r="G246" s="130"/>
      <c r="H246" s="139"/>
      <c r="I246" s="138"/>
      <c r="J246" s="138"/>
      <c r="K246" s="137"/>
      <c r="L246" s="130"/>
      <c r="M246" s="138"/>
      <c r="N246" s="138"/>
      <c r="O246" s="138"/>
      <c r="P246" s="138"/>
      <c r="Q246" s="138"/>
      <c r="R246" s="138"/>
      <c r="S246" s="138"/>
      <c r="T246" s="160"/>
      <c r="U246" s="138"/>
      <c r="V246" s="138"/>
      <c r="W246" s="842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Y246" s="127"/>
    </row>
    <row r="247" spans="1:51" s="53" customFormat="1" x14ac:dyDescent="0.2">
      <c r="A247" s="140">
        <f>'Plant &amp; Reserve'!$A247</f>
        <v>34199</v>
      </c>
      <c r="B247" s="130" t="str">
        <f>'Plant &amp; Reserve'!$B247</f>
        <v>Solar Sites</v>
      </c>
      <c r="C247" s="130"/>
      <c r="D247" s="138">
        <v>0</v>
      </c>
      <c r="E247" s="138">
        <v>30</v>
      </c>
      <c r="F247" s="138">
        <v>30</v>
      </c>
      <c r="G247" s="138">
        <v>0</v>
      </c>
      <c r="H247" s="139">
        <v>0</v>
      </c>
      <c r="I247" s="138">
        <v>3.3</v>
      </c>
      <c r="J247" s="138">
        <f t="shared" ref="J247:J253" si="127">IF(F247=0,0,ROUND(((100-H247-G247)/F247),1))-I247</f>
        <v>0</v>
      </c>
      <c r="K247" s="137"/>
      <c r="L247" s="130"/>
      <c r="M247" s="138">
        <v>0.5</v>
      </c>
      <c r="N247" s="830">
        <f t="shared" ref="N247:N253" si="128">ROUND(M247,1)</f>
        <v>0.5</v>
      </c>
      <c r="O247" s="138">
        <v>30</v>
      </c>
      <c r="P247" s="138">
        <f t="shared" ref="P247:P253" si="129">IF(O247&gt;20,ROUND(O247,0),ROUND(O247,1))</f>
        <v>30</v>
      </c>
      <c r="Q247" s="138">
        <v>29</v>
      </c>
      <c r="R247" s="138">
        <f t="shared" ref="R247:R253" si="130">IF(Q247&gt;20,ROUND(Q247,0),ROUND(Q247,1))</f>
        <v>29</v>
      </c>
      <c r="S247" s="130">
        <f>IF('Plant &amp; Reserve'!$D247=0,0,ROUND(('Plant &amp; Reserve'!$E247/'Plant &amp; Reserve'!$D247)*100,2))</f>
        <v>3.38</v>
      </c>
      <c r="T247" s="139">
        <v>0</v>
      </c>
      <c r="U247" s="836">
        <f t="shared" ref="U247:U253" si="131">IF(Q247=0,0,ROUND(((100-T247-S247)/Q247),3))</f>
        <v>3.3319999999999999</v>
      </c>
      <c r="V247" s="138">
        <f>IF(R247=0,0,ROUND(((100-T247-S247)/R247),1))</f>
        <v>3.3</v>
      </c>
      <c r="W247" s="842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Y247" s="127"/>
    </row>
    <row r="248" spans="1:51" s="53" customFormat="1" x14ac:dyDescent="0.2">
      <c r="A248" s="140">
        <f>'Plant &amp; Reserve'!$A248</f>
        <v>34299</v>
      </c>
      <c r="B248" s="130" t="str">
        <f>'Plant &amp; Reserve'!$B248</f>
        <v>Solar Sites</v>
      </c>
      <c r="C248" s="130"/>
      <c r="D248" s="138">
        <v>0</v>
      </c>
      <c r="E248" s="138">
        <v>30</v>
      </c>
      <c r="F248" s="138">
        <v>30</v>
      </c>
      <c r="G248" s="138">
        <v>0</v>
      </c>
      <c r="H248" s="139">
        <v>0</v>
      </c>
      <c r="I248" s="138">
        <v>3.3</v>
      </c>
      <c r="J248" s="138">
        <f t="shared" si="127"/>
        <v>0</v>
      </c>
      <c r="K248" s="137"/>
      <c r="L248" s="130"/>
      <c r="M248" s="138">
        <v>0.5</v>
      </c>
      <c r="N248" s="830">
        <f t="shared" si="128"/>
        <v>0.5</v>
      </c>
      <c r="O248" s="138">
        <v>30</v>
      </c>
      <c r="P248" s="138">
        <f t="shared" si="129"/>
        <v>30</v>
      </c>
      <c r="Q248" s="138">
        <v>30</v>
      </c>
      <c r="R248" s="138">
        <f t="shared" si="130"/>
        <v>30</v>
      </c>
      <c r="S248" s="130">
        <f>IF('Plant &amp; Reserve'!$D248=0,0,ROUND(('Plant &amp; Reserve'!$E248/'Plant &amp; Reserve'!$D248)*100,2))</f>
        <v>0</v>
      </c>
      <c r="T248" s="139">
        <v>0</v>
      </c>
      <c r="U248" s="836">
        <f t="shared" si="131"/>
        <v>3.3330000000000002</v>
      </c>
      <c r="V248" s="138">
        <f>IF(R248=0,0,ROUND(((100-T248-S248)/R248),1))</f>
        <v>3.3</v>
      </c>
      <c r="W248" s="842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Y248" s="127"/>
    </row>
    <row r="249" spans="1:51" s="53" customFormat="1" x14ac:dyDescent="0.2">
      <c r="A249" s="140">
        <f>'Plant &amp; Reserve'!$A249</f>
        <v>34399</v>
      </c>
      <c r="B249" s="130" t="str">
        <f>'Plant &amp; Reserve'!$B249</f>
        <v>Solar Sites</v>
      </c>
      <c r="C249" s="130"/>
      <c r="D249" s="138">
        <v>0</v>
      </c>
      <c r="E249" s="138">
        <v>30</v>
      </c>
      <c r="F249" s="138">
        <v>30</v>
      </c>
      <c r="G249" s="138">
        <v>0</v>
      </c>
      <c r="H249" s="139">
        <v>0</v>
      </c>
      <c r="I249" s="138">
        <v>3.3</v>
      </c>
      <c r="J249" s="138">
        <f t="shared" si="127"/>
        <v>0</v>
      </c>
      <c r="K249" s="137"/>
      <c r="L249" s="130"/>
      <c r="M249" s="138">
        <v>0.5</v>
      </c>
      <c r="N249" s="830">
        <f t="shared" si="128"/>
        <v>0.5</v>
      </c>
      <c r="O249" s="138">
        <v>30</v>
      </c>
      <c r="P249" s="138">
        <f t="shared" si="129"/>
        <v>30</v>
      </c>
      <c r="Q249" s="138">
        <v>29</v>
      </c>
      <c r="R249" s="138">
        <f t="shared" si="130"/>
        <v>29</v>
      </c>
      <c r="S249" s="130">
        <f>IF('Plant &amp; Reserve'!$D249=0,0,ROUND(('Plant &amp; Reserve'!$E249/'Plant &amp; Reserve'!$D249)*100,2))</f>
        <v>4.1100000000000003</v>
      </c>
      <c r="T249" s="139">
        <v>0</v>
      </c>
      <c r="U249" s="836">
        <f t="shared" si="131"/>
        <v>3.3069999999999999</v>
      </c>
      <c r="V249" s="138">
        <f t="shared" ref="V249:V253" si="132">IF(R249=0,0,ROUND(((100-T249-S249)/R249),1))</f>
        <v>3.3</v>
      </c>
      <c r="W249" s="842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Y249" s="127"/>
    </row>
    <row r="250" spans="1:51" s="53" customFormat="1" x14ac:dyDescent="0.2">
      <c r="A250" s="140">
        <f>'Plant &amp; Reserve'!$A250</f>
        <v>34599</v>
      </c>
      <c r="B250" s="130" t="str">
        <f>'Plant &amp; Reserve'!$B250</f>
        <v>Solar Sites</v>
      </c>
      <c r="C250" s="130"/>
      <c r="D250" s="138">
        <v>0</v>
      </c>
      <c r="E250" s="138">
        <v>30</v>
      </c>
      <c r="F250" s="138">
        <v>30</v>
      </c>
      <c r="G250" s="138">
        <v>0</v>
      </c>
      <c r="H250" s="139">
        <v>0</v>
      </c>
      <c r="I250" s="138">
        <v>3.3</v>
      </c>
      <c r="J250" s="138">
        <f t="shared" si="127"/>
        <v>0</v>
      </c>
      <c r="K250" s="137"/>
      <c r="L250" s="130"/>
      <c r="M250" s="138">
        <v>0.5</v>
      </c>
      <c r="N250" s="830">
        <f t="shared" si="128"/>
        <v>0.5</v>
      </c>
      <c r="O250" s="138">
        <v>30</v>
      </c>
      <c r="P250" s="138">
        <f t="shared" si="129"/>
        <v>30</v>
      </c>
      <c r="Q250" s="138">
        <v>29</v>
      </c>
      <c r="R250" s="138">
        <f t="shared" si="130"/>
        <v>29</v>
      </c>
      <c r="S250" s="130">
        <f>IF('Plant &amp; Reserve'!$D250=0,0,ROUND(('Plant &amp; Reserve'!$E250/'Plant &amp; Reserve'!$D250)*100,2))</f>
        <v>3.91</v>
      </c>
      <c r="T250" s="139">
        <v>0</v>
      </c>
      <c r="U250" s="836">
        <f t="shared" si="131"/>
        <v>3.3130000000000002</v>
      </c>
      <c r="V250" s="138">
        <f t="shared" si="132"/>
        <v>3.3</v>
      </c>
      <c r="W250" s="842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Y250" s="127"/>
    </row>
    <row r="251" spans="1:51" s="53" customFormat="1" x14ac:dyDescent="0.2">
      <c r="A251" s="140">
        <f>'Plant &amp; Reserve'!$A251</f>
        <v>34699</v>
      </c>
      <c r="B251" s="130" t="str">
        <f>'Plant &amp; Reserve'!$B251</f>
        <v>Solar Sites</v>
      </c>
      <c r="C251" s="130"/>
      <c r="D251" s="138">
        <v>0</v>
      </c>
      <c r="E251" s="138">
        <v>30</v>
      </c>
      <c r="F251" s="138">
        <v>30</v>
      </c>
      <c r="G251" s="138">
        <v>0</v>
      </c>
      <c r="H251" s="139">
        <v>0</v>
      </c>
      <c r="I251" s="138">
        <v>3.3</v>
      </c>
      <c r="J251" s="138">
        <f t="shared" si="127"/>
        <v>0</v>
      </c>
      <c r="K251" s="137"/>
      <c r="L251" s="130"/>
      <c r="M251" s="138">
        <v>0.5</v>
      </c>
      <c r="N251" s="830">
        <f t="shared" si="128"/>
        <v>0.5</v>
      </c>
      <c r="O251" s="138">
        <v>30</v>
      </c>
      <c r="P251" s="138">
        <f t="shared" si="129"/>
        <v>30</v>
      </c>
      <c r="Q251" s="138">
        <v>30</v>
      </c>
      <c r="R251" s="138">
        <f t="shared" si="130"/>
        <v>30</v>
      </c>
      <c r="S251" s="130">
        <f>IF('Plant &amp; Reserve'!$D251=0,0,ROUND(('Plant &amp; Reserve'!$E251/'Plant &amp; Reserve'!$D251)*100,2))</f>
        <v>0</v>
      </c>
      <c r="T251" s="139">
        <v>0</v>
      </c>
      <c r="U251" s="836">
        <f t="shared" si="131"/>
        <v>3.3330000000000002</v>
      </c>
      <c r="V251" s="138">
        <f t="shared" si="132"/>
        <v>3.3</v>
      </c>
      <c r="W251" s="842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Y251" s="127"/>
    </row>
    <row r="252" spans="1:51" s="53" customFormat="1" x14ac:dyDescent="0.2">
      <c r="A252" s="140">
        <f>'Plant &amp; Reserve'!$A252</f>
        <v>34899</v>
      </c>
      <c r="B252" s="168" t="str">
        <f>'Plant &amp; Reserve'!$B252</f>
        <v>Solar Sites</v>
      </c>
      <c r="C252" s="130"/>
      <c r="D252" s="138">
        <v>0</v>
      </c>
      <c r="E252" s="138">
        <v>10</v>
      </c>
      <c r="F252" s="138">
        <v>10</v>
      </c>
      <c r="G252" s="138">
        <v>0</v>
      </c>
      <c r="H252" s="139">
        <v>0</v>
      </c>
      <c r="I252" s="138">
        <v>10</v>
      </c>
      <c r="J252" s="138">
        <f>IF(F252=0,0,ROUND(((100-H252-G252)/F252),1))-I252</f>
        <v>0</v>
      </c>
      <c r="K252" s="137"/>
      <c r="L252" s="130"/>
      <c r="M252" s="170">
        <v>0</v>
      </c>
      <c r="N252" s="779">
        <f t="shared" si="128"/>
        <v>0</v>
      </c>
      <c r="O252" s="170">
        <v>10</v>
      </c>
      <c r="P252" s="170">
        <f t="shared" si="129"/>
        <v>10</v>
      </c>
      <c r="Q252" s="170">
        <v>10</v>
      </c>
      <c r="R252" s="170">
        <f t="shared" si="130"/>
        <v>10</v>
      </c>
      <c r="S252" s="168">
        <f>IF('Plant &amp; Reserve'!$D252=0,0,ROUND(('Plant &amp; Reserve'!$E252/'Plant &amp; Reserve'!$D252)*100,2))</f>
        <v>0</v>
      </c>
      <c r="T252" s="837">
        <v>0</v>
      </c>
      <c r="U252" s="838">
        <f t="shared" si="131"/>
        <v>10</v>
      </c>
      <c r="V252" s="170">
        <f t="shared" si="132"/>
        <v>10</v>
      </c>
      <c r="W252" s="84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Y252" s="127"/>
    </row>
    <row r="253" spans="1:51" s="53" customFormat="1" x14ac:dyDescent="0.2">
      <c r="A253" s="491"/>
      <c r="B253" s="125" t="s">
        <v>75</v>
      </c>
      <c r="C253" s="128"/>
      <c r="D253" s="177">
        <v>0</v>
      </c>
      <c r="E253" s="177">
        <v>30</v>
      </c>
      <c r="F253" s="177">
        <v>30</v>
      </c>
      <c r="G253" s="177">
        <v>0</v>
      </c>
      <c r="H253" s="820">
        <v>0</v>
      </c>
      <c r="I253" s="177">
        <v>3.3</v>
      </c>
      <c r="J253" s="138">
        <f t="shared" si="127"/>
        <v>0</v>
      </c>
      <c r="K253" s="137"/>
      <c r="L253" s="130"/>
      <c r="M253" s="177">
        <v>0.5</v>
      </c>
      <c r="N253" s="845">
        <f t="shared" si="128"/>
        <v>0.5</v>
      </c>
      <c r="O253" s="177">
        <v>30</v>
      </c>
      <c r="P253" s="177">
        <f t="shared" si="129"/>
        <v>30</v>
      </c>
      <c r="Q253" s="177">
        <v>29</v>
      </c>
      <c r="R253" s="177">
        <f t="shared" si="130"/>
        <v>29</v>
      </c>
      <c r="S253" s="128">
        <f>IF('Plant &amp; Reserve'!$D253=0,0,ROUND(('Plant &amp; Reserve'!$E253/'Plant &amp; Reserve'!$D253)*100,2))</f>
        <v>3.84</v>
      </c>
      <c r="T253" s="820">
        <v>0</v>
      </c>
      <c r="U253" s="836">
        <f t="shared" si="131"/>
        <v>3.3159999999999998</v>
      </c>
      <c r="V253" s="177">
        <f t="shared" si="132"/>
        <v>3.3</v>
      </c>
      <c r="W253" s="842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Y253" s="127"/>
    </row>
    <row r="254" spans="1:51" s="53" customFormat="1" ht="13.5" thickBot="1" x14ac:dyDescent="0.25">
      <c r="A254" s="195"/>
      <c r="B254" s="181"/>
      <c r="C254" s="130"/>
      <c r="D254" s="841" t="s">
        <v>123</v>
      </c>
      <c r="E254" s="841" t="s">
        <v>123</v>
      </c>
      <c r="F254" s="841" t="s">
        <v>123</v>
      </c>
      <c r="G254" s="841" t="s">
        <v>123</v>
      </c>
      <c r="H254" s="841" t="s">
        <v>123</v>
      </c>
      <c r="I254" s="841" t="s">
        <v>123</v>
      </c>
      <c r="J254" s="841" t="s">
        <v>123</v>
      </c>
      <c r="K254" s="137"/>
      <c r="L254" s="130"/>
      <c r="M254" s="138"/>
      <c r="N254" s="138"/>
      <c r="O254" s="138"/>
      <c r="P254" s="138"/>
      <c r="Q254" s="138"/>
      <c r="R254" s="138"/>
      <c r="S254" s="138"/>
      <c r="T254" s="160"/>
      <c r="U254" s="138"/>
      <c r="V254" s="138"/>
      <c r="W254" s="842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Y254" s="127"/>
    </row>
    <row r="255" spans="1:51" s="53" customFormat="1" ht="19.5" customHeight="1" thickTop="1" thickBot="1" x14ac:dyDescent="0.25">
      <c r="A255" s="494"/>
      <c r="B255" s="384"/>
      <c r="C255" s="196"/>
      <c r="D255" s="196"/>
      <c r="E255" s="196"/>
      <c r="F255" s="196"/>
      <c r="G255" s="196"/>
      <c r="H255" s="196"/>
      <c r="I255" s="196"/>
      <c r="J255" s="196"/>
      <c r="K255" s="137"/>
      <c r="L255" s="130"/>
      <c r="M255" s="196"/>
      <c r="N255" s="196"/>
      <c r="O255" s="196"/>
      <c r="P255" s="196"/>
      <c r="Q255" s="196"/>
      <c r="R255" s="196"/>
      <c r="S255" s="196"/>
      <c r="T255" s="196"/>
      <c r="U255" s="196"/>
      <c r="V255" s="196"/>
      <c r="W255" s="842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Y255" s="127"/>
    </row>
    <row r="256" spans="1:51" s="53" customFormat="1" ht="13.5" thickTop="1" x14ac:dyDescent="0.2">
      <c r="A256" s="200"/>
      <c r="B256" s="385"/>
      <c r="C256" s="130"/>
      <c r="D256" s="138"/>
      <c r="E256" s="138"/>
      <c r="F256" s="138"/>
      <c r="G256" s="130"/>
      <c r="H256" s="139"/>
      <c r="I256" s="138"/>
      <c r="J256" s="138"/>
      <c r="K256" s="137"/>
      <c r="L256" s="130"/>
      <c r="M256" s="138"/>
      <c r="N256" s="138"/>
      <c r="O256" s="138"/>
      <c r="P256" s="138"/>
      <c r="Q256" s="138"/>
      <c r="R256" s="138"/>
      <c r="S256" s="138"/>
      <c r="T256" s="160"/>
      <c r="U256" s="138"/>
      <c r="V256" s="138"/>
      <c r="W256" s="842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Y256" s="127"/>
    </row>
    <row r="257" spans="1:51" s="53" customFormat="1" ht="13.5" thickBot="1" x14ac:dyDescent="0.25">
      <c r="A257" s="203"/>
      <c r="B257" s="386"/>
      <c r="C257" s="188"/>
      <c r="D257" s="188"/>
      <c r="E257" s="188"/>
      <c r="F257" s="188"/>
      <c r="G257" s="188"/>
      <c r="H257" s="188"/>
      <c r="I257" s="188"/>
      <c r="J257" s="188"/>
      <c r="K257" s="137"/>
      <c r="L257" s="130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842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Y257" s="127"/>
    </row>
    <row r="258" spans="1:51" s="53" customFormat="1" ht="19.5" customHeight="1" thickTop="1" thickBot="1" x14ac:dyDescent="0.25">
      <c r="A258" s="207"/>
      <c r="B258" s="191"/>
      <c r="C258" s="192"/>
      <c r="D258" s="192"/>
      <c r="E258" s="192"/>
      <c r="F258" s="192"/>
      <c r="G258" s="192"/>
      <c r="H258" s="192"/>
      <c r="I258" s="192"/>
      <c r="J258" s="192"/>
      <c r="K258" s="137"/>
      <c r="L258" s="130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W258" s="842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Y258" s="127"/>
    </row>
    <row r="259" spans="1:51" s="53" customFormat="1" ht="13.5" thickTop="1" x14ac:dyDescent="0.2">
      <c r="A259" s="208"/>
      <c r="B259" s="387"/>
      <c r="C259" s="130"/>
      <c r="D259" s="208"/>
      <c r="E259" s="208"/>
      <c r="F259" s="208"/>
      <c r="G259" s="209"/>
      <c r="H259" s="208"/>
      <c r="I259" s="208"/>
      <c r="J259" s="208"/>
      <c r="K259" s="137"/>
      <c r="L259" s="130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842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Y259" s="127"/>
    </row>
    <row r="260" spans="1:51" s="53" customFormat="1" x14ac:dyDescent="0.2">
      <c r="A260" s="208"/>
      <c r="B260" s="469" t="s">
        <v>1122</v>
      </c>
      <c r="C260" s="130"/>
      <c r="D260" s="208"/>
      <c r="E260" s="208"/>
      <c r="F260" s="208"/>
      <c r="G260" s="209"/>
      <c r="H260" s="208"/>
      <c r="I260" s="208"/>
      <c r="J260" s="208"/>
      <c r="K260" s="137"/>
      <c r="L260" s="130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842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Y260" s="127"/>
    </row>
    <row r="261" spans="1:51" s="53" customFormat="1" x14ac:dyDescent="0.2">
      <c r="A261" s="208"/>
      <c r="B261" s="387"/>
      <c r="C261" s="130"/>
      <c r="D261" s="208"/>
      <c r="E261" s="208"/>
      <c r="F261" s="208"/>
      <c r="G261" s="209"/>
      <c r="H261" s="208"/>
      <c r="I261" s="208"/>
      <c r="J261" s="208"/>
      <c r="K261" s="137"/>
      <c r="L261" s="130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842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Y261" s="127"/>
    </row>
    <row r="262" spans="1:51" s="53" customFormat="1" x14ac:dyDescent="0.2">
      <c r="A262" s="140">
        <f>'Plant &amp; Reserve'!$A262</f>
        <v>31700</v>
      </c>
      <c r="B262" s="130" t="str">
        <f>'Plant &amp; Reserve'!$B262</f>
        <v>Various Sites</v>
      </c>
      <c r="C262" s="130"/>
      <c r="D262" s="138"/>
      <c r="E262" s="138"/>
      <c r="F262" s="846" t="s">
        <v>1126</v>
      </c>
      <c r="G262" s="138"/>
      <c r="H262" s="139"/>
      <c r="I262" s="138"/>
      <c r="J262" s="138"/>
      <c r="K262" s="137"/>
      <c r="L262" s="130"/>
      <c r="M262" s="208"/>
      <c r="N262" s="208"/>
      <c r="O262" s="208"/>
      <c r="P262" s="208"/>
      <c r="Q262" s="208"/>
      <c r="R262" s="846" t="s">
        <v>1126</v>
      </c>
      <c r="S262" s="208"/>
      <c r="T262" s="208"/>
      <c r="U262" s="208"/>
      <c r="V262" s="208"/>
      <c r="W262" s="84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Y262" s="127"/>
    </row>
    <row r="263" spans="1:51" s="53" customFormat="1" x14ac:dyDescent="0.2">
      <c r="A263" s="140">
        <f>'Plant &amp; Reserve'!$A263</f>
        <v>34700</v>
      </c>
      <c r="B263" s="168" t="str">
        <f>'Plant &amp; Reserve'!$B263</f>
        <v>Various Sites</v>
      </c>
      <c r="C263" s="130"/>
      <c r="D263" s="138"/>
      <c r="E263" s="138"/>
      <c r="F263" s="846" t="s">
        <v>1126</v>
      </c>
      <c r="G263" s="138"/>
      <c r="H263" s="139"/>
      <c r="I263" s="138"/>
      <c r="J263" s="138"/>
      <c r="K263" s="137"/>
      <c r="L263" s="130"/>
      <c r="M263" s="208"/>
      <c r="N263" s="208"/>
      <c r="O263" s="208"/>
      <c r="P263" s="208"/>
      <c r="Q263" s="208"/>
      <c r="R263" s="846" t="s">
        <v>1126</v>
      </c>
      <c r="S263" s="208"/>
      <c r="T263" s="208"/>
      <c r="U263" s="208"/>
      <c r="V263" s="208"/>
      <c r="W263" s="842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Y263" s="127"/>
    </row>
    <row r="264" spans="1:51" s="53" customFormat="1" x14ac:dyDescent="0.2">
      <c r="A264" s="208"/>
      <c r="B264" s="125" t="s">
        <v>75</v>
      </c>
      <c r="C264" s="130"/>
      <c r="D264" s="208"/>
      <c r="E264" s="208"/>
      <c r="F264" s="208"/>
      <c r="G264" s="209"/>
      <c r="H264" s="208"/>
      <c r="I264" s="208"/>
      <c r="J264" s="208"/>
      <c r="K264" s="137"/>
      <c r="L264" s="130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842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Y264" s="127"/>
    </row>
    <row r="265" spans="1:51" s="53" customFormat="1" ht="13.5" thickBot="1" x14ac:dyDescent="0.25">
      <c r="A265" s="195"/>
      <c r="B265" s="181"/>
      <c r="C265" s="130"/>
      <c r="D265" s="208"/>
      <c r="E265" s="208"/>
      <c r="F265" s="208"/>
      <c r="G265" s="209"/>
      <c r="H265" s="208"/>
      <c r="I265" s="208"/>
      <c r="J265" s="208"/>
      <c r="K265" s="137"/>
      <c r="L265" s="130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842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Y265" s="127"/>
    </row>
    <row r="266" spans="1:51" s="53" customFormat="1" ht="19.5" customHeight="1" thickTop="1" thickBot="1" x14ac:dyDescent="0.25">
      <c r="A266" s="494"/>
      <c r="B266" s="384"/>
      <c r="C266" s="196"/>
      <c r="D266" s="196"/>
      <c r="E266" s="196"/>
      <c r="F266" s="196"/>
      <c r="G266" s="196"/>
      <c r="H266" s="196"/>
      <c r="I266" s="196"/>
      <c r="J266" s="196"/>
      <c r="K266" s="137"/>
      <c r="L266" s="130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842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Y266" s="127"/>
    </row>
    <row r="267" spans="1:51" s="53" customFormat="1" ht="13.5" thickTop="1" x14ac:dyDescent="0.2">
      <c r="A267" s="208"/>
      <c r="B267" s="387"/>
      <c r="C267" s="130"/>
      <c r="D267" s="208"/>
      <c r="E267" s="208"/>
      <c r="F267" s="208"/>
      <c r="G267" s="209"/>
      <c r="H267" s="208"/>
      <c r="I267" s="208"/>
      <c r="J267" s="208"/>
      <c r="K267" s="137"/>
      <c r="L267" s="130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842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Y267" s="127"/>
    </row>
    <row r="268" spans="1:51" s="53" customFormat="1" ht="13.5" thickBot="1" x14ac:dyDescent="0.25">
      <c r="A268" s="203"/>
      <c r="B268" s="386"/>
      <c r="C268" s="188"/>
      <c r="D268" s="188"/>
      <c r="E268" s="188"/>
      <c r="F268" s="188"/>
      <c r="G268" s="188"/>
      <c r="H268" s="188"/>
      <c r="I268" s="188"/>
      <c r="J268" s="188"/>
      <c r="K268" s="137"/>
      <c r="L268" s="130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842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Y268" s="127"/>
    </row>
    <row r="269" spans="1:51" s="53" customFormat="1" ht="19.5" customHeight="1" thickTop="1" thickBot="1" x14ac:dyDescent="0.25">
      <c r="A269" s="207"/>
      <c r="B269" s="191"/>
      <c r="C269" s="192"/>
      <c r="D269" s="192"/>
      <c r="E269" s="192"/>
      <c r="F269" s="192"/>
      <c r="G269" s="192"/>
      <c r="H269" s="192"/>
      <c r="I269" s="192"/>
      <c r="J269" s="192"/>
      <c r="K269" s="137"/>
      <c r="L269" s="130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842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Y269" s="127"/>
    </row>
    <row r="270" spans="1:51" s="53" customFormat="1" ht="13.5" thickTop="1" x14ac:dyDescent="0.2">
      <c r="A270" s="127"/>
      <c r="B270" s="127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842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Y270" s="127"/>
    </row>
    <row r="271" spans="1:51" x14ac:dyDescent="0.2">
      <c r="A271" s="222"/>
      <c r="B271" s="223"/>
      <c r="C271" s="223"/>
      <c r="D271" s="223"/>
      <c r="E271" s="223"/>
      <c r="F271" s="223"/>
      <c r="G271" s="223"/>
      <c r="H271" s="223"/>
      <c r="I271" s="223"/>
      <c r="J271" s="223"/>
      <c r="K271" s="223"/>
      <c r="L271" s="223"/>
      <c r="M271" s="224"/>
      <c r="N271" s="224"/>
      <c r="O271" s="224"/>
      <c r="P271" s="224"/>
      <c r="Q271" s="224"/>
      <c r="R271" s="224"/>
      <c r="S271" s="224"/>
      <c r="T271" s="224"/>
      <c r="U271" s="224"/>
      <c r="V271" s="224"/>
      <c r="AY271" s="223"/>
    </row>
    <row r="272" spans="1:51" x14ac:dyDescent="0.2">
      <c r="A272" s="222"/>
      <c r="B272" s="223"/>
      <c r="C272" s="223"/>
      <c r="D272" s="223"/>
      <c r="E272" s="223"/>
      <c r="F272" s="223"/>
      <c r="G272" s="223"/>
      <c r="H272" s="223"/>
      <c r="I272" s="223"/>
      <c r="J272" s="223"/>
      <c r="K272" s="223"/>
      <c r="L272" s="223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AY272" s="223"/>
    </row>
    <row r="273" spans="1:51" x14ac:dyDescent="0.2">
      <c r="A273" s="222"/>
      <c r="B273" s="223"/>
      <c r="C273" s="223"/>
      <c r="D273" s="223"/>
      <c r="E273" s="223"/>
      <c r="F273" s="223"/>
      <c r="G273" s="223"/>
      <c r="H273" s="223"/>
      <c r="I273" s="223"/>
      <c r="J273" s="223"/>
      <c r="K273" s="223"/>
      <c r="L273" s="223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AY273" s="223"/>
    </row>
    <row r="274" spans="1:51" x14ac:dyDescent="0.2">
      <c r="A274" s="222"/>
      <c r="B274" s="223"/>
      <c r="C274" s="223"/>
      <c r="D274" s="223"/>
      <c r="E274" s="223"/>
      <c r="F274" s="223"/>
      <c r="G274" s="223"/>
      <c r="H274" s="223"/>
      <c r="I274" s="223"/>
      <c r="J274" s="223"/>
      <c r="K274" s="223"/>
      <c r="L274" s="223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AY274" s="223"/>
    </row>
    <row r="280" spans="1:51" x14ac:dyDescent="0.2">
      <c r="A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</row>
    <row r="281" spans="1:51" x14ac:dyDescent="0.2">
      <c r="A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</row>
    <row r="282" spans="1:51" x14ac:dyDescent="0.2">
      <c r="A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</row>
    <row r="283" spans="1:51" x14ac:dyDescent="0.2">
      <c r="A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</row>
    <row r="284" spans="1:51" x14ac:dyDescent="0.2">
      <c r="A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</row>
    <row r="285" spans="1:51" x14ac:dyDescent="0.2">
      <c r="A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</row>
    <row r="286" spans="1:51" x14ac:dyDescent="0.2">
      <c r="A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</row>
    <row r="287" spans="1:51" x14ac:dyDescent="0.2">
      <c r="A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</row>
    <row r="288" spans="1:51" x14ac:dyDescent="0.2">
      <c r="A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</row>
    <row r="289" spans="1:22" x14ac:dyDescent="0.2">
      <c r="A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</row>
    <row r="290" spans="1:22" x14ac:dyDescent="0.2">
      <c r="A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</row>
    <row r="291" spans="1:22" x14ac:dyDescent="0.2">
      <c r="A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</row>
    <row r="292" spans="1:22" x14ac:dyDescent="0.2">
      <c r="A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</row>
    <row r="293" spans="1:22" x14ac:dyDescent="0.2">
      <c r="A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</row>
    <row r="294" spans="1:22" x14ac:dyDescent="0.2">
      <c r="A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</row>
    <row r="295" spans="1:22" x14ac:dyDescent="0.2">
      <c r="A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</row>
    <row r="296" spans="1:22" x14ac:dyDescent="0.2">
      <c r="A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</row>
    <row r="297" spans="1:22" x14ac:dyDescent="0.2">
      <c r="A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</row>
    <row r="298" spans="1:22" x14ac:dyDescent="0.2">
      <c r="A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</row>
    <row r="299" spans="1:22" x14ac:dyDescent="0.2">
      <c r="A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</row>
    <row r="300" spans="1:22" x14ac:dyDescent="0.2">
      <c r="A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</row>
    <row r="301" spans="1:22" x14ac:dyDescent="0.2">
      <c r="A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1:22" x14ac:dyDescent="0.2">
      <c r="A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1:22" x14ac:dyDescent="0.2">
      <c r="A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1:22" x14ac:dyDescent="0.2">
      <c r="A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1:22" x14ac:dyDescent="0.2">
      <c r="A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1:22" x14ac:dyDescent="0.2">
      <c r="A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1:22" x14ac:dyDescent="0.2">
      <c r="A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1:22" x14ac:dyDescent="0.2">
      <c r="A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1:22" x14ac:dyDescent="0.2">
      <c r="A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1:22" x14ac:dyDescent="0.2">
      <c r="A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1:22" x14ac:dyDescent="0.2">
      <c r="A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1:22" x14ac:dyDescent="0.2">
      <c r="A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1:22" x14ac:dyDescent="0.2">
      <c r="A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1:22" x14ac:dyDescent="0.2">
      <c r="A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1:22" x14ac:dyDescent="0.2">
      <c r="A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1:22" x14ac:dyDescent="0.2">
      <c r="A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1:22" x14ac:dyDescent="0.2">
      <c r="A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1:22" x14ac:dyDescent="0.2">
      <c r="A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1:22" x14ac:dyDescent="0.2">
      <c r="A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1:22" x14ac:dyDescent="0.2">
      <c r="A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1:22" x14ac:dyDescent="0.2">
      <c r="A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1:22" x14ac:dyDescent="0.2">
      <c r="A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1:22" x14ac:dyDescent="0.2">
      <c r="A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1:22" x14ac:dyDescent="0.2">
      <c r="A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1:22" x14ac:dyDescent="0.2">
      <c r="A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1:22" x14ac:dyDescent="0.2">
      <c r="A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1:22" x14ac:dyDescent="0.2">
      <c r="A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1:22" x14ac:dyDescent="0.2">
      <c r="A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1:22" x14ac:dyDescent="0.2">
      <c r="A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1:22" x14ac:dyDescent="0.2">
      <c r="A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1:22" x14ac:dyDescent="0.2">
      <c r="A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1:22" x14ac:dyDescent="0.2">
      <c r="A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1:22" x14ac:dyDescent="0.2">
      <c r="A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1:22" x14ac:dyDescent="0.2">
      <c r="A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1:22" x14ac:dyDescent="0.2">
      <c r="A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1:22" x14ac:dyDescent="0.2">
      <c r="A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1:22" x14ac:dyDescent="0.2">
      <c r="A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1:22" x14ac:dyDescent="0.2">
      <c r="A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1:22" x14ac:dyDescent="0.2">
      <c r="A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1:22" x14ac:dyDescent="0.2">
      <c r="A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1:22" x14ac:dyDescent="0.2">
      <c r="A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1:22" x14ac:dyDescent="0.2">
      <c r="A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1:22" x14ac:dyDescent="0.2">
      <c r="A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1:22" x14ac:dyDescent="0.2">
      <c r="A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1:22" x14ac:dyDescent="0.2">
      <c r="A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1:22" x14ac:dyDescent="0.2">
      <c r="A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1:22" x14ac:dyDescent="0.2">
      <c r="A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1:22" x14ac:dyDescent="0.2">
      <c r="A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1:22" x14ac:dyDescent="0.2">
      <c r="A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1:22" x14ac:dyDescent="0.2">
      <c r="A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1:22" x14ac:dyDescent="0.2">
      <c r="A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1:22" x14ac:dyDescent="0.2">
      <c r="A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1:22" x14ac:dyDescent="0.2">
      <c r="A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1:22" x14ac:dyDescent="0.2">
      <c r="A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1:22" x14ac:dyDescent="0.2">
      <c r="A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1:22" x14ac:dyDescent="0.2">
      <c r="A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1:22" x14ac:dyDescent="0.2">
      <c r="A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1:22" x14ac:dyDescent="0.2">
      <c r="A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1:22" x14ac:dyDescent="0.2">
      <c r="A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1:22" x14ac:dyDescent="0.2">
      <c r="A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1:22" x14ac:dyDescent="0.2">
      <c r="A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1:22" x14ac:dyDescent="0.2">
      <c r="A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1:22" x14ac:dyDescent="0.2">
      <c r="A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1:22" x14ac:dyDescent="0.2">
      <c r="A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1:22" x14ac:dyDescent="0.2">
      <c r="A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1:22" x14ac:dyDescent="0.2">
      <c r="A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1:22" x14ac:dyDescent="0.2">
      <c r="A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1:22" x14ac:dyDescent="0.2">
      <c r="A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1:22" x14ac:dyDescent="0.2">
      <c r="A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</sheetData>
  <phoneticPr fontId="21" type="noConversion"/>
  <printOptions horizontalCentered="1"/>
  <pageMargins left="0.5" right="0.5" top="0.5" bottom="0.5" header="0.5" footer="0"/>
  <pageSetup scale="61" fitToHeight="5" orientation="landscape" blackAndWhite="1" r:id="rId1"/>
  <headerFooter alignWithMargins="0"/>
  <rowBreaks count="4" manualBreakCount="4">
    <brk id="64" max="21" man="1"/>
    <brk id="115" max="21" man="1"/>
    <brk id="168" max="21" man="1"/>
    <brk id="216" max="21" man="1"/>
  </rowBreaks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</sheetPr>
  <dimension ref="A1:V280"/>
  <sheetViews>
    <sheetView tabSelected="1" view="pageBreakPreview" zoomScaleNormal="100" zoomScaleSheetLayoutView="100" workbookViewId="0">
      <pane xSplit="2" ySplit="12" topLeftCell="C145" activePane="bottomRight" state="frozen"/>
      <selection activeCell="F20" sqref="F20"/>
      <selection pane="topRight" activeCell="F20" sqref="F20"/>
      <selection pane="bottomLeft" activeCell="F20" sqref="F20"/>
      <selection pane="bottomRight" activeCell="H280" sqref="H280"/>
    </sheetView>
  </sheetViews>
  <sheetFormatPr defaultRowHeight="12.75" x14ac:dyDescent="0.2"/>
  <cols>
    <col min="1" max="1" width="9.85546875" style="63" customWidth="1"/>
    <col min="2" max="2" width="25.5703125" style="63" customWidth="1"/>
    <col min="3" max="3" width="2.5703125" style="63" customWidth="1"/>
    <col min="4" max="4" width="14.7109375" style="63" bestFit="1" customWidth="1"/>
    <col min="5" max="5" width="14" style="63" bestFit="1" customWidth="1"/>
    <col min="6" max="6" width="8.42578125" style="63" bestFit="1" customWidth="1"/>
    <col min="7" max="7" width="14" style="63" bestFit="1" customWidth="1"/>
    <col min="8" max="8" width="11.28515625" style="63" bestFit="1" customWidth="1"/>
    <col min="9" max="9" width="14" style="63" bestFit="1" customWidth="1"/>
    <col min="10" max="10" width="12.5703125" style="63" customWidth="1"/>
    <col min="11" max="11" width="4.7109375" style="63" customWidth="1"/>
    <col min="12" max="12" width="9.85546875" style="63" customWidth="1"/>
    <col min="13" max="13" width="27.85546875" style="63" customWidth="1"/>
    <col min="14" max="14" width="2.5703125" style="63" customWidth="1"/>
    <col min="15" max="15" width="14" style="63" customWidth="1"/>
    <col min="16" max="16" width="2.5703125" style="63" customWidth="1"/>
    <col min="17" max="17" width="14" style="63" customWidth="1"/>
    <col min="18" max="18" width="2.5703125" style="63" customWidth="1"/>
    <col min="19" max="19" width="14" style="63" customWidth="1"/>
    <col min="20" max="20" width="3.7109375" style="63" customWidth="1"/>
    <col min="21" max="22" width="9.140625" style="842"/>
    <col min="23" max="16384" width="9.140625" style="76"/>
  </cols>
  <sheetData>
    <row r="1" spans="1:20" ht="15.75" x14ac:dyDescent="0.2">
      <c r="A1" s="217" t="s">
        <v>0</v>
      </c>
      <c r="B1" s="784"/>
      <c r="C1" s="220"/>
      <c r="D1" s="784"/>
      <c r="E1" s="784"/>
      <c r="F1" s="784"/>
      <c r="G1" s="784"/>
      <c r="H1" s="784"/>
      <c r="I1" s="784"/>
      <c r="J1" s="784"/>
      <c r="K1" s="785"/>
      <c r="L1" s="217" t="s">
        <v>0</v>
      </c>
      <c r="M1" s="784"/>
      <c r="N1" s="220"/>
      <c r="O1" s="220"/>
      <c r="P1" s="220"/>
      <c r="Q1" s="220"/>
      <c r="R1" s="220"/>
      <c r="S1" s="220"/>
      <c r="T1" s="847"/>
    </row>
    <row r="2" spans="1:20" ht="15.75" x14ac:dyDescent="0.2">
      <c r="A2" s="217" t="s">
        <v>1143</v>
      </c>
      <c r="B2" s="221"/>
      <c r="C2" s="221"/>
      <c r="D2" s="221"/>
      <c r="E2" s="221"/>
      <c r="F2" s="221"/>
      <c r="G2" s="221"/>
      <c r="H2" s="221"/>
      <c r="I2" s="221"/>
      <c r="J2" s="221"/>
      <c r="K2" s="785"/>
      <c r="L2" s="217" t="str">
        <f>'Plant &amp; Reserve'!$A$2</f>
        <v>2019 Annual Depreciation Analysis -  Rate Review</v>
      </c>
      <c r="M2" s="221"/>
      <c r="N2" s="221"/>
      <c r="O2" s="221"/>
      <c r="P2" s="221"/>
      <c r="Q2" s="221"/>
      <c r="R2" s="221"/>
      <c r="S2" s="221"/>
      <c r="T2" s="847"/>
    </row>
    <row r="3" spans="1:20" ht="15.75" x14ac:dyDescent="0.2">
      <c r="A3" s="217" t="s">
        <v>1158</v>
      </c>
      <c r="B3" s="221"/>
      <c r="C3" s="221"/>
      <c r="D3" s="221"/>
      <c r="E3" s="221"/>
      <c r="F3" s="221"/>
      <c r="G3" s="221"/>
      <c r="H3" s="221"/>
      <c r="I3" s="221"/>
      <c r="J3" s="221"/>
      <c r="K3" s="785"/>
      <c r="L3" s="217" t="s">
        <v>1158</v>
      </c>
      <c r="M3" s="221"/>
      <c r="N3" s="221"/>
      <c r="O3" s="221"/>
      <c r="P3" s="221"/>
      <c r="Q3" s="221"/>
      <c r="R3" s="221"/>
      <c r="S3" s="221"/>
      <c r="T3" s="847"/>
    </row>
    <row r="4" spans="1:20" ht="15.75" x14ac:dyDescent="0.2">
      <c r="A4" s="217" t="s">
        <v>1159</v>
      </c>
      <c r="B4" s="221"/>
      <c r="C4" s="221"/>
      <c r="D4" s="221"/>
      <c r="E4" s="221"/>
      <c r="F4" s="221"/>
      <c r="G4" s="221"/>
      <c r="H4" s="221"/>
      <c r="I4" s="221"/>
      <c r="J4" s="221"/>
      <c r="K4" s="785"/>
      <c r="L4" s="217" t="s">
        <v>1159</v>
      </c>
      <c r="M4" s="221"/>
      <c r="N4" s="221"/>
      <c r="O4" s="221"/>
      <c r="P4" s="221"/>
      <c r="Q4" s="221"/>
      <c r="R4" s="221"/>
      <c r="S4" s="221"/>
      <c r="T4" s="847"/>
    </row>
    <row r="5" spans="1:20" x14ac:dyDescent="0.2">
      <c r="A5" s="786"/>
      <c r="B5" s="787"/>
      <c r="C5" s="490"/>
      <c r="D5" s="490"/>
      <c r="E5" s="490"/>
      <c r="F5" s="490"/>
      <c r="G5" s="490"/>
      <c r="H5" s="490"/>
      <c r="I5" s="490"/>
      <c r="J5" s="490"/>
      <c r="K5" s="127"/>
      <c r="L5" s="786"/>
      <c r="M5" s="787"/>
      <c r="N5" s="490"/>
      <c r="O5" s="848"/>
      <c r="P5" s="490"/>
      <c r="Q5" s="848"/>
      <c r="R5" s="490"/>
      <c r="S5" s="490"/>
      <c r="T5" s="143"/>
    </row>
    <row r="6" spans="1:20" x14ac:dyDescent="0.2">
      <c r="A6" s="490"/>
      <c r="B6" s="490"/>
      <c r="C6" s="128"/>
      <c r="D6" s="490"/>
      <c r="E6" s="490"/>
      <c r="F6" s="490"/>
      <c r="G6" s="490"/>
      <c r="H6" s="490"/>
      <c r="I6" s="490"/>
      <c r="J6" s="490"/>
      <c r="K6" s="127"/>
      <c r="L6" s="490"/>
      <c r="M6" s="490"/>
      <c r="N6" s="128"/>
      <c r="O6" s="848"/>
      <c r="P6" s="128"/>
      <c r="Q6" s="848"/>
      <c r="R6" s="128"/>
      <c r="S6" s="490"/>
      <c r="T6" s="143"/>
    </row>
    <row r="7" spans="1:20" x14ac:dyDescent="0.2">
      <c r="A7" s="788"/>
      <c r="B7" s="490"/>
      <c r="C7" s="128"/>
      <c r="D7" s="490"/>
      <c r="E7" s="490"/>
      <c r="F7" s="490"/>
      <c r="G7" s="490"/>
      <c r="H7" s="490"/>
      <c r="I7" s="490"/>
      <c r="J7" s="490"/>
      <c r="K7" s="127"/>
      <c r="L7" s="788"/>
      <c r="M7" s="490"/>
      <c r="N7" s="128"/>
      <c r="O7" s="848"/>
      <c r="P7" s="128"/>
      <c r="Q7" s="848"/>
      <c r="R7" s="128"/>
      <c r="S7" s="490"/>
      <c r="T7" s="143"/>
    </row>
    <row r="8" spans="1:20" x14ac:dyDescent="0.2">
      <c r="A8" s="788"/>
      <c r="B8" s="490"/>
      <c r="C8" s="128"/>
      <c r="D8" s="490"/>
      <c r="E8" s="490"/>
      <c r="F8" s="490"/>
      <c r="G8" s="490"/>
      <c r="H8" s="490"/>
      <c r="I8" s="490"/>
      <c r="J8" s="490"/>
      <c r="K8" s="127"/>
      <c r="L8" s="788"/>
      <c r="M8" s="490"/>
      <c r="N8" s="128"/>
      <c r="O8" s="849"/>
      <c r="P8" s="128"/>
      <c r="Q8" s="848"/>
      <c r="R8" s="128"/>
      <c r="S8" s="490"/>
      <c r="T8" s="143"/>
    </row>
    <row r="9" spans="1:20" x14ac:dyDescent="0.2">
      <c r="A9" s="788"/>
      <c r="B9" s="490"/>
      <c r="C9" s="128"/>
      <c r="D9" s="490"/>
      <c r="E9" s="777" t="s">
        <v>122</v>
      </c>
      <c r="F9" s="490"/>
      <c r="G9" s="128"/>
      <c r="H9" s="128"/>
      <c r="I9" s="490"/>
      <c r="J9" s="490"/>
      <c r="K9" s="127"/>
      <c r="L9" s="788"/>
      <c r="M9" s="490"/>
      <c r="N9" s="128"/>
      <c r="O9" s="777" t="s">
        <v>77</v>
      </c>
      <c r="P9" s="128"/>
      <c r="Q9" s="777"/>
      <c r="R9" s="128"/>
      <c r="S9" s="777" t="s">
        <v>78</v>
      </c>
      <c r="T9" s="143"/>
    </row>
    <row r="10" spans="1:20" x14ac:dyDescent="0.2">
      <c r="A10" s="789"/>
      <c r="B10" s="490"/>
      <c r="C10" s="128"/>
      <c r="D10" s="128" t="s">
        <v>40</v>
      </c>
      <c r="E10" s="790" t="s">
        <v>41</v>
      </c>
      <c r="F10" s="128" t="s">
        <v>37</v>
      </c>
      <c r="G10" s="791" t="s">
        <v>56</v>
      </c>
      <c r="H10" s="791" t="s">
        <v>56</v>
      </c>
      <c r="I10" s="777" t="s">
        <v>37</v>
      </c>
      <c r="J10" s="132" t="s">
        <v>37</v>
      </c>
      <c r="K10" s="127"/>
      <c r="L10" s="789"/>
      <c r="M10" s="490"/>
      <c r="N10" s="128"/>
      <c r="O10" s="777" t="s">
        <v>9</v>
      </c>
      <c r="P10" s="128"/>
      <c r="Q10" s="850" t="s">
        <v>1121</v>
      </c>
      <c r="R10" s="128"/>
      <c r="S10" s="790" t="s">
        <v>9</v>
      </c>
      <c r="T10" s="143"/>
    </row>
    <row r="11" spans="1:20" x14ac:dyDescent="0.2">
      <c r="A11" s="128" t="s">
        <v>44</v>
      </c>
      <c r="B11" s="128"/>
      <c r="C11" s="128"/>
      <c r="D11" s="128" t="s">
        <v>92</v>
      </c>
      <c r="E11" s="790" t="s">
        <v>9</v>
      </c>
      <c r="F11" s="592" t="s">
        <v>9</v>
      </c>
      <c r="G11" s="777" t="s">
        <v>9</v>
      </c>
      <c r="H11" s="777" t="s">
        <v>9</v>
      </c>
      <c r="I11" s="777" t="s">
        <v>50</v>
      </c>
      <c r="J11" s="132" t="s">
        <v>51</v>
      </c>
      <c r="K11" s="127"/>
      <c r="L11" s="128" t="s">
        <v>44</v>
      </c>
      <c r="M11" s="128"/>
      <c r="N11" s="128"/>
      <c r="O11" s="777" t="s">
        <v>76</v>
      </c>
      <c r="P11" s="128"/>
      <c r="Q11" s="777" t="s">
        <v>9</v>
      </c>
      <c r="R11" s="128"/>
      <c r="S11" s="790" t="s">
        <v>76</v>
      </c>
      <c r="T11" s="143"/>
    </row>
    <row r="12" spans="1:20" ht="13.5" thickBot="1" x14ac:dyDescent="0.25">
      <c r="A12" s="529" t="s">
        <v>52</v>
      </c>
      <c r="B12" s="529" t="s">
        <v>53</v>
      </c>
      <c r="C12" s="128"/>
      <c r="D12" s="534">
        <f>'Change in Plant &amp; Reserve'!$G12</f>
        <v>43830</v>
      </c>
      <c r="E12" s="534">
        <f>'Change in Plant &amp; Reserve'!$G12</f>
        <v>43830</v>
      </c>
      <c r="F12" s="529" t="s">
        <v>14</v>
      </c>
      <c r="G12" s="781" t="s">
        <v>847</v>
      </c>
      <c r="H12" s="782" t="s">
        <v>14</v>
      </c>
      <c r="I12" s="782" t="s">
        <v>56</v>
      </c>
      <c r="J12" s="793" t="s">
        <v>56</v>
      </c>
      <c r="K12" s="127"/>
      <c r="L12" s="529" t="s">
        <v>52</v>
      </c>
      <c r="M12" s="529" t="s">
        <v>53</v>
      </c>
      <c r="N12" s="128"/>
      <c r="O12" s="534">
        <f>'Change in Plant &amp; Reserve'!$G12</f>
        <v>43830</v>
      </c>
      <c r="P12" s="128"/>
      <c r="Q12" s="534" t="s">
        <v>76</v>
      </c>
      <c r="R12" s="128"/>
      <c r="S12" s="534">
        <f>'Change in Plant &amp; Reserve'!$G12</f>
        <v>43830</v>
      </c>
      <c r="T12" s="143"/>
    </row>
    <row r="13" spans="1:20" ht="13.5" thickTop="1" x14ac:dyDescent="0.2">
      <c r="A13" s="128"/>
      <c r="B13" s="128"/>
      <c r="C13" s="128"/>
      <c r="D13" s="128" t="s">
        <v>16</v>
      </c>
      <c r="E13" s="128" t="s">
        <v>16</v>
      </c>
      <c r="F13" s="128" t="s">
        <v>57</v>
      </c>
      <c r="G13" s="128" t="s">
        <v>16</v>
      </c>
      <c r="H13" s="128" t="s">
        <v>57</v>
      </c>
      <c r="I13" s="128" t="s">
        <v>16</v>
      </c>
      <c r="J13" s="128" t="s">
        <v>57</v>
      </c>
      <c r="K13" s="127"/>
      <c r="L13" s="128"/>
      <c r="M13" s="128"/>
      <c r="N13" s="128"/>
      <c r="O13" s="128" t="s">
        <v>16</v>
      </c>
      <c r="P13" s="128"/>
      <c r="Q13" s="128" t="s">
        <v>16</v>
      </c>
      <c r="R13" s="128"/>
      <c r="S13" s="128" t="s">
        <v>16</v>
      </c>
      <c r="T13" s="143"/>
    </row>
    <row r="14" spans="1:20" x14ac:dyDescent="0.2">
      <c r="A14" s="130"/>
      <c r="B14" s="130"/>
      <c r="C14" s="130"/>
      <c r="D14" s="130"/>
      <c r="E14" s="130"/>
      <c r="F14" s="130"/>
      <c r="G14" s="130"/>
      <c r="H14" s="130"/>
      <c r="I14" s="130"/>
      <c r="J14" s="130"/>
      <c r="K14" s="127"/>
      <c r="L14" s="130"/>
      <c r="M14" s="130"/>
      <c r="N14" s="130"/>
      <c r="O14" s="143"/>
      <c r="P14" s="130"/>
      <c r="Q14" s="143"/>
      <c r="R14" s="130"/>
      <c r="S14" s="130"/>
      <c r="T14" s="143"/>
    </row>
    <row r="15" spans="1:20" x14ac:dyDescent="0.2">
      <c r="A15" s="130"/>
      <c r="B15" s="144" t="s">
        <v>58</v>
      </c>
      <c r="C15" s="130"/>
      <c r="D15" s="145"/>
      <c r="E15" s="145"/>
      <c r="F15" s="148"/>
      <c r="G15" s="145"/>
      <c r="H15" s="148"/>
      <c r="I15" s="145"/>
      <c r="J15" s="148"/>
      <c r="K15" s="127"/>
      <c r="L15" s="130"/>
      <c r="M15" s="144" t="s">
        <v>58</v>
      </c>
      <c r="N15" s="130"/>
      <c r="O15" s="143"/>
      <c r="P15" s="130"/>
      <c r="Q15" s="143"/>
      <c r="R15" s="130"/>
      <c r="S15" s="145"/>
      <c r="T15" s="143"/>
    </row>
    <row r="16" spans="1:20" x14ac:dyDescent="0.2">
      <c r="A16" s="130"/>
      <c r="B16" s="150"/>
      <c r="C16" s="130"/>
      <c r="D16" s="145"/>
      <c r="E16" s="145"/>
      <c r="F16" s="148"/>
      <c r="G16" s="145"/>
      <c r="H16" s="148"/>
      <c r="I16" s="145"/>
      <c r="J16" s="148"/>
      <c r="K16" s="127"/>
      <c r="L16" s="130"/>
      <c r="M16" s="150"/>
      <c r="N16" s="130"/>
      <c r="O16" s="143"/>
      <c r="P16" s="130"/>
      <c r="Q16" s="143"/>
      <c r="R16" s="130"/>
      <c r="S16" s="145"/>
      <c r="T16" s="143"/>
    </row>
    <row r="17" spans="1:20" x14ac:dyDescent="0.2">
      <c r="A17" s="130"/>
      <c r="B17" s="144" t="s">
        <v>59</v>
      </c>
      <c r="C17" s="130"/>
      <c r="D17" s="145"/>
      <c r="E17" s="145"/>
      <c r="F17" s="148"/>
      <c r="G17" s="145"/>
      <c r="H17" s="148"/>
      <c r="I17" s="145"/>
      <c r="J17" s="148"/>
      <c r="K17" s="127"/>
      <c r="L17" s="130"/>
      <c r="M17" s="144" t="s">
        <v>59</v>
      </c>
      <c r="N17" s="130"/>
      <c r="O17" s="143"/>
      <c r="P17" s="130"/>
      <c r="Q17" s="143"/>
      <c r="R17" s="130"/>
      <c r="S17" s="145"/>
      <c r="T17" s="143"/>
    </row>
    <row r="18" spans="1:20" x14ac:dyDescent="0.2">
      <c r="A18" s="130"/>
      <c r="B18" s="130"/>
      <c r="C18" s="130"/>
      <c r="D18" s="145"/>
      <c r="E18" s="145"/>
      <c r="F18" s="148"/>
      <c r="G18" s="145"/>
      <c r="H18" s="148"/>
      <c r="I18" s="145"/>
      <c r="J18" s="148"/>
      <c r="K18" s="127"/>
      <c r="L18" s="130"/>
      <c r="M18" s="130"/>
      <c r="N18" s="130"/>
      <c r="O18" s="143"/>
      <c r="P18" s="130"/>
      <c r="Q18" s="143"/>
      <c r="R18" s="130"/>
      <c r="S18" s="145"/>
      <c r="T18" s="143"/>
    </row>
    <row r="19" spans="1:20" x14ac:dyDescent="0.2">
      <c r="A19" s="140">
        <v>31140</v>
      </c>
      <c r="B19" s="130" t="s">
        <v>103</v>
      </c>
      <c r="C19" s="130"/>
      <c r="D19" s="145">
        <f>ROUND('Big Bend Common'!$F$16,0)</f>
        <v>224241620</v>
      </c>
      <c r="E19" s="145">
        <f>ROUND($S19,0)</f>
        <v>57749555</v>
      </c>
      <c r="F19" s="148">
        <f t="shared" ref="F19:F24" si="0">IF($D19=0,0,(E19/$D19)*100)</f>
        <v>25.753272296195505</v>
      </c>
      <c r="G19" s="145">
        <f>ROUND('Big Bend Common'!$N$16,0)</f>
        <v>68578506</v>
      </c>
      <c r="H19" s="148">
        <f t="shared" ref="H19:H24" si="1">IF($D19=0,0,(G19/$D19)*100)</f>
        <v>30.58241641315292</v>
      </c>
      <c r="I19" s="145">
        <f>E19-G19</f>
        <v>-10828951</v>
      </c>
      <c r="J19" s="162">
        <f t="shared" ref="J19:J24" si="2">IF(G19=0,0,(E19/G19)*100)</f>
        <v>84.209409577980594</v>
      </c>
      <c r="K19" s="127"/>
      <c r="L19" s="140">
        <f>$A19</f>
        <v>31140</v>
      </c>
      <c r="M19" s="130" t="str">
        <f>$B19</f>
        <v>BB Common</v>
      </c>
      <c r="N19" s="130"/>
      <c r="O19" s="145">
        <f>ROUND('Big Bend Common'!$Q$16,0)</f>
        <v>57749555</v>
      </c>
      <c r="P19" s="130"/>
      <c r="Q19" s="145">
        <v>0</v>
      </c>
      <c r="R19" s="130"/>
      <c r="S19" s="145">
        <f>O19+Q19</f>
        <v>57749555</v>
      </c>
      <c r="T19" s="143"/>
    </row>
    <row r="20" spans="1:20" x14ac:dyDescent="0.2">
      <c r="A20" s="140">
        <v>31240</v>
      </c>
      <c r="B20" s="130" t="s">
        <v>103</v>
      </c>
      <c r="C20" s="130"/>
      <c r="D20" s="145">
        <f>ROUND('Big Bend Common'!$F$22,0)</f>
        <v>182427706</v>
      </c>
      <c r="E20" s="145">
        <f>ROUND($S20,0)</f>
        <v>7802043</v>
      </c>
      <c r="F20" s="148">
        <f t="shared" si="0"/>
        <v>4.2767862245661297</v>
      </c>
      <c r="G20" s="145">
        <f>ROUND('Big Bend Common'!$N$22,0)</f>
        <v>61528718</v>
      </c>
      <c r="H20" s="148">
        <f t="shared" si="1"/>
        <v>33.727726642574787</v>
      </c>
      <c r="I20" s="145">
        <f>E20-G20</f>
        <v>-53726675</v>
      </c>
      <c r="J20" s="162">
        <f t="shared" si="2"/>
        <v>12.680327582967029</v>
      </c>
      <c r="K20" s="127"/>
      <c r="L20" s="140">
        <f>$A20</f>
        <v>31240</v>
      </c>
      <c r="M20" s="130" t="str">
        <f>$B20</f>
        <v>BB Common</v>
      </c>
      <c r="N20" s="130"/>
      <c r="O20" s="145">
        <f>ROUND('Big Bend Common'!$Q$22,0)</f>
        <v>7802043</v>
      </c>
      <c r="P20" s="130"/>
      <c r="Q20" s="145"/>
      <c r="R20" s="130"/>
      <c r="S20" s="145">
        <f>O20+Q20</f>
        <v>7802043</v>
      </c>
      <c r="T20" s="143"/>
    </row>
    <row r="21" spans="1:20" x14ac:dyDescent="0.2">
      <c r="A21" s="140">
        <v>31440</v>
      </c>
      <c r="B21" s="130" t="s">
        <v>103</v>
      </c>
      <c r="C21" s="130"/>
      <c r="D21" s="145">
        <f>ROUND('Big Bend Common'!$F$28,0)</f>
        <v>8810869</v>
      </c>
      <c r="E21" s="145">
        <f>ROUND($S21,0)</f>
        <v>2697279</v>
      </c>
      <c r="F21" s="148">
        <f t="shared" si="0"/>
        <v>30.61308708596167</v>
      </c>
      <c r="G21" s="145">
        <f>ROUND('Big Bend Common'!$N$28,0)</f>
        <v>3661976</v>
      </c>
      <c r="H21" s="148">
        <f t="shared" si="1"/>
        <v>41.562029806594559</v>
      </c>
      <c r="I21" s="145">
        <f>E21-G21</f>
        <v>-964697</v>
      </c>
      <c r="J21" s="162">
        <f t="shared" si="2"/>
        <v>73.656381145042999</v>
      </c>
      <c r="K21" s="127"/>
      <c r="L21" s="140">
        <f>$A21</f>
        <v>31440</v>
      </c>
      <c r="M21" s="130" t="str">
        <f>$B21</f>
        <v>BB Common</v>
      </c>
      <c r="N21" s="130"/>
      <c r="O21" s="145">
        <f>ROUND('Big Bend Common'!$Q$28,0)</f>
        <v>2697279</v>
      </c>
      <c r="P21" s="130"/>
      <c r="Q21" s="145">
        <v>0</v>
      </c>
      <c r="R21" s="130"/>
      <c r="S21" s="145">
        <f>O21+Q21</f>
        <v>2697279</v>
      </c>
      <c r="T21" s="143"/>
    </row>
    <row r="22" spans="1:20" x14ac:dyDescent="0.2">
      <c r="A22" s="140">
        <v>31540</v>
      </c>
      <c r="B22" s="130" t="s">
        <v>103</v>
      </c>
      <c r="C22" s="130"/>
      <c r="D22" s="145">
        <f>ROUND('Big Bend Common'!$F$34,0)</f>
        <v>43317292</v>
      </c>
      <c r="E22" s="145">
        <f>ROUND($S22,0)</f>
        <v>12249101</v>
      </c>
      <c r="F22" s="148">
        <f t="shared" si="0"/>
        <v>28.277624095245844</v>
      </c>
      <c r="G22" s="145">
        <f>ROUND('Big Bend Common'!$N$34,0)</f>
        <v>14131132</v>
      </c>
      <c r="H22" s="148">
        <f t="shared" si="1"/>
        <v>32.622380918918012</v>
      </c>
      <c r="I22" s="145">
        <f>E22-G22</f>
        <v>-1882031</v>
      </c>
      <c r="J22" s="162">
        <f t="shared" si="2"/>
        <v>86.681668531579774</v>
      </c>
      <c r="K22" s="127"/>
      <c r="L22" s="140">
        <f>$A22</f>
        <v>31540</v>
      </c>
      <c r="M22" s="130" t="str">
        <f>$B22</f>
        <v>BB Common</v>
      </c>
      <c r="N22" s="130"/>
      <c r="O22" s="145">
        <f>ROUND('Big Bend Common'!$Q$34,0)</f>
        <v>12249101</v>
      </c>
      <c r="P22" s="130"/>
      <c r="Q22" s="145">
        <v>0</v>
      </c>
      <c r="R22" s="130"/>
      <c r="S22" s="145">
        <f>O22+Q22</f>
        <v>12249101</v>
      </c>
      <c r="T22" s="143"/>
    </row>
    <row r="23" spans="1:20" ht="15" x14ac:dyDescent="0.2">
      <c r="A23" s="140">
        <v>31640</v>
      </c>
      <c r="B23" s="168" t="s">
        <v>103</v>
      </c>
      <c r="C23" s="130"/>
      <c r="D23" s="171">
        <f>ROUND('Big Bend Common'!$F$40,0)</f>
        <v>24865518</v>
      </c>
      <c r="E23" s="172">
        <f>ROUND($S23,0)</f>
        <v>7544101</v>
      </c>
      <c r="F23" s="794">
        <f t="shared" si="0"/>
        <v>30.339609253263898</v>
      </c>
      <c r="G23" s="171">
        <f>ROUND('Big Bend Common'!$N$40,0)</f>
        <v>7435090</v>
      </c>
      <c r="H23" s="794">
        <f t="shared" si="1"/>
        <v>29.901206964600537</v>
      </c>
      <c r="I23" s="171">
        <f>E23-G23</f>
        <v>109011</v>
      </c>
      <c r="J23" s="795">
        <f t="shared" si="2"/>
        <v>101.46616920575273</v>
      </c>
      <c r="K23" s="127"/>
      <c r="L23" s="140">
        <f>$A23</f>
        <v>31640</v>
      </c>
      <c r="M23" s="168" t="str">
        <f>$B23</f>
        <v>BB Common</v>
      </c>
      <c r="N23" s="130"/>
      <c r="O23" s="171">
        <f>ROUND('Big Bend Common'!$Q$40,0)</f>
        <v>7544101</v>
      </c>
      <c r="P23" s="130"/>
      <c r="Q23" s="171">
        <v>0</v>
      </c>
      <c r="R23" s="130"/>
      <c r="S23" s="171">
        <f>O23+Q23</f>
        <v>7544101</v>
      </c>
      <c r="T23" s="143"/>
    </row>
    <row r="24" spans="1:20" x14ac:dyDescent="0.2">
      <c r="A24" s="134"/>
      <c r="B24" s="128" t="s">
        <v>75</v>
      </c>
      <c r="C24" s="130"/>
      <c r="D24" s="173">
        <f>SUM(D19:D23)</f>
        <v>483663005</v>
      </c>
      <c r="E24" s="173">
        <f>SUM(E19:E23)</f>
        <v>88042079</v>
      </c>
      <c r="F24" s="796">
        <f t="shared" si="0"/>
        <v>18.203186534806399</v>
      </c>
      <c r="G24" s="173">
        <f>SUM(G19:G23)</f>
        <v>155335422</v>
      </c>
      <c r="H24" s="796">
        <f t="shared" si="1"/>
        <v>32.116457201435118</v>
      </c>
      <c r="I24" s="173">
        <f>SUM(I19:I23)</f>
        <v>-67293343</v>
      </c>
      <c r="J24" s="797">
        <f t="shared" si="2"/>
        <v>56.678687878415779</v>
      </c>
      <c r="K24" s="127"/>
      <c r="L24" s="134"/>
      <c r="M24" s="128" t="s">
        <v>75</v>
      </c>
      <c r="N24" s="130"/>
      <c r="O24" s="173">
        <f>SUM(O19:O23)</f>
        <v>88042079</v>
      </c>
      <c r="P24" s="130"/>
      <c r="Q24" s="173">
        <f>SUM(Q19:Q23)</f>
        <v>0</v>
      </c>
      <c r="R24" s="130"/>
      <c r="S24" s="173">
        <f>SUM(S19:S23)</f>
        <v>88042079</v>
      </c>
      <c r="T24" s="143"/>
    </row>
    <row r="25" spans="1:20" x14ac:dyDescent="0.2">
      <c r="A25" s="140"/>
      <c r="B25" s="130"/>
      <c r="C25" s="130"/>
      <c r="D25" s="145"/>
      <c r="E25" s="145"/>
      <c r="F25" s="148"/>
      <c r="G25" s="145"/>
      <c r="H25" s="148"/>
      <c r="I25" s="145"/>
      <c r="J25" s="162"/>
      <c r="K25" s="127"/>
      <c r="L25" s="140"/>
      <c r="M25" s="130"/>
      <c r="N25" s="130"/>
      <c r="O25" s="145"/>
      <c r="P25" s="130"/>
      <c r="Q25" s="145"/>
      <c r="R25" s="130"/>
      <c r="S25" s="145"/>
      <c r="T25" s="143"/>
    </row>
    <row r="26" spans="1:20" x14ac:dyDescent="0.2">
      <c r="A26" s="140">
        <v>31141</v>
      </c>
      <c r="B26" s="130" t="s">
        <v>104</v>
      </c>
      <c r="C26" s="130"/>
      <c r="D26" s="145">
        <f>ROUND('Big Bend #1'!$F$16,0)</f>
        <v>7287126</v>
      </c>
      <c r="E26" s="145">
        <f>ROUND($S26,0)</f>
        <v>4372602</v>
      </c>
      <c r="F26" s="148">
        <f t="shared" ref="F26:F31" si="3">IF($D26=0,0,(E26/$D26)*100)</f>
        <v>60.004479132102283</v>
      </c>
      <c r="G26" s="145">
        <f>ROUND('Big Bend #1'!$N$16,0)</f>
        <v>5302843</v>
      </c>
      <c r="H26" s="148">
        <f t="shared" ref="H26:H31" si="4">IF($D26=0,0,(G26/$D26)*100)</f>
        <v>72.770019346447427</v>
      </c>
      <c r="I26" s="145">
        <f>E26-G26</f>
        <v>-930241</v>
      </c>
      <c r="J26" s="162">
        <f t="shared" ref="J26:J31" si="5">IF(G26=0,0,(E26/G26)*100)</f>
        <v>82.457692977144532</v>
      </c>
      <c r="K26" s="127"/>
      <c r="L26" s="140">
        <f>$A26</f>
        <v>31141</v>
      </c>
      <c r="M26" s="130" t="str">
        <f>$B26</f>
        <v>BB Unit  No. 1</v>
      </c>
      <c r="N26" s="130"/>
      <c r="O26" s="145">
        <f>ROUND('Big Bend #1'!$Q$16,0)</f>
        <v>4372602</v>
      </c>
      <c r="P26" s="130"/>
      <c r="Q26" s="145">
        <v>0</v>
      </c>
      <c r="R26" s="130"/>
      <c r="S26" s="145">
        <f>O26+Q26</f>
        <v>4372602</v>
      </c>
      <c r="T26" s="143"/>
    </row>
    <row r="27" spans="1:20" x14ac:dyDescent="0.2">
      <c r="A27" s="140">
        <v>31241</v>
      </c>
      <c r="B27" s="130" t="s">
        <v>104</v>
      </c>
      <c r="C27" s="130"/>
      <c r="D27" s="145">
        <f>ROUND('Big Bend #1'!$F$22,0)</f>
        <v>103010917</v>
      </c>
      <c r="E27" s="145">
        <f>ROUND($S27,0)</f>
        <v>32899782</v>
      </c>
      <c r="F27" s="148">
        <f t="shared" si="3"/>
        <v>31.938150788425656</v>
      </c>
      <c r="G27" s="145">
        <f>ROUND('Big Bend #1'!$N$22,0)</f>
        <v>53545462</v>
      </c>
      <c r="H27" s="148">
        <f t="shared" si="4"/>
        <v>51.980376021698746</v>
      </c>
      <c r="I27" s="145">
        <f>E27-G27</f>
        <v>-20645680</v>
      </c>
      <c r="J27" s="162">
        <f t="shared" si="5"/>
        <v>61.442708254156067</v>
      </c>
      <c r="K27" s="127"/>
      <c r="L27" s="140">
        <f>$A27</f>
        <v>31241</v>
      </c>
      <c r="M27" s="130" t="str">
        <f>$B27</f>
        <v>BB Unit  No. 1</v>
      </c>
      <c r="N27" s="130"/>
      <c r="O27" s="145">
        <f>ROUND('Big Bend #1'!$Q$22,0)</f>
        <v>32899782</v>
      </c>
      <c r="P27" s="130"/>
      <c r="Q27" s="145">
        <v>0</v>
      </c>
      <c r="R27" s="130"/>
      <c r="S27" s="145">
        <f>O27+Q27</f>
        <v>32899782</v>
      </c>
      <c r="T27" s="143"/>
    </row>
    <row r="28" spans="1:20" x14ac:dyDescent="0.2">
      <c r="A28" s="140">
        <v>31441</v>
      </c>
      <c r="B28" s="130" t="s">
        <v>104</v>
      </c>
      <c r="C28" s="130"/>
      <c r="D28" s="145">
        <f>ROUND('Big Bend #1'!$F$28,0)</f>
        <v>50483741</v>
      </c>
      <c r="E28" s="145">
        <f>ROUND($S28,0)</f>
        <v>14981107</v>
      </c>
      <c r="F28" s="148">
        <f t="shared" si="3"/>
        <v>29.675112626855448</v>
      </c>
      <c r="G28" s="145">
        <f>ROUND('Big Bend #1'!$N$28,0)</f>
        <v>25158141</v>
      </c>
      <c r="H28" s="148">
        <f t="shared" si="4"/>
        <v>49.834145611356341</v>
      </c>
      <c r="I28" s="145">
        <f>E28-G28</f>
        <v>-10177034</v>
      </c>
      <c r="J28" s="162">
        <f t="shared" si="5"/>
        <v>59.547750368359885</v>
      </c>
      <c r="K28" s="127"/>
      <c r="L28" s="140">
        <f>$A28</f>
        <v>31441</v>
      </c>
      <c r="M28" s="130" t="str">
        <f>$B28</f>
        <v>BB Unit  No. 1</v>
      </c>
      <c r="N28" s="130"/>
      <c r="O28" s="145">
        <f>ROUND('Big Bend #1'!$Q$28,0)</f>
        <v>14981107</v>
      </c>
      <c r="P28" s="130"/>
      <c r="Q28" s="145">
        <v>0</v>
      </c>
      <c r="R28" s="130"/>
      <c r="S28" s="145">
        <f>O28+Q28</f>
        <v>14981107</v>
      </c>
      <c r="T28" s="143"/>
    </row>
    <row r="29" spans="1:20" x14ac:dyDescent="0.2">
      <c r="A29" s="140">
        <v>31541</v>
      </c>
      <c r="B29" s="130" t="s">
        <v>104</v>
      </c>
      <c r="C29" s="130"/>
      <c r="D29" s="145">
        <f>ROUND('Big Bend #1'!$F$34,0)</f>
        <v>17018634</v>
      </c>
      <c r="E29" s="145">
        <f>ROUND($S29,0)</f>
        <v>7874214</v>
      </c>
      <c r="F29" s="148">
        <f t="shared" si="3"/>
        <v>46.26819050224595</v>
      </c>
      <c r="G29" s="145">
        <f>ROUND('Big Bend #1'!$N$34,0)</f>
        <v>9210800</v>
      </c>
      <c r="H29" s="148">
        <f t="shared" si="4"/>
        <v>54.121852552913474</v>
      </c>
      <c r="I29" s="145">
        <f>E29-G29</f>
        <v>-1336586</v>
      </c>
      <c r="J29" s="162">
        <f t="shared" si="5"/>
        <v>85.488926043340427</v>
      </c>
      <c r="K29" s="127"/>
      <c r="L29" s="140">
        <f>$A29</f>
        <v>31541</v>
      </c>
      <c r="M29" s="130" t="str">
        <f>$B29</f>
        <v>BB Unit  No. 1</v>
      </c>
      <c r="N29" s="130"/>
      <c r="O29" s="145">
        <f>ROUND('Big Bend #1'!$Q$34,0)</f>
        <v>7874214</v>
      </c>
      <c r="P29" s="130"/>
      <c r="Q29" s="145">
        <v>0</v>
      </c>
      <c r="R29" s="130"/>
      <c r="S29" s="145">
        <f>O29+Q29</f>
        <v>7874214</v>
      </c>
      <c r="T29" s="143"/>
    </row>
    <row r="30" spans="1:20" ht="15" x14ac:dyDescent="0.2">
      <c r="A30" s="140">
        <v>31641</v>
      </c>
      <c r="B30" s="168" t="s">
        <v>104</v>
      </c>
      <c r="C30" s="130"/>
      <c r="D30" s="171">
        <f>ROUND('Big Bend #1'!$F$40,0)</f>
        <v>969784</v>
      </c>
      <c r="E30" s="172">
        <f>ROUND($S30,0)</f>
        <v>505230</v>
      </c>
      <c r="F30" s="794">
        <f t="shared" si="3"/>
        <v>52.097168029169381</v>
      </c>
      <c r="G30" s="171">
        <f>ROUND('Big Bend #1'!$N$40,0)</f>
        <v>582132</v>
      </c>
      <c r="H30" s="794">
        <f t="shared" si="4"/>
        <v>60.026975078986666</v>
      </c>
      <c r="I30" s="171">
        <f>E30-G30</f>
        <v>-76902</v>
      </c>
      <c r="J30" s="795">
        <f t="shared" si="5"/>
        <v>86.789594112675474</v>
      </c>
      <c r="K30" s="127"/>
      <c r="L30" s="140">
        <f>$A30</f>
        <v>31641</v>
      </c>
      <c r="M30" s="168" t="str">
        <f>$B30</f>
        <v>BB Unit  No. 1</v>
      </c>
      <c r="N30" s="130"/>
      <c r="O30" s="171">
        <f>ROUND('Big Bend #1'!$Q$40,0)</f>
        <v>505230</v>
      </c>
      <c r="P30" s="130"/>
      <c r="Q30" s="171">
        <v>0</v>
      </c>
      <c r="R30" s="130"/>
      <c r="S30" s="171">
        <f>O30+Q30</f>
        <v>505230</v>
      </c>
      <c r="T30" s="143"/>
    </row>
    <row r="31" spans="1:20" x14ac:dyDescent="0.2">
      <c r="A31" s="134"/>
      <c r="B31" s="128" t="s">
        <v>75</v>
      </c>
      <c r="C31" s="130"/>
      <c r="D31" s="173">
        <f>SUM(D26:D30)</f>
        <v>178770202</v>
      </c>
      <c r="E31" s="173">
        <f>SUM(E26:E30)</f>
        <v>60632935</v>
      </c>
      <c r="F31" s="796">
        <f t="shared" si="3"/>
        <v>33.916689874300197</v>
      </c>
      <c r="G31" s="173">
        <f>SUM(G26:G30)</f>
        <v>93799378</v>
      </c>
      <c r="H31" s="796">
        <f t="shared" si="4"/>
        <v>52.46924652465291</v>
      </c>
      <c r="I31" s="173">
        <f>SUM(I26:I30)</f>
        <v>-33166443</v>
      </c>
      <c r="J31" s="797">
        <f t="shared" si="5"/>
        <v>64.64108429375726</v>
      </c>
      <c r="K31" s="127"/>
      <c r="L31" s="134"/>
      <c r="M31" s="128" t="s">
        <v>75</v>
      </c>
      <c r="N31" s="130"/>
      <c r="O31" s="173">
        <f>SUM(O26:O30)</f>
        <v>60632935</v>
      </c>
      <c r="P31" s="130"/>
      <c r="Q31" s="173">
        <f>SUM(Q26:Q30)</f>
        <v>0</v>
      </c>
      <c r="R31" s="130"/>
      <c r="S31" s="173">
        <f>SUM(S26:S30)</f>
        <v>60632935</v>
      </c>
      <c r="T31" s="143"/>
    </row>
    <row r="32" spans="1:20" x14ac:dyDescent="0.2">
      <c r="A32" s="140"/>
      <c r="B32" s="130"/>
      <c r="C32" s="130"/>
      <c r="D32" s="145"/>
      <c r="E32" s="145"/>
      <c r="F32" s="148"/>
      <c r="G32" s="145"/>
      <c r="H32" s="148"/>
      <c r="I32" s="145"/>
      <c r="J32" s="162"/>
      <c r="K32" s="127"/>
      <c r="L32" s="140"/>
      <c r="M32" s="130"/>
      <c r="N32" s="130"/>
      <c r="O32" s="145"/>
      <c r="P32" s="130"/>
      <c r="Q32" s="145"/>
      <c r="R32" s="130"/>
      <c r="S32" s="145"/>
      <c r="T32" s="143"/>
    </row>
    <row r="33" spans="1:20" x14ac:dyDescent="0.2">
      <c r="A33" s="140">
        <v>31142</v>
      </c>
      <c r="B33" s="130" t="s">
        <v>105</v>
      </c>
      <c r="C33" s="130"/>
      <c r="D33" s="145">
        <f>ROUND('Big Bend #2'!$F$16,0)</f>
        <v>7047810</v>
      </c>
      <c r="E33" s="145">
        <f>ROUND($S33,0)</f>
        <v>3899544</v>
      </c>
      <c r="F33" s="148">
        <f t="shared" ref="F33:F38" si="6">IF($D33=0,0,(E33/$D33)*100)</f>
        <v>55.329868427213555</v>
      </c>
      <c r="G33" s="145">
        <f>ROUND('Big Bend #2'!$N$16,0)</f>
        <v>4729661</v>
      </c>
      <c r="H33" s="148">
        <f t="shared" ref="H33:H38" si="7">IF($D33=0,0,(G33/$D33)*100)</f>
        <v>67.108236459268909</v>
      </c>
      <c r="I33" s="145">
        <f>E33-G33</f>
        <v>-830117</v>
      </c>
      <c r="J33" s="162">
        <f t="shared" ref="J33:J38" si="8">IF(G33=0,0,(E33/G33)*100)</f>
        <v>82.448699811677841</v>
      </c>
      <c r="K33" s="127"/>
      <c r="L33" s="140">
        <f>$A33</f>
        <v>31142</v>
      </c>
      <c r="M33" s="130" t="str">
        <f>$B33</f>
        <v>BB Unit  No. 2</v>
      </c>
      <c r="N33" s="130"/>
      <c r="O33" s="145">
        <f>ROUND('Big Bend #2'!$Q$16,0)</f>
        <v>3899544</v>
      </c>
      <c r="P33" s="130"/>
      <c r="Q33" s="145">
        <v>0</v>
      </c>
      <c r="R33" s="130"/>
      <c r="S33" s="145">
        <f>O33+Q33</f>
        <v>3899544</v>
      </c>
      <c r="T33" s="143"/>
    </row>
    <row r="34" spans="1:20" x14ac:dyDescent="0.2">
      <c r="A34" s="140">
        <v>31242</v>
      </c>
      <c r="B34" s="130" t="s">
        <v>105</v>
      </c>
      <c r="C34" s="130"/>
      <c r="D34" s="145">
        <f>ROUND('Big Bend #2'!$F$22,0)</f>
        <v>86094075</v>
      </c>
      <c r="E34" s="145">
        <f>ROUND($S34,0)</f>
        <v>28513715</v>
      </c>
      <c r="F34" s="148">
        <f t="shared" si="6"/>
        <v>33.119253560712515</v>
      </c>
      <c r="G34" s="145">
        <f>ROUND('Big Bend #2'!$N$22,0)</f>
        <v>42210214</v>
      </c>
      <c r="H34" s="148">
        <f t="shared" si="7"/>
        <v>49.02801267102295</v>
      </c>
      <c r="I34" s="145">
        <f>E34-G34</f>
        <v>-13696499</v>
      </c>
      <c r="J34" s="162">
        <f t="shared" si="8"/>
        <v>67.551694952316524</v>
      </c>
      <c r="K34" s="127"/>
      <c r="L34" s="140">
        <f>$A34</f>
        <v>31242</v>
      </c>
      <c r="M34" s="130" t="str">
        <f>$B34</f>
        <v>BB Unit  No. 2</v>
      </c>
      <c r="N34" s="130"/>
      <c r="O34" s="145">
        <f>ROUND('Big Bend #2'!$Q$22,0)</f>
        <v>28513715</v>
      </c>
      <c r="P34" s="130"/>
      <c r="Q34" s="145">
        <v>0</v>
      </c>
      <c r="R34" s="130"/>
      <c r="S34" s="145">
        <f>O34+Q34</f>
        <v>28513715</v>
      </c>
      <c r="T34" s="143"/>
    </row>
    <row r="35" spans="1:20" x14ac:dyDescent="0.2">
      <c r="A35" s="140">
        <v>31442</v>
      </c>
      <c r="B35" s="130" t="s">
        <v>105</v>
      </c>
      <c r="C35" s="130"/>
      <c r="D35" s="145">
        <f>ROUND('Big Bend #2'!$F$28,0)</f>
        <v>50791176</v>
      </c>
      <c r="E35" s="145">
        <f>ROUND($S35,0)</f>
        <v>23173471</v>
      </c>
      <c r="F35" s="148">
        <f t="shared" si="6"/>
        <v>45.624993995019928</v>
      </c>
      <c r="G35" s="145">
        <f>ROUND('Big Bend #2'!$N$28,0)</f>
        <v>26369822</v>
      </c>
      <c r="H35" s="148">
        <f t="shared" si="7"/>
        <v>51.918116642938138</v>
      </c>
      <c r="I35" s="145">
        <f>E35-G35</f>
        <v>-3196351</v>
      </c>
      <c r="J35" s="162">
        <f t="shared" si="8"/>
        <v>87.878753978695798</v>
      </c>
      <c r="K35" s="127"/>
      <c r="L35" s="140">
        <f>$A35</f>
        <v>31442</v>
      </c>
      <c r="M35" s="130" t="str">
        <f>$B35</f>
        <v>BB Unit  No. 2</v>
      </c>
      <c r="N35" s="130"/>
      <c r="O35" s="145">
        <f>ROUND('Big Bend #2'!$Q$28,0)</f>
        <v>23173471</v>
      </c>
      <c r="P35" s="130"/>
      <c r="Q35" s="145">
        <v>0</v>
      </c>
      <c r="R35" s="130"/>
      <c r="S35" s="145">
        <f>O35+Q35</f>
        <v>23173471</v>
      </c>
      <c r="T35" s="143"/>
    </row>
    <row r="36" spans="1:20" x14ac:dyDescent="0.2">
      <c r="A36" s="140">
        <v>31542</v>
      </c>
      <c r="B36" s="130" t="s">
        <v>105</v>
      </c>
      <c r="C36" s="130"/>
      <c r="D36" s="145">
        <f>ROUND('Big Bend #2'!$F$34,0)</f>
        <v>18870058</v>
      </c>
      <c r="E36" s="145">
        <f>ROUND($S36,0)</f>
        <v>6995820</v>
      </c>
      <c r="F36" s="148">
        <f t="shared" si="6"/>
        <v>37.073653933655102</v>
      </c>
      <c r="G36" s="145">
        <f>ROUND('Big Bend #2'!$N$34,0)</f>
        <v>9165696</v>
      </c>
      <c r="H36" s="148">
        <f t="shared" si="7"/>
        <v>48.572696490916982</v>
      </c>
      <c r="I36" s="145">
        <f>E36-G36</f>
        <v>-2169876</v>
      </c>
      <c r="J36" s="162">
        <f t="shared" si="8"/>
        <v>76.326118605722897</v>
      </c>
      <c r="K36" s="127"/>
      <c r="L36" s="140">
        <f>$A36</f>
        <v>31542</v>
      </c>
      <c r="M36" s="130" t="str">
        <f>$B36</f>
        <v>BB Unit  No. 2</v>
      </c>
      <c r="N36" s="130"/>
      <c r="O36" s="145">
        <f>ROUND('Big Bend #2'!$Q$34,0)</f>
        <v>6995820</v>
      </c>
      <c r="P36" s="130"/>
      <c r="Q36" s="145">
        <v>0</v>
      </c>
      <c r="R36" s="130"/>
      <c r="S36" s="145">
        <f>O36+Q36</f>
        <v>6995820</v>
      </c>
      <c r="T36" s="143"/>
    </row>
    <row r="37" spans="1:20" ht="15" x14ac:dyDescent="0.2">
      <c r="A37" s="140">
        <v>31642</v>
      </c>
      <c r="B37" s="168" t="s">
        <v>105</v>
      </c>
      <c r="C37" s="130"/>
      <c r="D37" s="171">
        <f>ROUND('Big Bend #2'!$F$40,0)</f>
        <v>546950</v>
      </c>
      <c r="E37" s="172">
        <f>ROUND($S37,0)</f>
        <v>469004</v>
      </c>
      <c r="F37" s="794">
        <f t="shared" si="6"/>
        <v>85.748971569613303</v>
      </c>
      <c r="G37" s="171">
        <f>ROUND('Big Bend #2'!$N$40,0)</f>
        <v>413554</v>
      </c>
      <c r="H37" s="794">
        <f t="shared" si="7"/>
        <v>75.610933357710934</v>
      </c>
      <c r="I37" s="171">
        <f>E37-G37</f>
        <v>55450</v>
      </c>
      <c r="J37" s="795">
        <f t="shared" si="8"/>
        <v>113.40816435096748</v>
      </c>
      <c r="K37" s="127"/>
      <c r="L37" s="140">
        <f>$A37</f>
        <v>31642</v>
      </c>
      <c r="M37" s="168" t="str">
        <f>$B37</f>
        <v>BB Unit  No. 2</v>
      </c>
      <c r="N37" s="130"/>
      <c r="O37" s="171">
        <f>ROUND('Big Bend #2'!$Q$40,0)</f>
        <v>469004</v>
      </c>
      <c r="P37" s="130"/>
      <c r="Q37" s="171">
        <v>0</v>
      </c>
      <c r="R37" s="130"/>
      <c r="S37" s="171">
        <f>O37+Q37</f>
        <v>469004</v>
      </c>
      <c r="T37" s="143"/>
    </row>
    <row r="38" spans="1:20" x14ac:dyDescent="0.2">
      <c r="A38" s="134"/>
      <c r="B38" s="128" t="s">
        <v>75</v>
      </c>
      <c r="C38" s="130"/>
      <c r="D38" s="173">
        <f>SUM(D33:D37)</f>
        <v>163350069</v>
      </c>
      <c r="E38" s="173">
        <f>SUM(E33:E37)</f>
        <v>63051554</v>
      </c>
      <c r="F38" s="796">
        <f t="shared" si="6"/>
        <v>38.599037261502474</v>
      </c>
      <c r="G38" s="173">
        <f>SUM(G33:G37)</f>
        <v>82888947</v>
      </c>
      <c r="H38" s="796">
        <f t="shared" si="7"/>
        <v>50.743135590594704</v>
      </c>
      <c r="I38" s="173">
        <f>SUM(I33:I37)</f>
        <v>-19837393</v>
      </c>
      <c r="J38" s="797">
        <f t="shared" si="8"/>
        <v>76.067505116212899</v>
      </c>
      <c r="K38" s="127"/>
      <c r="L38" s="134"/>
      <c r="M38" s="128" t="s">
        <v>75</v>
      </c>
      <c r="N38" s="130"/>
      <c r="O38" s="173">
        <f>SUM(O33:O37)</f>
        <v>63051554</v>
      </c>
      <c r="P38" s="130"/>
      <c r="Q38" s="173">
        <f>SUM(Q33:Q37)</f>
        <v>0</v>
      </c>
      <c r="R38" s="130"/>
      <c r="S38" s="173">
        <f>SUM(S33:S37)</f>
        <v>63051554</v>
      </c>
      <c r="T38" s="143"/>
    </row>
    <row r="39" spans="1:20" x14ac:dyDescent="0.2">
      <c r="A39" s="140"/>
      <c r="B39" s="130"/>
      <c r="C39" s="130"/>
      <c r="D39" s="145"/>
      <c r="E39" s="145"/>
      <c r="F39" s="148"/>
      <c r="G39" s="145"/>
      <c r="H39" s="148"/>
      <c r="I39" s="145"/>
      <c r="J39" s="162"/>
      <c r="K39" s="127"/>
      <c r="L39" s="140"/>
      <c r="M39" s="130"/>
      <c r="N39" s="130"/>
      <c r="O39" s="145"/>
      <c r="P39" s="130"/>
      <c r="Q39" s="145"/>
      <c r="R39" s="130"/>
      <c r="S39" s="145"/>
      <c r="T39" s="143"/>
    </row>
    <row r="40" spans="1:20" x14ac:dyDescent="0.2">
      <c r="A40" s="140">
        <v>31143</v>
      </c>
      <c r="B40" s="130" t="s">
        <v>106</v>
      </c>
      <c r="C40" s="130"/>
      <c r="D40" s="145">
        <f>ROUND('Big Bend #3'!$F$16,0)</f>
        <v>15325678</v>
      </c>
      <c r="E40" s="145">
        <f>ROUND($S40,0)</f>
        <v>10046181</v>
      </c>
      <c r="F40" s="148">
        <f t="shared" ref="F40:F45" si="9">IF($D40=0,0,(E40/$D40)*100)</f>
        <v>65.551298937639174</v>
      </c>
      <c r="G40" s="145">
        <f>ROUND('Big Bend #3'!$N$16,0)</f>
        <v>10147772</v>
      </c>
      <c r="H40" s="148">
        <f t="shared" ref="H40:H45" si="10">IF($D40=0,0,(G40/$D40)*100)</f>
        <v>66.214179888158938</v>
      </c>
      <c r="I40" s="145">
        <f>E40-G40</f>
        <v>-101591</v>
      </c>
      <c r="J40" s="162">
        <f t="shared" ref="J40:J45" si="11">IF(G40=0,0,(E40/G40)*100)</f>
        <v>98.998883695849699</v>
      </c>
      <c r="K40" s="127"/>
      <c r="L40" s="140">
        <f>$A40</f>
        <v>31143</v>
      </c>
      <c r="M40" s="130" t="str">
        <f>$B40</f>
        <v>BB Unit  No. 3</v>
      </c>
      <c r="N40" s="130"/>
      <c r="O40" s="145">
        <f>ROUND('Big Bend #3'!$Q$16,0)</f>
        <v>10046181</v>
      </c>
      <c r="P40" s="130"/>
      <c r="Q40" s="145">
        <v>0</v>
      </c>
      <c r="R40" s="130"/>
      <c r="S40" s="145">
        <f>O40+Q40</f>
        <v>10046181</v>
      </c>
      <c r="T40" s="143"/>
    </row>
    <row r="41" spans="1:20" x14ac:dyDescent="0.2">
      <c r="A41" s="140">
        <v>31243</v>
      </c>
      <c r="B41" s="130" t="s">
        <v>106</v>
      </c>
      <c r="C41" s="130"/>
      <c r="D41" s="145">
        <f>ROUND('Big Bend #3'!$F$22,0)</f>
        <v>161974329</v>
      </c>
      <c r="E41" s="145">
        <f>ROUND($S41,0)</f>
        <v>57370340</v>
      </c>
      <c r="F41" s="148">
        <f t="shared" si="9"/>
        <v>35.419402786968789</v>
      </c>
      <c r="G41" s="145">
        <f>ROUND('Big Bend #3'!$N$22,0)</f>
        <v>75086313</v>
      </c>
      <c r="H41" s="148">
        <f t="shared" si="10"/>
        <v>46.356921781105207</v>
      </c>
      <c r="I41" s="145">
        <f>E41-G41</f>
        <v>-17715973</v>
      </c>
      <c r="J41" s="162">
        <f t="shared" si="11"/>
        <v>76.405855751633453</v>
      </c>
      <c r="K41" s="127"/>
      <c r="L41" s="140">
        <f>$A41</f>
        <v>31243</v>
      </c>
      <c r="M41" s="130" t="str">
        <f>$B41</f>
        <v>BB Unit  No. 3</v>
      </c>
      <c r="N41" s="130"/>
      <c r="O41" s="145">
        <f>ROUND('Big Bend #3'!$Q$22,0)</f>
        <v>57370340</v>
      </c>
      <c r="P41" s="130"/>
      <c r="Q41" s="145">
        <v>0</v>
      </c>
      <c r="R41" s="130"/>
      <c r="S41" s="145">
        <f>O41+Q41</f>
        <v>57370340</v>
      </c>
      <c r="T41" s="143"/>
    </row>
    <row r="42" spans="1:20" x14ac:dyDescent="0.2">
      <c r="A42" s="140">
        <v>31443</v>
      </c>
      <c r="B42" s="130" t="s">
        <v>106</v>
      </c>
      <c r="C42" s="130"/>
      <c r="D42" s="145">
        <f>ROUND('Big Bend #3'!$F$28,0)</f>
        <v>51936423</v>
      </c>
      <c r="E42" s="145">
        <f>ROUND($S42,0)</f>
        <v>22630224</v>
      </c>
      <c r="F42" s="148">
        <f t="shared" si="9"/>
        <v>43.572935317474595</v>
      </c>
      <c r="G42" s="145">
        <f>ROUND('Big Bend #3'!$N$28,0)</f>
        <v>28667824</v>
      </c>
      <c r="H42" s="148">
        <f t="shared" si="10"/>
        <v>55.197917654051764</v>
      </c>
      <c r="I42" s="145">
        <f>E42-G42</f>
        <v>-6037600</v>
      </c>
      <c r="J42" s="162">
        <f t="shared" si="11"/>
        <v>78.939454909448301</v>
      </c>
      <c r="K42" s="127"/>
      <c r="L42" s="140">
        <f>$A42</f>
        <v>31443</v>
      </c>
      <c r="M42" s="130" t="str">
        <f>$B42</f>
        <v>BB Unit  No. 3</v>
      </c>
      <c r="N42" s="130"/>
      <c r="O42" s="145">
        <f>ROUND('Big Bend #3'!$Q$28,0)</f>
        <v>22630224</v>
      </c>
      <c r="P42" s="130"/>
      <c r="Q42" s="145">
        <v>0</v>
      </c>
      <c r="R42" s="130"/>
      <c r="S42" s="145">
        <f>O42+Q42</f>
        <v>22630224</v>
      </c>
      <c r="T42" s="143"/>
    </row>
    <row r="43" spans="1:20" x14ac:dyDescent="0.2">
      <c r="A43" s="140">
        <v>31543</v>
      </c>
      <c r="B43" s="130" t="s">
        <v>106</v>
      </c>
      <c r="C43" s="130"/>
      <c r="D43" s="145">
        <f>ROUND('Big Bend #3'!$F$34,0)</f>
        <v>24874085</v>
      </c>
      <c r="E43" s="145">
        <f>ROUND($S43,0)</f>
        <v>14670556</v>
      </c>
      <c r="F43" s="148">
        <f t="shared" si="9"/>
        <v>58.979279036796726</v>
      </c>
      <c r="G43" s="145">
        <f>ROUND('Big Bend #3'!$N$34,0)</f>
        <v>14880152</v>
      </c>
      <c r="H43" s="148">
        <f t="shared" si="10"/>
        <v>59.821907016881227</v>
      </c>
      <c r="I43" s="145">
        <f>E43-G43</f>
        <v>-209596</v>
      </c>
      <c r="J43" s="162">
        <f t="shared" si="11"/>
        <v>98.591439119707914</v>
      </c>
      <c r="K43" s="127"/>
      <c r="L43" s="140">
        <f>$A43</f>
        <v>31543</v>
      </c>
      <c r="M43" s="130" t="str">
        <f>$B43</f>
        <v>BB Unit  No. 3</v>
      </c>
      <c r="N43" s="130"/>
      <c r="O43" s="145">
        <f>ROUND('Big Bend #3'!$Q$34,0)</f>
        <v>14670556</v>
      </c>
      <c r="P43" s="130"/>
      <c r="Q43" s="145">
        <v>0</v>
      </c>
      <c r="R43" s="130"/>
      <c r="S43" s="145">
        <f>O43+Q43</f>
        <v>14670556</v>
      </c>
      <c r="T43" s="143"/>
    </row>
    <row r="44" spans="1:20" ht="15" x14ac:dyDescent="0.2">
      <c r="A44" s="140">
        <v>31643</v>
      </c>
      <c r="B44" s="168" t="s">
        <v>106</v>
      </c>
      <c r="C44" s="130"/>
      <c r="D44" s="171">
        <f>ROUND('Big Bend #3'!$F$40,0)</f>
        <v>1988253</v>
      </c>
      <c r="E44" s="172">
        <f>ROUND($S44,0)</f>
        <v>841326</v>
      </c>
      <c r="F44" s="794">
        <f t="shared" si="9"/>
        <v>42.314836190364105</v>
      </c>
      <c r="G44" s="171">
        <f>ROUND('Big Bend #3'!$N$40,0)</f>
        <v>1007636</v>
      </c>
      <c r="H44" s="794">
        <f t="shared" si="10"/>
        <v>50.679465842626669</v>
      </c>
      <c r="I44" s="171">
        <f>E44-G44</f>
        <v>-166310</v>
      </c>
      <c r="J44" s="795">
        <f t="shared" si="11"/>
        <v>83.495031936135661</v>
      </c>
      <c r="K44" s="127"/>
      <c r="L44" s="140">
        <f>$A44</f>
        <v>31643</v>
      </c>
      <c r="M44" s="168" t="str">
        <f>$B44</f>
        <v>BB Unit  No. 3</v>
      </c>
      <c r="N44" s="130"/>
      <c r="O44" s="171">
        <f>ROUND('Big Bend #3'!$Q$40,0)</f>
        <v>841326</v>
      </c>
      <c r="P44" s="130"/>
      <c r="Q44" s="171">
        <v>0</v>
      </c>
      <c r="R44" s="130"/>
      <c r="S44" s="171">
        <f>O44+Q44</f>
        <v>841326</v>
      </c>
      <c r="T44" s="143"/>
    </row>
    <row r="45" spans="1:20" x14ac:dyDescent="0.2">
      <c r="A45" s="134"/>
      <c r="B45" s="128" t="s">
        <v>75</v>
      </c>
      <c r="C45" s="130"/>
      <c r="D45" s="173">
        <f>SUM(D40:D44)</f>
        <v>256098768</v>
      </c>
      <c r="E45" s="173">
        <f>SUM(E40:E44)</f>
        <v>105558627</v>
      </c>
      <c r="F45" s="796">
        <f t="shared" si="9"/>
        <v>41.217936276835196</v>
      </c>
      <c r="G45" s="173">
        <f>SUM(G40:G44)</f>
        <v>129789697</v>
      </c>
      <c r="H45" s="796">
        <f t="shared" si="10"/>
        <v>50.679547587671337</v>
      </c>
      <c r="I45" s="173">
        <f>SUM(I40:I44)</f>
        <v>-24231070</v>
      </c>
      <c r="J45" s="797">
        <f t="shared" si="11"/>
        <v>81.330513469031359</v>
      </c>
      <c r="K45" s="127"/>
      <c r="L45" s="134"/>
      <c r="M45" s="128" t="s">
        <v>75</v>
      </c>
      <c r="N45" s="130"/>
      <c r="O45" s="173">
        <f>SUM(O40:O44)</f>
        <v>105558627</v>
      </c>
      <c r="P45" s="130"/>
      <c r="Q45" s="173">
        <f>SUM(Q40:Q44)</f>
        <v>0</v>
      </c>
      <c r="R45" s="130"/>
      <c r="S45" s="173">
        <f>SUM(S40:S44)</f>
        <v>105558627</v>
      </c>
      <c r="T45" s="143"/>
    </row>
    <row r="46" spans="1:20" x14ac:dyDescent="0.2">
      <c r="A46" s="140"/>
      <c r="B46" s="130"/>
      <c r="C46" s="130"/>
      <c r="D46" s="145"/>
      <c r="E46" s="145"/>
      <c r="F46" s="148"/>
      <c r="G46" s="145"/>
      <c r="H46" s="148"/>
      <c r="I46" s="145"/>
      <c r="J46" s="162"/>
      <c r="K46" s="127"/>
      <c r="L46" s="140"/>
      <c r="M46" s="130"/>
      <c r="N46" s="130"/>
      <c r="O46" s="145"/>
      <c r="P46" s="130"/>
      <c r="Q46" s="145"/>
      <c r="R46" s="130"/>
      <c r="S46" s="145"/>
      <c r="T46" s="143"/>
    </row>
    <row r="47" spans="1:20" x14ac:dyDescent="0.2">
      <c r="A47" s="140">
        <v>31144</v>
      </c>
      <c r="B47" s="130" t="s">
        <v>107</v>
      </c>
      <c r="C47" s="130"/>
      <c r="D47" s="145">
        <f>ROUND('Big Bend #4'!$F$16,0)</f>
        <v>63363346</v>
      </c>
      <c r="E47" s="145">
        <f>ROUND($S47,0)</f>
        <v>35084564</v>
      </c>
      <c r="F47" s="148">
        <f t="shared" ref="F47:F52" si="12">IF($D47=0,0,(E47/$D47)*100)</f>
        <v>55.370440822364401</v>
      </c>
      <c r="G47" s="145">
        <f>ROUND('Big Bend #4'!$N$16,0)</f>
        <v>36574638</v>
      </c>
      <c r="H47" s="148">
        <f t="shared" ref="H47:H52" si="13">IF($D47=0,0,(G47/$D47)*100)</f>
        <v>57.722074841186576</v>
      </c>
      <c r="I47" s="145">
        <f>E47-G47</f>
        <v>-1490074</v>
      </c>
      <c r="J47" s="162">
        <f t="shared" ref="J47:J52" si="14">IF(G47=0,0,(E47/G47)*100)</f>
        <v>95.925936437156253</v>
      </c>
      <c r="K47" s="127"/>
      <c r="L47" s="140">
        <f>$A47</f>
        <v>31144</v>
      </c>
      <c r="M47" s="130" t="str">
        <f>$B47</f>
        <v>BB Unit  No. 4</v>
      </c>
      <c r="N47" s="130"/>
      <c r="O47" s="145">
        <f>ROUND('Big Bend #4'!$Q$16,0)</f>
        <v>35084564</v>
      </c>
      <c r="P47" s="130"/>
      <c r="Q47" s="145">
        <v>0</v>
      </c>
      <c r="R47" s="130"/>
      <c r="S47" s="145">
        <f>O47+Q47</f>
        <v>35084564</v>
      </c>
      <c r="T47" s="143"/>
    </row>
    <row r="48" spans="1:20" x14ac:dyDescent="0.2">
      <c r="A48" s="140">
        <v>31244</v>
      </c>
      <c r="B48" s="130" t="s">
        <v>107</v>
      </c>
      <c r="C48" s="130"/>
      <c r="D48" s="145">
        <f>ROUND('Big Bend #4'!$F$22,0)</f>
        <v>256349257</v>
      </c>
      <c r="E48" s="145">
        <f>ROUND($S48,0)</f>
        <v>107883134</v>
      </c>
      <c r="F48" s="148">
        <f t="shared" si="12"/>
        <v>42.084434050066314</v>
      </c>
      <c r="G48" s="145">
        <f>ROUND('Big Bend #4'!$N$22,0)</f>
        <v>141539844</v>
      </c>
      <c r="H48" s="148">
        <f t="shared" si="13"/>
        <v>55.213674366140253</v>
      </c>
      <c r="I48" s="145">
        <f>E48-G48</f>
        <v>-33656710</v>
      </c>
      <c r="J48" s="162">
        <f t="shared" si="14"/>
        <v>76.221034975847516</v>
      </c>
      <c r="K48" s="127"/>
      <c r="L48" s="140">
        <f>$A48</f>
        <v>31244</v>
      </c>
      <c r="M48" s="130" t="str">
        <f>$B48</f>
        <v>BB Unit  No. 4</v>
      </c>
      <c r="N48" s="130"/>
      <c r="O48" s="145">
        <f>ROUND('Big Bend #4'!$Q$22,0)</f>
        <v>107883134</v>
      </c>
      <c r="P48" s="130"/>
      <c r="Q48" s="145">
        <v>0</v>
      </c>
      <c r="R48" s="130"/>
      <c r="S48" s="145">
        <f>O48+Q48</f>
        <v>107883134</v>
      </c>
      <c r="T48" s="143"/>
    </row>
    <row r="49" spans="1:20" x14ac:dyDescent="0.2">
      <c r="A49" s="140">
        <v>31444</v>
      </c>
      <c r="B49" s="130" t="s">
        <v>107</v>
      </c>
      <c r="C49" s="130"/>
      <c r="D49" s="145">
        <f>ROUND('Big Bend #4'!$F$28,0)</f>
        <v>97781085</v>
      </c>
      <c r="E49" s="145">
        <f>ROUND($S49,0)</f>
        <v>46820220</v>
      </c>
      <c r="F49" s="148">
        <f t="shared" si="12"/>
        <v>47.882696331299655</v>
      </c>
      <c r="G49" s="145">
        <f>ROUND('Big Bend #4'!$N$28,0)</f>
        <v>59737312</v>
      </c>
      <c r="H49" s="148">
        <f t="shared" si="13"/>
        <v>61.092911783500867</v>
      </c>
      <c r="I49" s="145">
        <f>E49-G49</f>
        <v>-12917092</v>
      </c>
      <c r="J49" s="162">
        <f t="shared" si="14"/>
        <v>78.376844274479566</v>
      </c>
      <c r="K49" s="127"/>
      <c r="L49" s="140">
        <f>$A49</f>
        <v>31444</v>
      </c>
      <c r="M49" s="130" t="str">
        <f>$B49</f>
        <v>BB Unit  No. 4</v>
      </c>
      <c r="N49" s="130"/>
      <c r="O49" s="145">
        <f>ROUND('Big Bend #4'!$Q$28,0)</f>
        <v>46820220</v>
      </c>
      <c r="P49" s="130"/>
      <c r="Q49" s="145">
        <v>0</v>
      </c>
      <c r="R49" s="130"/>
      <c r="S49" s="145">
        <f>O49+Q49</f>
        <v>46820220</v>
      </c>
      <c r="T49" s="143"/>
    </row>
    <row r="50" spans="1:20" x14ac:dyDescent="0.2">
      <c r="A50" s="140">
        <v>31544</v>
      </c>
      <c r="B50" s="130" t="s">
        <v>107</v>
      </c>
      <c r="C50" s="130"/>
      <c r="D50" s="145">
        <f>ROUND('Big Bend #4'!$F$34,0)</f>
        <v>44729060</v>
      </c>
      <c r="E50" s="145">
        <f>ROUND($S50,0)</f>
        <v>27972672</v>
      </c>
      <c r="F50" s="148">
        <f t="shared" si="12"/>
        <v>62.538027850350531</v>
      </c>
      <c r="G50" s="145">
        <f>ROUND('Big Bend #4'!$N$34,0)</f>
        <v>28981120</v>
      </c>
      <c r="H50" s="148">
        <f t="shared" si="13"/>
        <v>64.792597921798489</v>
      </c>
      <c r="I50" s="145">
        <f>E50-G50</f>
        <v>-1008448</v>
      </c>
      <c r="J50" s="162">
        <f t="shared" si="14"/>
        <v>96.520327716803209</v>
      </c>
      <c r="K50" s="127"/>
      <c r="L50" s="140">
        <f>$A50</f>
        <v>31544</v>
      </c>
      <c r="M50" s="130" t="str">
        <f>$B50</f>
        <v>BB Unit  No. 4</v>
      </c>
      <c r="N50" s="130"/>
      <c r="O50" s="145">
        <f>ROUND('Big Bend #4'!$Q$34,0)</f>
        <v>27972672</v>
      </c>
      <c r="P50" s="130"/>
      <c r="Q50" s="145">
        <v>0</v>
      </c>
      <c r="R50" s="130"/>
      <c r="S50" s="145">
        <f>O50+Q50</f>
        <v>27972672</v>
      </c>
      <c r="T50" s="143"/>
    </row>
    <row r="51" spans="1:20" ht="15" x14ac:dyDescent="0.2">
      <c r="A51" s="140">
        <v>31644</v>
      </c>
      <c r="B51" s="168" t="s">
        <v>107</v>
      </c>
      <c r="C51" s="130"/>
      <c r="D51" s="171">
        <f>ROUND('Big Bend #4'!$F$40,0)</f>
        <v>5865812</v>
      </c>
      <c r="E51" s="172">
        <f>ROUND($S51,0)</f>
        <v>3789636</v>
      </c>
      <c r="F51" s="794">
        <f t="shared" si="12"/>
        <v>64.60548002561282</v>
      </c>
      <c r="G51" s="171">
        <f>ROUND('Big Bend #4'!$N$40,0)</f>
        <v>3586818</v>
      </c>
      <c r="H51" s="794">
        <f t="shared" si="13"/>
        <v>61.147851311975224</v>
      </c>
      <c r="I51" s="171">
        <f>E51-G51</f>
        <v>202818</v>
      </c>
      <c r="J51" s="795">
        <f t="shared" si="14"/>
        <v>105.6545383679908</v>
      </c>
      <c r="K51" s="127"/>
      <c r="L51" s="140">
        <f>$A51</f>
        <v>31644</v>
      </c>
      <c r="M51" s="168" t="str">
        <f>$B51</f>
        <v>BB Unit  No. 4</v>
      </c>
      <c r="N51" s="130"/>
      <c r="O51" s="171">
        <f>ROUND('Big Bend #4'!$Q$40,0)</f>
        <v>3789636</v>
      </c>
      <c r="P51" s="130"/>
      <c r="Q51" s="171">
        <v>0</v>
      </c>
      <c r="R51" s="130"/>
      <c r="S51" s="171">
        <f>O51+Q51</f>
        <v>3789636</v>
      </c>
      <c r="T51" s="143"/>
    </row>
    <row r="52" spans="1:20" x14ac:dyDescent="0.2">
      <c r="A52" s="134"/>
      <c r="B52" s="128" t="s">
        <v>75</v>
      </c>
      <c r="C52" s="130"/>
      <c r="D52" s="173">
        <f>SUM(D47:D51)</f>
        <v>468088560</v>
      </c>
      <c r="E52" s="173">
        <f>SUM(E47:E51)</f>
        <v>221550226</v>
      </c>
      <c r="F52" s="796">
        <f t="shared" si="12"/>
        <v>47.330835429945139</v>
      </c>
      <c r="G52" s="173">
        <f>SUM(G47:G51)</f>
        <v>270419732</v>
      </c>
      <c r="H52" s="796">
        <f t="shared" si="13"/>
        <v>57.771061954601066</v>
      </c>
      <c r="I52" s="173">
        <f>SUM(I47:I51)</f>
        <v>-48869506</v>
      </c>
      <c r="J52" s="797">
        <f t="shared" si="14"/>
        <v>81.928276594845528</v>
      </c>
      <c r="K52" s="127"/>
      <c r="L52" s="134"/>
      <c r="M52" s="128" t="s">
        <v>75</v>
      </c>
      <c r="N52" s="130"/>
      <c r="O52" s="173">
        <f>SUM(O47:O51)</f>
        <v>221550226</v>
      </c>
      <c r="P52" s="130"/>
      <c r="Q52" s="173">
        <f>SUM(Q47:Q51)</f>
        <v>0</v>
      </c>
      <c r="R52" s="130"/>
      <c r="S52" s="173">
        <f>SUM(S47:S51)</f>
        <v>221550226</v>
      </c>
      <c r="T52" s="143"/>
    </row>
    <row r="53" spans="1:20" x14ac:dyDescent="0.2">
      <c r="A53" s="134"/>
      <c r="B53" s="128"/>
      <c r="C53" s="130"/>
      <c r="D53" s="145"/>
      <c r="E53" s="145"/>
      <c r="F53" s="148"/>
      <c r="G53" s="145"/>
      <c r="H53" s="148"/>
      <c r="I53" s="145"/>
      <c r="J53" s="162"/>
      <c r="K53" s="127"/>
      <c r="L53" s="134"/>
      <c r="M53" s="128"/>
      <c r="N53" s="130"/>
      <c r="O53" s="145"/>
      <c r="P53" s="130"/>
      <c r="Q53" s="173"/>
      <c r="R53" s="130"/>
      <c r="S53" s="145"/>
      <c r="T53" s="143"/>
    </row>
    <row r="54" spans="1:20" x14ac:dyDescent="0.2">
      <c r="A54" s="140">
        <v>31146</v>
      </c>
      <c r="B54" s="130" t="s">
        <v>81</v>
      </c>
      <c r="C54" s="130"/>
      <c r="D54" s="145">
        <f>ROUND('BB 1&amp;2 FGD'!$F$16,0)</f>
        <v>12704432</v>
      </c>
      <c r="E54" s="145">
        <f>ROUND($S54,0)</f>
        <v>6963736</v>
      </c>
      <c r="F54" s="148">
        <f>IF($D54=0,0,(E54/$D54)*100)</f>
        <v>54.813438333960939</v>
      </c>
      <c r="G54" s="145">
        <f>ROUND('BB 1&amp;2 FGD'!$N$16,0)</f>
        <v>7169343</v>
      </c>
      <c r="H54" s="148">
        <f>IF($D54=0,0,(G54/$D54)*100)</f>
        <v>56.431826310692202</v>
      </c>
      <c r="I54" s="145">
        <f>E54-G54</f>
        <v>-205607</v>
      </c>
      <c r="J54" s="162">
        <f>IF(G54=0,0,(E54/G54)*100)</f>
        <v>97.132136096710681</v>
      </c>
      <c r="K54" s="127"/>
      <c r="L54" s="140">
        <f>$A54</f>
        <v>31146</v>
      </c>
      <c r="M54" s="130" t="str">
        <f>$B54</f>
        <v>No. 1 &amp; 2  FGD System</v>
      </c>
      <c r="N54" s="130"/>
      <c r="O54" s="145">
        <f>ROUND('BB 1&amp;2 FGD'!$Q$16,0)</f>
        <v>6963736</v>
      </c>
      <c r="P54" s="130"/>
      <c r="Q54" s="145">
        <v>0</v>
      </c>
      <c r="R54" s="130"/>
      <c r="S54" s="145">
        <f>O54+Q54</f>
        <v>6963736</v>
      </c>
      <c r="T54" s="143"/>
    </row>
    <row r="55" spans="1:20" x14ac:dyDescent="0.2">
      <c r="A55" s="140">
        <v>31246</v>
      </c>
      <c r="B55" s="130" t="s">
        <v>81</v>
      </c>
      <c r="C55" s="130"/>
      <c r="D55" s="145">
        <f>ROUND('BB 1&amp;2 FGD'!$F$22,0)</f>
        <v>54859777</v>
      </c>
      <c r="E55" s="145">
        <f>ROUND($S55,0)</f>
        <v>17563767</v>
      </c>
      <c r="F55" s="148">
        <f>IF($D55=0,0,(E55/$D55)*100)</f>
        <v>32.01574625430942</v>
      </c>
      <c r="G55" s="145">
        <f>ROUND('BB 1&amp;2 FGD'!$N$22,0)</f>
        <v>28865670</v>
      </c>
      <c r="H55" s="148">
        <f>IF($D55=0,0,(G55/$D55)*100)</f>
        <v>52.617184353483616</v>
      </c>
      <c r="I55" s="145">
        <f>E55-G55</f>
        <v>-11301903</v>
      </c>
      <c r="J55" s="162">
        <f>IF(G55=0,0,(E55/G55)*100)</f>
        <v>60.846559251872556</v>
      </c>
      <c r="K55" s="127"/>
      <c r="L55" s="140">
        <f>$A55</f>
        <v>31246</v>
      </c>
      <c r="M55" s="130" t="str">
        <f>$B55</f>
        <v>No. 1 &amp; 2  FGD System</v>
      </c>
      <c r="N55" s="130"/>
      <c r="O55" s="145">
        <f>ROUND('BB 1&amp;2 FGD'!$Q$22,0)</f>
        <v>17563767</v>
      </c>
      <c r="P55" s="130"/>
      <c r="Q55" s="145">
        <v>0</v>
      </c>
      <c r="R55" s="130"/>
      <c r="S55" s="145">
        <f>O55+Q55</f>
        <v>17563767</v>
      </c>
      <c r="T55" s="143"/>
    </row>
    <row r="56" spans="1:20" x14ac:dyDescent="0.2">
      <c r="A56" s="140">
        <v>31546</v>
      </c>
      <c r="B56" s="130" t="s">
        <v>81</v>
      </c>
      <c r="C56" s="130"/>
      <c r="D56" s="145">
        <f>ROUND('BB 1&amp;2 FGD'!$F$34,0)</f>
        <v>9765956</v>
      </c>
      <c r="E56" s="145">
        <f>ROUND($S56,0)</f>
        <v>4472632</v>
      </c>
      <c r="F56" s="148">
        <f>IF($D56=0,0,(E56/$D56)*100)</f>
        <v>45.798199377511018</v>
      </c>
      <c r="G56" s="145">
        <f>ROUND('BB 1&amp;2 FGD'!$N$34,0)</f>
        <v>4759651</v>
      </c>
      <c r="H56" s="148">
        <f>IF($D56=0,0,(G56/$D56)*100)</f>
        <v>48.737174322718637</v>
      </c>
      <c r="I56" s="145">
        <f>E56-G56</f>
        <v>-287019</v>
      </c>
      <c r="J56" s="162">
        <f>IF(G56=0,0,(E56/G56)*100)</f>
        <v>93.969746941529948</v>
      </c>
      <c r="K56" s="127"/>
      <c r="L56" s="140">
        <f>$A56</f>
        <v>31546</v>
      </c>
      <c r="M56" s="130" t="str">
        <f>$B56</f>
        <v>No. 1 &amp; 2  FGD System</v>
      </c>
      <c r="N56" s="130"/>
      <c r="O56" s="145">
        <f>ROUND('BB 1&amp;2 FGD'!$Q$34,0)</f>
        <v>4472632</v>
      </c>
      <c r="P56" s="130"/>
      <c r="Q56" s="145">
        <v>0</v>
      </c>
      <c r="R56" s="130"/>
      <c r="S56" s="145">
        <f>O56+Q56</f>
        <v>4472632</v>
      </c>
      <c r="T56" s="143"/>
    </row>
    <row r="57" spans="1:20" ht="15" x14ac:dyDescent="0.2">
      <c r="A57" s="140">
        <v>31646</v>
      </c>
      <c r="B57" s="168" t="s">
        <v>81</v>
      </c>
      <c r="C57" s="130"/>
      <c r="D57" s="171">
        <f>ROUND('BB 1&amp;2 FGD'!$F$40,0)</f>
        <v>1725496</v>
      </c>
      <c r="E57" s="172">
        <f>ROUND($S57,0)</f>
        <v>940785</v>
      </c>
      <c r="F57" s="794">
        <f>IF($D57=0,0,(E57/$D57)*100)</f>
        <v>54.522583651309539</v>
      </c>
      <c r="G57" s="171">
        <f>ROUND('BB 1&amp;2 FGD'!$N$40,0)</f>
        <v>948061</v>
      </c>
      <c r="H57" s="794">
        <f>IF($D57=0,0,(G57/$D57)*100)</f>
        <v>54.944259505672576</v>
      </c>
      <c r="I57" s="171">
        <f>E57-G57</f>
        <v>-7276</v>
      </c>
      <c r="J57" s="795">
        <f>IF(G57=0,0,(E57/G57)*100)</f>
        <v>99.23253883452648</v>
      </c>
      <c r="K57" s="127"/>
      <c r="L57" s="140">
        <f>$A57</f>
        <v>31646</v>
      </c>
      <c r="M57" s="168" t="str">
        <f>$B57</f>
        <v>No. 1 &amp; 2  FGD System</v>
      </c>
      <c r="N57" s="130"/>
      <c r="O57" s="171">
        <f>ROUND('BB 1&amp;2 FGD'!$Q$40,0)</f>
        <v>940785</v>
      </c>
      <c r="P57" s="130"/>
      <c r="Q57" s="171">
        <v>0</v>
      </c>
      <c r="R57" s="130"/>
      <c r="S57" s="171">
        <f>O57+Q57</f>
        <v>940785</v>
      </c>
      <c r="T57" s="143"/>
    </row>
    <row r="58" spans="1:20" x14ac:dyDescent="0.2">
      <c r="A58" s="134"/>
      <c r="B58" s="128" t="s">
        <v>75</v>
      </c>
      <c r="C58" s="130"/>
      <c r="D58" s="173">
        <f>SUM(D54:D57)</f>
        <v>79055661</v>
      </c>
      <c r="E58" s="173">
        <f>SUM(E53:E57)</f>
        <v>29940920</v>
      </c>
      <c r="F58" s="796">
        <f>IF($D58=0,0,(E58/$D58)*100)</f>
        <v>37.873214417877044</v>
      </c>
      <c r="G58" s="173">
        <f>SUM(G54:G57)</f>
        <v>41742725</v>
      </c>
      <c r="H58" s="796">
        <f>IF($D58=0,0,(G58/$D58)*100)</f>
        <v>52.801689938434649</v>
      </c>
      <c r="I58" s="173">
        <f>SUM(I54:I57)</f>
        <v>-11801805</v>
      </c>
      <c r="J58" s="797">
        <f>IF(G58=0,0,(E58/G58)*100)</f>
        <v>71.727277028512148</v>
      </c>
      <c r="K58" s="127"/>
      <c r="L58" s="134"/>
      <c r="M58" s="128" t="s">
        <v>75</v>
      </c>
      <c r="N58" s="130"/>
      <c r="O58" s="173">
        <f>SUM(O54:O57)</f>
        <v>29940920</v>
      </c>
      <c r="P58" s="130"/>
      <c r="Q58" s="173">
        <f>SUM(Q53:Q57)</f>
        <v>0</v>
      </c>
      <c r="R58" s="130"/>
      <c r="S58" s="173">
        <f>SUM(S54:S57)</f>
        <v>29940920</v>
      </c>
      <c r="T58" s="143"/>
    </row>
    <row r="59" spans="1:20" x14ac:dyDescent="0.2">
      <c r="A59" s="140"/>
      <c r="B59" s="130"/>
      <c r="C59" s="130"/>
      <c r="D59" s="145"/>
      <c r="E59" s="145"/>
      <c r="F59" s="148"/>
      <c r="G59" s="145"/>
      <c r="H59" s="148"/>
      <c r="I59" s="145"/>
      <c r="J59" s="162"/>
      <c r="K59" s="127"/>
      <c r="L59" s="140"/>
      <c r="M59" s="130"/>
      <c r="N59" s="130"/>
      <c r="O59" s="145"/>
      <c r="P59" s="130"/>
      <c r="Q59" s="145"/>
      <c r="R59" s="130"/>
      <c r="S59" s="145"/>
      <c r="T59" s="143"/>
    </row>
    <row r="60" spans="1:20" x14ac:dyDescent="0.2">
      <c r="A60" s="140">
        <v>31145</v>
      </c>
      <c r="B60" s="130" t="s">
        <v>82</v>
      </c>
      <c r="C60" s="130"/>
      <c r="D60" s="145">
        <f>ROUND('BB 3&amp;4 FGD'!$F$16,0)</f>
        <v>23911919</v>
      </c>
      <c r="E60" s="145">
        <f>ROUND($S60,0)</f>
        <v>12429312</v>
      </c>
      <c r="F60" s="148">
        <f>IF($D60=0,0,(E60/$D60)*100)</f>
        <v>51.979567177356202</v>
      </c>
      <c r="G60" s="145">
        <f>ROUND('BB 3&amp;4 FGD'!$N$16,0)</f>
        <v>13030719</v>
      </c>
      <c r="H60" s="148">
        <f>IF($D60=0,0,(G60/$D60)*100)</f>
        <v>54.494660173447393</v>
      </c>
      <c r="I60" s="145">
        <f>E60-G60</f>
        <v>-601407</v>
      </c>
      <c r="J60" s="162">
        <f>IF(G60=0,0,(E60/G60)*100)</f>
        <v>95.384698265690488</v>
      </c>
      <c r="K60" s="127"/>
      <c r="L60" s="140">
        <f>$A60</f>
        <v>31145</v>
      </c>
      <c r="M60" s="130" t="str">
        <f>$B60</f>
        <v>No. 3 &amp; 4  FGD System</v>
      </c>
      <c r="N60" s="130"/>
      <c r="O60" s="145">
        <f>ROUND('BB 3&amp;4 FGD'!$Q$16,0)</f>
        <v>12429312</v>
      </c>
      <c r="P60" s="130"/>
      <c r="Q60" s="145">
        <v>0</v>
      </c>
      <c r="R60" s="130"/>
      <c r="S60" s="145">
        <f>O60+Q60</f>
        <v>12429312</v>
      </c>
      <c r="T60" s="143"/>
    </row>
    <row r="61" spans="1:20" x14ac:dyDescent="0.2">
      <c r="A61" s="140">
        <v>31245</v>
      </c>
      <c r="B61" s="130" t="s">
        <v>82</v>
      </c>
      <c r="C61" s="130"/>
      <c r="D61" s="145">
        <f>ROUND('BB 3&amp;4 FGD'!$F$22,0)</f>
        <v>159201062</v>
      </c>
      <c r="E61" s="145">
        <f>ROUND($S61,0)</f>
        <v>59943108</v>
      </c>
      <c r="F61" s="148">
        <f>IF($D61=0,0,(E61/$D61)*100)</f>
        <v>37.652454856111447</v>
      </c>
      <c r="G61" s="145">
        <f>ROUND('BB 3&amp;4 FGD'!$N$22,0)</f>
        <v>80726713</v>
      </c>
      <c r="H61" s="148">
        <f>IF($D61=0,0,(G61/$D61)*100)</f>
        <v>50.707396034832982</v>
      </c>
      <c r="I61" s="145">
        <f>E61-G61</f>
        <v>-20783605</v>
      </c>
      <c r="J61" s="162">
        <f>IF(G61=0,0,(E61/G61)*100)</f>
        <v>74.254364846986903</v>
      </c>
      <c r="K61" s="127"/>
      <c r="L61" s="140">
        <f>$A61</f>
        <v>31245</v>
      </c>
      <c r="M61" s="130" t="str">
        <f>$B61</f>
        <v>No. 3 &amp; 4  FGD System</v>
      </c>
      <c r="N61" s="130"/>
      <c r="O61" s="145">
        <f>ROUND('BB 3&amp;4 FGD'!$Q$22,0)</f>
        <v>59943108</v>
      </c>
      <c r="P61" s="130"/>
      <c r="Q61" s="145">
        <v>0</v>
      </c>
      <c r="R61" s="130"/>
      <c r="S61" s="145">
        <f>O61+Q61</f>
        <v>59943108</v>
      </c>
      <c r="T61" s="143"/>
    </row>
    <row r="62" spans="1:20" x14ac:dyDescent="0.2">
      <c r="A62" s="140">
        <v>31545</v>
      </c>
      <c r="B62" s="130" t="s">
        <v>82</v>
      </c>
      <c r="C62" s="130"/>
      <c r="D62" s="145">
        <f>ROUND('BB 3&amp;4 FGD'!$F$34,0)</f>
        <v>26927794</v>
      </c>
      <c r="E62" s="145">
        <f>ROUND($S62,0)</f>
        <v>15730990</v>
      </c>
      <c r="F62" s="148">
        <f>IF($D62=0,0,(E62/$D62)*100)</f>
        <v>58.419156058606212</v>
      </c>
      <c r="G62" s="145">
        <f>ROUND('BB 3&amp;4 FGD'!$N$34,0)</f>
        <v>14780406</v>
      </c>
      <c r="H62" s="148">
        <f>IF($D62=0,0,(G62/$D62)*100)</f>
        <v>54.889033984737111</v>
      </c>
      <c r="I62" s="145">
        <f>E62-G62</f>
        <v>950584</v>
      </c>
      <c r="J62" s="162">
        <f>IF(G62=0,0,(E62/G62)*100)</f>
        <v>106.43137948984622</v>
      </c>
      <c r="K62" s="127"/>
      <c r="L62" s="140">
        <f>$A62</f>
        <v>31545</v>
      </c>
      <c r="M62" s="130" t="str">
        <f>$B62</f>
        <v>No. 3 &amp; 4  FGD System</v>
      </c>
      <c r="N62" s="130"/>
      <c r="O62" s="145">
        <f>ROUND('BB 3&amp;4 FGD'!$Q$34,0)</f>
        <v>15730990</v>
      </c>
      <c r="P62" s="130"/>
      <c r="Q62" s="145">
        <v>0</v>
      </c>
      <c r="R62" s="130"/>
      <c r="S62" s="145">
        <f>O62+Q62</f>
        <v>15730990</v>
      </c>
      <c r="T62" s="143"/>
    </row>
    <row r="63" spans="1:20" ht="15" x14ac:dyDescent="0.2">
      <c r="A63" s="140">
        <v>31645</v>
      </c>
      <c r="B63" s="168" t="s">
        <v>82</v>
      </c>
      <c r="C63" s="130"/>
      <c r="D63" s="171">
        <f>ROUND('BB 3&amp;4 FGD'!$F$40,0)</f>
        <v>689414</v>
      </c>
      <c r="E63" s="172">
        <f>ROUND($S63,0)</f>
        <v>611169</v>
      </c>
      <c r="F63" s="794">
        <f>IF($D63=0,0,(E63/$D63)*100)</f>
        <v>88.650506081976872</v>
      </c>
      <c r="G63" s="171">
        <f>ROUND('BB 3&amp;4 FGD'!$N$40,0)</f>
        <v>424606</v>
      </c>
      <c r="H63" s="794">
        <f>IF($D63=0,0,(G63/$D63)*100)</f>
        <v>61.589407815913219</v>
      </c>
      <c r="I63" s="171">
        <f>E63-G63</f>
        <v>186563</v>
      </c>
      <c r="J63" s="795">
        <f>IF(G63=0,0,(E63/G63)*100)</f>
        <v>143.93790949727511</v>
      </c>
      <c r="K63" s="127"/>
      <c r="L63" s="140">
        <f>$A63</f>
        <v>31645</v>
      </c>
      <c r="M63" s="168" t="str">
        <f>$B63</f>
        <v>No. 3 &amp; 4  FGD System</v>
      </c>
      <c r="N63" s="130"/>
      <c r="O63" s="171">
        <f>ROUND('BB 3&amp;4 FGD'!$Q$40,0)</f>
        <v>611169</v>
      </c>
      <c r="P63" s="130"/>
      <c r="Q63" s="171">
        <v>0</v>
      </c>
      <c r="R63" s="130"/>
      <c r="S63" s="171">
        <f>O63+Q63</f>
        <v>611169</v>
      </c>
      <c r="T63" s="143"/>
    </row>
    <row r="64" spans="1:20" x14ac:dyDescent="0.2">
      <c r="A64" s="134"/>
      <c r="B64" s="128" t="s">
        <v>75</v>
      </c>
      <c r="C64" s="130"/>
      <c r="D64" s="173">
        <f>SUM(D60:D63)</f>
        <v>210730189</v>
      </c>
      <c r="E64" s="173">
        <f>SUM(E59:E63)</f>
        <v>88714579</v>
      </c>
      <c r="F64" s="796">
        <f>IF($D64=0,0,(E64/$D64)*100)</f>
        <v>42.098656780495745</v>
      </c>
      <c r="G64" s="173">
        <f>SUM(G60:G63)</f>
        <v>108962444</v>
      </c>
      <c r="H64" s="796">
        <f>IF($D64=0,0,(G64/$D64)*100)</f>
        <v>51.707087872445271</v>
      </c>
      <c r="I64" s="173">
        <f>SUM(I60:I63)</f>
        <v>-20247865</v>
      </c>
      <c r="J64" s="797">
        <f>IF(G64=0,0,(E64/G64)*100)</f>
        <v>81.417574480983561</v>
      </c>
      <c r="K64" s="127"/>
      <c r="L64" s="134"/>
      <c r="M64" s="128" t="s">
        <v>75</v>
      </c>
      <c r="N64" s="130"/>
      <c r="O64" s="173">
        <f>SUM(O60:O63)</f>
        <v>88714579</v>
      </c>
      <c r="P64" s="130"/>
      <c r="Q64" s="173">
        <f>SUM(Q59:Q63)</f>
        <v>0</v>
      </c>
      <c r="R64" s="130"/>
      <c r="S64" s="173">
        <f>SUM(S60:S63)</f>
        <v>88714579</v>
      </c>
      <c r="T64" s="143"/>
    </row>
    <row r="65" spans="1:20" x14ac:dyDescent="0.2">
      <c r="A65" s="140"/>
      <c r="B65" s="130"/>
      <c r="C65" s="130"/>
      <c r="D65" s="145"/>
      <c r="E65" s="145"/>
      <c r="F65" s="148"/>
      <c r="G65" s="145"/>
      <c r="H65" s="148"/>
      <c r="I65" s="145"/>
      <c r="J65" s="162"/>
      <c r="K65" s="127"/>
      <c r="L65" s="140"/>
      <c r="M65" s="130"/>
      <c r="N65" s="130"/>
      <c r="O65" s="145"/>
      <c r="P65" s="130"/>
      <c r="Q65" s="145"/>
      <c r="R65" s="130"/>
      <c r="S65" s="145"/>
      <c r="T65" s="143"/>
    </row>
    <row r="66" spans="1:20" x14ac:dyDescent="0.2">
      <c r="A66" s="140">
        <v>31151</v>
      </c>
      <c r="B66" s="130" t="s">
        <v>95</v>
      </c>
      <c r="C66" s="130"/>
      <c r="D66" s="145">
        <f>ROUND('BB SCR 1'!$F$16,0)</f>
        <v>23136623</v>
      </c>
      <c r="E66" s="145">
        <f>ROUND($S66,0)</f>
        <v>9010952</v>
      </c>
      <c r="F66" s="148">
        <f>IF($D66=0,0,(E66/$D66)*100)</f>
        <v>38.946703674084155</v>
      </c>
      <c r="G66" s="145">
        <f>ROUND('BB SCR 1'!$N$16,0)</f>
        <v>8884977</v>
      </c>
      <c r="H66" s="148">
        <f>IF($D66=0,0,(G66/$D66)*100)</f>
        <v>38.402220583358257</v>
      </c>
      <c r="I66" s="145">
        <f>E66-G66</f>
        <v>125975</v>
      </c>
      <c r="J66" s="162">
        <f>IF(G66=0,0,(E66/G66)*100)</f>
        <v>101.41784272486018</v>
      </c>
      <c r="K66" s="127"/>
      <c r="L66" s="140">
        <f>$A66</f>
        <v>31151</v>
      </c>
      <c r="M66" s="130" t="str">
        <f>$B66</f>
        <v>No. 1 SCR System</v>
      </c>
      <c r="N66" s="130"/>
      <c r="O66" s="145">
        <f>ROUND('BB SCR 1'!$Q$16,0)</f>
        <v>9010952</v>
      </c>
      <c r="P66" s="130"/>
      <c r="Q66" s="145">
        <v>0</v>
      </c>
      <c r="R66" s="130"/>
      <c r="S66" s="145">
        <f>O66+Q66</f>
        <v>9010952</v>
      </c>
      <c r="T66" s="143"/>
    </row>
    <row r="67" spans="1:20" x14ac:dyDescent="0.2">
      <c r="A67" s="140">
        <v>31251</v>
      </c>
      <c r="B67" s="130" t="s">
        <v>95</v>
      </c>
      <c r="C67" s="130"/>
      <c r="D67" s="145">
        <f>ROUND('BB SCR 1'!$F$22,0)</f>
        <v>46985093</v>
      </c>
      <c r="E67" s="145">
        <f>ROUND($S67,0)</f>
        <v>20192629</v>
      </c>
      <c r="F67" s="148">
        <f>IF($D67=0,0,(E67/$D67)*100)</f>
        <v>42.976671345526547</v>
      </c>
      <c r="G67" s="145">
        <f>ROUND('BB SCR 1'!$N$22,0)</f>
        <v>19570057</v>
      </c>
      <c r="H67" s="148">
        <f>IF($D67=0,0,(G67/$D67)*100)</f>
        <v>41.651629805223543</v>
      </c>
      <c r="I67" s="145">
        <f>E67-G67</f>
        <v>622572</v>
      </c>
      <c r="J67" s="162">
        <f>IF(G67=0,0,(E67/G67)*100)</f>
        <v>103.18124776029012</v>
      </c>
      <c r="K67" s="127"/>
      <c r="L67" s="140">
        <f>$A67</f>
        <v>31251</v>
      </c>
      <c r="M67" s="130" t="str">
        <f>$B67</f>
        <v>No. 1 SCR System</v>
      </c>
      <c r="N67" s="130"/>
      <c r="O67" s="145">
        <f>ROUND('BB SCR 1'!$Q$22,0)</f>
        <v>20192629</v>
      </c>
      <c r="P67" s="130"/>
      <c r="Q67" s="145">
        <v>0</v>
      </c>
      <c r="R67" s="130"/>
      <c r="S67" s="145">
        <f>O67+Q67</f>
        <v>20192629</v>
      </c>
      <c r="T67" s="143"/>
    </row>
    <row r="68" spans="1:20" x14ac:dyDescent="0.2">
      <c r="A68" s="140">
        <v>31551</v>
      </c>
      <c r="B68" s="130" t="s">
        <v>95</v>
      </c>
      <c r="C68" s="130"/>
      <c r="D68" s="145">
        <f>ROUND('BB SCR 1'!$F$34,0)</f>
        <v>14576031</v>
      </c>
      <c r="E68" s="145">
        <f>ROUND($S68,0)</f>
        <v>6626055</v>
      </c>
      <c r="F68" s="148">
        <f>IF($D68=0,0,(E68/$D68)*100)</f>
        <v>45.458568248105401</v>
      </c>
      <c r="G68" s="145">
        <f>ROUND('BB SCR 1'!$N$34,0)</f>
        <v>6065615</v>
      </c>
      <c r="H68" s="148">
        <f>IF($D68=0,0,(G68/$D68)*100)</f>
        <v>41.613625821734324</v>
      </c>
      <c r="I68" s="145">
        <f>E68-G68</f>
        <v>560440</v>
      </c>
      <c r="J68" s="162">
        <f>IF(G68=0,0,(E68/G68)*100)</f>
        <v>109.23962368201741</v>
      </c>
      <c r="K68" s="127"/>
      <c r="L68" s="140">
        <f>$A68</f>
        <v>31551</v>
      </c>
      <c r="M68" s="130" t="str">
        <f>$B68</f>
        <v>No. 1 SCR System</v>
      </c>
      <c r="N68" s="130"/>
      <c r="O68" s="145">
        <f>ROUND('BB SCR 1'!$Q$34,0)</f>
        <v>6626055</v>
      </c>
      <c r="P68" s="130"/>
      <c r="Q68" s="145">
        <v>0</v>
      </c>
      <c r="R68" s="130"/>
      <c r="S68" s="145">
        <f>O68+Q68</f>
        <v>6626055</v>
      </c>
      <c r="T68" s="143"/>
    </row>
    <row r="69" spans="1:20" ht="15" x14ac:dyDescent="0.2">
      <c r="A69" s="140">
        <v>31651</v>
      </c>
      <c r="B69" s="168" t="s">
        <v>95</v>
      </c>
      <c r="C69" s="130"/>
      <c r="D69" s="171">
        <f>ROUND('BB SCR 1'!$F$40,0)</f>
        <v>879815</v>
      </c>
      <c r="E69" s="172">
        <f>ROUND($S69,0)</f>
        <v>347892</v>
      </c>
      <c r="F69" s="794">
        <f>IF($D69=0,0,(E69/$D69)*100)</f>
        <v>39.541494518734048</v>
      </c>
      <c r="G69" s="171">
        <f>ROUND('BB SCR 1'!$N$40,0)</f>
        <v>341907</v>
      </c>
      <c r="H69" s="794">
        <f>IF($D69=0,0,(G69/$D69)*100)</f>
        <v>38.861237873871211</v>
      </c>
      <c r="I69" s="171">
        <f>E69-G69</f>
        <v>5985</v>
      </c>
      <c r="J69" s="795">
        <f>IF(G69=0,0,(E69/G69)*100)</f>
        <v>101.75047600663338</v>
      </c>
      <c r="K69" s="127"/>
      <c r="L69" s="140">
        <f>$A69</f>
        <v>31651</v>
      </c>
      <c r="M69" s="168" t="str">
        <f>$B69</f>
        <v>No. 1 SCR System</v>
      </c>
      <c r="N69" s="130"/>
      <c r="O69" s="171">
        <f>ROUND('BB SCR 1'!$Q$40,0)</f>
        <v>347892</v>
      </c>
      <c r="P69" s="130"/>
      <c r="Q69" s="171">
        <v>0</v>
      </c>
      <c r="R69" s="130"/>
      <c r="S69" s="171">
        <f>O69+Q69</f>
        <v>347892</v>
      </c>
      <c r="T69" s="143"/>
    </row>
    <row r="70" spans="1:20" x14ac:dyDescent="0.2">
      <c r="A70" s="134"/>
      <c r="B70" s="128" t="s">
        <v>75</v>
      </c>
      <c r="C70" s="130"/>
      <c r="D70" s="173">
        <f>SUM(D66:D69)</f>
        <v>85577562</v>
      </c>
      <c r="E70" s="173">
        <f>SUM(E65:E69)</f>
        <v>36177528</v>
      </c>
      <c r="F70" s="796">
        <f>IF($D70=0,0,(E70/$D70)*100)</f>
        <v>42.274548555145799</v>
      </c>
      <c r="G70" s="173">
        <f>SUM(G66:G69)</f>
        <v>34862556</v>
      </c>
      <c r="H70" s="796">
        <f>IF($D70=0,0,(G70/$D70)*100)</f>
        <v>40.73796353301114</v>
      </c>
      <c r="I70" s="173">
        <f>SUM(I66:I69)</f>
        <v>1314972</v>
      </c>
      <c r="J70" s="797">
        <f>IF(G70=0,0,(E70/G70)*100)</f>
        <v>103.77187490211561</v>
      </c>
      <c r="K70" s="127"/>
      <c r="L70" s="134"/>
      <c r="M70" s="128" t="s">
        <v>75</v>
      </c>
      <c r="N70" s="130"/>
      <c r="O70" s="173">
        <f>SUM(O66:O69)</f>
        <v>36177528</v>
      </c>
      <c r="P70" s="130"/>
      <c r="Q70" s="173">
        <f>SUM(Q65:Q69)</f>
        <v>0</v>
      </c>
      <c r="R70" s="130"/>
      <c r="S70" s="173">
        <f>SUM(S66:S69)</f>
        <v>36177528</v>
      </c>
      <c r="T70" s="143"/>
    </row>
    <row r="71" spans="1:20" x14ac:dyDescent="0.2">
      <c r="A71" s="140"/>
      <c r="B71" s="130"/>
      <c r="C71" s="130"/>
      <c r="D71" s="145"/>
      <c r="E71" s="145"/>
      <c r="F71" s="148"/>
      <c r="G71" s="145"/>
      <c r="H71" s="148"/>
      <c r="I71" s="145"/>
      <c r="J71" s="162"/>
      <c r="K71" s="127"/>
      <c r="L71" s="140"/>
      <c r="M71" s="130"/>
      <c r="N71" s="130"/>
      <c r="O71" s="145"/>
      <c r="P71" s="130"/>
      <c r="Q71" s="145"/>
      <c r="R71" s="130"/>
      <c r="S71" s="145"/>
      <c r="T71" s="143"/>
    </row>
    <row r="72" spans="1:20" x14ac:dyDescent="0.2">
      <c r="A72" s="140">
        <v>31152</v>
      </c>
      <c r="B72" s="130" t="s">
        <v>96</v>
      </c>
      <c r="C72" s="130"/>
      <c r="D72" s="145">
        <f>ROUND('BB SCR 2'!$F$16,0)</f>
        <v>25208869</v>
      </c>
      <c r="E72" s="145">
        <f>ROUND($S72,0)</f>
        <v>9263616</v>
      </c>
      <c r="F72" s="148">
        <f>IF($D72=0,0,(E72/$D72)*100)</f>
        <v>36.747447892247763</v>
      </c>
      <c r="G72" s="145">
        <f>ROUND('BB SCR 2'!$N$16,0)</f>
        <v>9226917</v>
      </c>
      <c r="H72" s="148">
        <f>IF($D72=0,0,(G72/$D72)*100)</f>
        <v>36.601868175839222</v>
      </c>
      <c r="I72" s="145">
        <f>E72-G72</f>
        <v>36699</v>
      </c>
      <c r="J72" s="162">
        <f>IF(G72=0,0,(E72/G72)*100)</f>
        <v>100.39773848621377</v>
      </c>
      <c r="K72" s="127"/>
      <c r="L72" s="140">
        <f>$A72</f>
        <v>31152</v>
      </c>
      <c r="M72" s="130" t="str">
        <f>$B72</f>
        <v>No. 2 SCR System</v>
      </c>
      <c r="N72" s="130"/>
      <c r="O72" s="145">
        <f>ROUND('BB SCR 2'!$Q$16,0)</f>
        <v>9263616</v>
      </c>
      <c r="P72" s="130"/>
      <c r="Q72" s="145">
        <v>0</v>
      </c>
      <c r="R72" s="130"/>
      <c r="S72" s="145">
        <f>O72+Q72</f>
        <v>9263616</v>
      </c>
      <c r="T72" s="143"/>
    </row>
    <row r="73" spans="1:20" x14ac:dyDescent="0.2">
      <c r="A73" s="140">
        <v>31252</v>
      </c>
      <c r="B73" s="130" t="s">
        <v>96</v>
      </c>
      <c r="C73" s="130"/>
      <c r="D73" s="145">
        <f>ROUND('BB SCR 2'!$F$22,0)</f>
        <v>51260287</v>
      </c>
      <c r="E73" s="145">
        <f>ROUND($S73,0)</f>
        <v>18330971</v>
      </c>
      <c r="F73" s="148">
        <f>IF($D73=0,0,(E73/$D73)*100)</f>
        <v>35.760570361223301</v>
      </c>
      <c r="G73" s="145">
        <f>ROUND('BB SCR 2'!$N$22,0)</f>
        <v>20311600</v>
      </c>
      <c r="H73" s="148">
        <f>IF($D73=0,0,(G73/$D73)*100)</f>
        <v>39.624436749642079</v>
      </c>
      <c r="I73" s="145">
        <f>E73-G73</f>
        <v>-1980629</v>
      </c>
      <c r="J73" s="162">
        <f>IF(G73=0,0,(E73/G73)*100)</f>
        <v>90.248779022824394</v>
      </c>
      <c r="K73" s="127"/>
      <c r="L73" s="140">
        <f>$A73</f>
        <v>31252</v>
      </c>
      <c r="M73" s="130" t="str">
        <f>$B73</f>
        <v>No. 2 SCR System</v>
      </c>
      <c r="N73" s="130"/>
      <c r="O73" s="145">
        <f>ROUND('BB SCR 2'!$Q$22,0)</f>
        <v>18330971</v>
      </c>
      <c r="P73" s="130"/>
      <c r="Q73" s="145">
        <v>0</v>
      </c>
      <c r="R73" s="130"/>
      <c r="S73" s="145">
        <f>O73+Q73</f>
        <v>18330971</v>
      </c>
      <c r="T73" s="143"/>
    </row>
    <row r="74" spans="1:20" x14ac:dyDescent="0.2">
      <c r="A74" s="140">
        <v>31552</v>
      </c>
      <c r="B74" s="130" t="s">
        <v>96</v>
      </c>
      <c r="C74" s="130"/>
      <c r="D74" s="145">
        <f>ROUND('BB SCR 2'!$F$34,0)</f>
        <v>15951073</v>
      </c>
      <c r="E74" s="145">
        <f>ROUND($S74,0)</f>
        <v>6776734</v>
      </c>
      <c r="F74" s="148">
        <f>IF($D74=0,0,(E74/$D74)*100)</f>
        <v>42.484502453220543</v>
      </c>
      <c r="G74" s="145">
        <f>ROUND('BB SCR 2'!$N$34,0)</f>
        <v>6523166</v>
      </c>
      <c r="H74" s="148">
        <f>IF($D74=0,0,(G74/$D74)*100)</f>
        <v>40.894841368978753</v>
      </c>
      <c r="I74" s="145">
        <f>E74-G74</f>
        <v>253568</v>
      </c>
      <c r="J74" s="162">
        <f>IF(G74=0,0,(E74/G74)*100)</f>
        <v>103.88719220084235</v>
      </c>
      <c r="K74" s="127"/>
      <c r="L74" s="140">
        <f>$A74</f>
        <v>31552</v>
      </c>
      <c r="M74" s="130" t="str">
        <f>$B74</f>
        <v>No. 2 SCR System</v>
      </c>
      <c r="N74" s="130"/>
      <c r="O74" s="145">
        <f>ROUND('BB SCR 2'!$Q$34,0)</f>
        <v>6776734</v>
      </c>
      <c r="P74" s="130"/>
      <c r="Q74" s="145">
        <v>0</v>
      </c>
      <c r="R74" s="130"/>
      <c r="S74" s="145">
        <f>O74+Q74</f>
        <v>6776734</v>
      </c>
      <c r="T74" s="143"/>
    </row>
    <row r="75" spans="1:20" ht="15" x14ac:dyDescent="0.2">
      <c r="A75" s="140">
        <v>31652</v>
      </c>
      <c r="B75" s="168" t="s">
        <v>96</v>
      </c>
      <c r="C75" s="130"/>
      <c r="D75" s="171">
        <f>ROUND('BB SCR 2'!$F$40,0)</f>
        <v>958616</v>
      </c>
      <c r="E75" s="172">
        <f>ROUND($S75,0)</f>
        <v>371463</v>
      </c>
      <c r="F75" s="794">
        <f>IF($D75=0,0,(E75/$D75)*100)</f>
        <v>38.749926978060032</v>
      </c>
      <c r="G75" s="171">
        <f>ROUND('BB SCR 2'!$N$40,0)</f>
        <v>357898</v>
      </c>
      <c r="H75" s="794">
        <f>IF($D75=0,0,(G75/$D75)*100)</f>
        <v>37.334866098625518</v>
      </c>
      <c r="I75" s="171">
        <f>E75-G75</f>
        <v>13565</v>
      </c>
      <c r="J75" s="795">
        <f>IF(G75=0,0,(E75/G75)*100)</f>
        <v>103.79018603065677</v>
      </c>
      <c r="K75" s="127"/>
      <c r="L75" s="140">
        <f>$A75</f>
        <v>31652</v>
      </c>
      <c r="M75" s="168" t="str">
        <f>$B75</f>
        <v>No. 2 SCR System</v>
      </c>
      <c r="N75" s="130"/>
      <c r="O75" s="171">
        <f>ROUND('BB SCR 2'!$Q$40,0)</f>
        <v>371463</v>
      </c>
      <c r="P75" s="130"/>
      <c r="Q75" s="171">
        <v>0</v>
      </c>
      <c r="R75" s="130"/>
      <c r="S75" s="171">
        <f>O75+Q75</f>
        <v>371463</v>
      </c>
      <c r="T75" s="143"/>
    </row>
    <row r="76" spans="1:20" x14ac:dyDescent="0.2">
      <c r="A76" s="134"/>
      <c r="B76" s="128" t="s">
        <v>75</v>
      </c>
      <c r="C76" s="130"/>
      <c r="D76" s="173">
        <f>SUM(D72:D75)</f>
        <v>93378845</v>
      </c>
      <c r="E76" s="173">
        <f>SUM(E71:E75)</f>
        <v>34742784</v>
      </c>
      <c r="F76" s="796">
        <f>IF($D76=0,0,(E76/$D76)*100)</f>
        <v>37.206268721785968</v>
      </c>
      <c r="G76" s="173">
        <f>SUM(G72:G75)</f>
        <v>36419581</v>
      </c>
      <c r="H76" s="796">
        <f>IF($D76=0,0,(G76/$D76)*100)</f>
        <v>39.001961311472641</v>
      </c>
      <c r="I76" s="173">
        <f>SUM(I72:I75)</f>
        <v>-1676797</v>
      </c>
      <c r="J76" s="797">
        <f>IF(G76=0,0,(E76/G76)*100)</f>
        <v>95.395891567231374</v>
      </c>
      <c r="K76" s="127"/>
      <c r="L76" s="134"/>
      <c r="M76" s="128" t="s">
        <v>75</v>
      </c>
      <c r="N76" s="130"/>
      <c r="O76" s="173">
        <f>SUM(O72:O75)</f>
        <v>34742784</v>
      </c>
      <c r="P76" s="130"/>
      <c r="Q76" s="173">
        <f>SUM(Q71:Q75)</f>
        <v>0</v>
      </c>
      <c r="R76" s="130"/>
      <c r="S76" s="173">
        <f>SUM(S72:S75)</f>
        <v>34742784</v>
      </c>
      <c r="T76" s="143"/>
    </row>
    <row r="77" spans="1:20" x14ac:dyDescent="0.2">
      <c r="A77" s="140"/>
      <c r="B77" s="130"/>
      <c r="C77" s="130"/>
      <c r="D77" s="145"/>
      <c r="E77" s="145"/>
      <c r="F77" s="148"/>
      <c r="G77" s="145"/>
      <c r="H77" s="148"/>
      <c r="I77" s="145"/>
      <c r="J77" s="162"/>
      <c r="K77" s="127"/>
      <c r="L77" s="140"/>
      <c r="M77" s="130"/>
      <c r="N77" s="130"/>
      <c r="O77" s="145"/>
      <c r="P77" s="130"/>
      <c r="Q77" s="145"/>
      <c r="R77" s="130"/>
      <c r="S77" s="145"/>
      <c r="T77" s="143"/>
    </row>
    <row r="78" spans="1:20" x14ac:dyDescent="0.2">
      <c r="A78" s="140">
        <v>31153</v>
      </c>
      <c r="B78" s="130" t="s">
        <v>97</v>
      </c>
      <c r="C78" s="130"/>
      <c r="D78" s="145">
        <f>ROUND('BB SCR 3'!$F$16,0)</f>
        <v>21689422</v>
      </c>
      <c r="E78" s="145">
        <f>ROUND($S78,0)</f>
        <v>7727825</v>
      </c>
      <c r="F78" s="148">
        <f>IF($D78=0,0,(E78/$D78)*100)</f>
        <v>35.629464906902548</v>
      </c>
      <c r="G78" s="145">
        <f>ROUND('BB SCR 3'!$N$16,0)</f>
        <v>7644184</v>
      </c>
      <c r="H78" s="148">
        <f>IF($D78=0,0,(G78/$D78)*100)</f>
        <v>35.243834529108241</v>
      </c>
      <c r="I78" s="145">
        <f>E78-G78</f>
        <v>83641</v>
      </c>
      <c r="J78" s="162">
        <f>IF(G78=0,0,(E78/G78)*100)</f>
        <v>101.09417826677118</v>
      </c>
      <c r="K78" s="127"/>
      <c r="L78" s="140">
        <f>$A78</f>
        <v>31153</v>
      </c>
      <c r="M78" s="130" t="str">
        <f>$B78</f>
        <v>No. 3 SCR System</v>
      </c>
      <c r="N78" s="130"/>
      <c r="O78" s="145">
        <f>ROUND('BB SCR 3'!$Q$16,0)</f>
        <v>7727825</v>
      </c>
      <c r="P78" s="130"/>
      <c r="Q78" s="145">
        <v>0</v>
      </c>
      <c r="R78" s="130"/>
      <c r="S78" s="145">
        <f>O78+Q78</f>
        <v>7727825</v>
      </c>
      <c r="T78" s="143"/>
    </row>
    <row r="79" spans="1:20" x14ac:dyDescent="0.2">
      <c r="A79" s="140">
        <v>31253</v>
      </c>
      <c r="B79" s="130" t="s">
        <v>97</v>
      </c>
      <c r="C79" s="130"/>
      <c r="D79" s="145">
        <f>ROUND('BB SCR 3'!$F$22,0)</f>
        <v>44040159</v>
      </c>
      <c r="E79" s="145">
        <f>ROUND($S79,0)</f>
        <v>17922908</v>
      </c>
      <c r="F79" s="148">
        <f>IF($D79=0,0,(E79/$D79)*100)</f>
        <v>40.696737720678982</v>
      </c>
      <c r="G79" s="145">
        <f>ROUND('BB SCR 3'!$N$22,0)</f>
        <v>18063445</v>
      </c>
      <c r="H79" s="148">
        <f>IF($D79=0,0,(G79/$D79)*100)</f>
        <v>41.01584873932903</v>
      </c>
      <c r="I79" s="145">
        <f>E79-G79</f>
        <v>-140537</v>
      </c>
      <c r="J79" s="162">
        <f>IF(G79=0,0,(E79/G79)*100)</f>
        <v>99.221981189081049</v>
      </c>
      <c r="K79" s="127"/>
      <c r="L79" s="140">
        <f>$A79</f>
        <v>31253</v>
      </c>
      <c r="M79" s="130" t="str">
        <f>$B79</f>
        <v>No. 3 SCR System</v>
      </c>
      <c r="N79" s="130"/>
      <c r="O79" s="145">
        <f>ROUND('BB SCR 3'!$Q$22,0)</f>
        <v>17922908</v>
      </c>
      <c r="P79" s="130"/>
      <c r="Q79" s="145">
        <v>0</v>
      </c>
      <c r="R79" s="130"/>
      <c r="S79" s="145">
        <f>O79+Q79</f>
        <v>17922908</v>
      </c>
      <c r="T79" s="143"/>
    </row>
    <row r="80" spans="1:20" x14ac:dyDescent="0.2">
      <c r="A80" s="140">
        <v>31553</v>
      </c>
      <c r="B80" s="130" t="s">
        <v>97</v>
      </c>
      <c r="C80" s="130"/>
      <c r="D80" s="145">
        <f>ROUND('BB SCR 3'!$F$34,0)</f>
        <v>13761422</v>
      </c>
      <c r="E80" s="145">
        <f>ROUND($S80,0)</f>
        <v>6245604</v>
      </c>
      <c r="F80" s="148">
        <f>IF($D80=0,0,(E80/$D80)*100)</f>
        <v>45.384873743425644</v>
      </c>
      <c r="G80" s="145">
        <f>ROUND('BB SCR 3'!$N$34,0)</f>
        <v>5691479</v>
      </c>
      <c r="H80" s="148">
        <f>IF($D80=0,0,(G80/$D80)*100)</f>
        <v>41.358218649206457</v>
      </c>
      <c r="I80" s="145">
        <f>E80-G80</f>
        <v>554125</v>
      </c>
      <c r="J80" s="162">
        <f>IF(G80=0,0,(E80/G80)*100)</f>
        <v>109.73604576244594</v>
      </c>
      <c r="K80" s="127"/>
      <c r="L80" s="140">
        <f>$A80</f>
        <v>31553</v>
      </c>
      <c r="M80" s="130" t="str">
        <f>$B80</f>
        <v>No. 3 SCR System</v>
      </c>
      <c r="N80" s="130"/>
      <c r="O80" s="145">
        <f>ROUND('BB SCR 3'!$Q$34,0)</f>
        <v>6245604</v>
      </c>
      <c r="P80" s="130"/>
      <c r="Q80" s="145">
        <v>0</v>
      </c>
      <c r="R80" s="130"/>
      <c r="S80" s="145">
        <f>O80+Q80</f>
        <v>6245604</v>
      </c>
      <c r="T80" s="143"/>
    </row>
    <row r="81" spans="1:20" ht="15" x14ac:dyDescent="0.2">
      <c r="A81" s="140">
        <v>31653</v>
      </c>
      <c r="B81" s="168" t="s">
        <v>97</v>
      </c>
      <c r="C81" s="130"/>
      <c r="D81" s="171">
        <f>ROUND('BB SCR 3'!$F$40,0)</f>
        <v>824684</v>
      </c>
      <c r="E81" s="172">
        <f>ROUND($S81,0)</f>
        <v>323345</v>
      </c>
      <c r="F81" s="794">
        <f>IF($D81=0,0,(E81/$D81)*100)</f>
        <v>39.208351320020753</v>
      </c>
      <c r="G81" s="171">
        <f>ROUND('BB SCR 3'!$N$40,0)</f>
        <v>300107</v>
      </c>
      <c r="H81" s="794">
        <f>IF($D81=0,0,(G81/$D81)*100)</f>
        <v>36.39054474198602</v>
      </c>
      <c r="I81" s="171">
        <f>E81-G81</f>
        <v>23238</v>
      </c>
      <c r="J81" s="795">
        <f>IF(G81=0,0,(E81/G81)*100)</f>
        <v>107.74323824502594</v>
      </c>
      <c r="K81" s="127"/>
      <c r="L81" s="140">
        <f>$A81</f>
        <v>31653</v>
      </c>
      <c r="M81" s="168" t="str">
        <f>$B81</f>
        <v>No. 3 SCR System</v>
      </c>
      <c r="N81" s="130"/>
      <c r="O81" s="171">
        <f>ROUND('BB SCR 3'!$Q$40,0)</f>
        <v>323345</v>
      </c>
      <c r="P81" s="130"/>
      <c r="Q81" s="171">
        <v>0</v>
      </c>
      <c r="R81" s="130"/>
      <c r="S81" s="171">
        <f>O81+Q81</f>
        <v>323345</v>
      </c>
      <c r="T81" s="143"/>
    </row>
    <row r="82" spans="1:20" x14ac:dyDescent="0.2">
      <c r="A82" s="134"/>
      <c r="B82" s="128" t="s">
        <v>75</v>
      </c>
      <c r="C82" s="130"/>
      <c r="D82" s="173">
        <f>SUM(D78:D81)</f>
        <v>80315687</v>
      </c>
      <c r="E82" s="173">
        <f>SUM(E77:E81)</f>
        <v>32219682</v>
      </c>
      <c r="F82" s="796">
        <f>IF($D82=0,0,(E82/$D82)*100)</f>
        <v>40.116300069748519</v>
      </c>
      <c r="G82" s="173">
        <f>SUM(G78:G81)</f>
        <v>31699215</v>
      </c>
      <c r="H82" s="796">
        <f>IF($D82=0,0,(G82/$D82)*100)</f>
        <v>39.46827348933715</v>
      </c>
      <c r="I82" s="173">
        <f>SUM(I78:I81)</f>
        <v>520467</v>
      </c>
      <c r="J82" s="797">
        <f>IF(G82=0,0,(E82/G82)*100)</f>
        <v>101.64189239386528</v>
      </c>
      <c r="K82" s="127"/>
      <c r="L82" s="134"/>
      <c r="M82" s="128" t="s">
        <v>75</v>
      </c>
      <c r="N82" s="130"/>
      <c r="O82" s="173">
        <f>SUM(O78:O81)</f>
        <v>32219682</v>
      </c>
      <c r="P82" s="130"/>
      <c r="Q82" s="173">
        <f>SUM(Q77:Q81)</f>
        <v>0</v>
      </c>
      <c r="R82" s="130"/>
      <c r="S82" s="173">
        <f>SUM(S78:S81)</f>
        <v>32219682</v>
      </c>
      <c r="T82" s="143"/>
    </row>
    <row r="83" spans="1:20" x14ac:dyDescent="0.2">
      <c r="A83" s="140"/>
      <c r="B83" s="130"/>
      <c r="C83" s="130"/>
      <c r="D83" s="145"/>
      <c r="E83" s="145"/>
      <c r="F83" s="148"/>
      <c r="G83" s="145"/>
      <c r="H83" s="148"/>
      <c r="I83" s="145"/>
      <c r="J83" s="162"/>
      <c r="K83" s="127"/>
      <c r="L83" s="140"/>
      <c r="M83" s="130"/>
      <c r="N83" s="130"/>
      <c r="O83" s="145"/>
      <c r="P83" s="130"/>
      <c r="Q83" s="145"/>
      <c r="R83" s="130"/>
      <c r="S83" s="145"/>
      <c r="T83" s="143"/>
    </row>
    <row r="84" spans="1:20" x14ac:dyDescent="0.2">
      <c r="A84" s="140">
        <v>31154</v>
      </c>
      <c r="B84" s="130" t="s">
        <v>98</v>
      </c>
      <c r="C84" s="130"/>
      <c r="D84" s="145">
        <f>ROUND('BB SCR 4'!$F$16,0)</f>
        <v>16857250</v>
      </c>
      <c r="E84" s="145">
        <f>ROUND($S84,0)</f>
        <v>5065029</v>
      </c>
      <c r="F84" s="148">
        <f>IF($D84=0,0,(E84/$D84)*100)</f>
        <v>30.046591229293035</v>
      </c>
      <c r="G84" s="145">
        <f>ROUND('BB SCR 4'!$N$16,0)</f>
        <v>5611625</v>
      </c>
      <c r="H84" s="148">
        <f>IF($D84=0,0,(G84/$D84)*100)</f>
        <v>33.289089264263147</v>
      </c>
      <c r="I84" s="145">
        <f>E84-G84</f>
        <v>-546596</v>
      </c>
      <c r="J84" s="162">
        <f>IF(G84=0,0,(E84/G84)*100)</f>
        <v>90.259577216938041</v>
      </c>
      <c r="K84" s="127"/>
      <c r="L84" s="140">
        <f>$A84</f>
        <v>31154</v>
      </c>
      <c r="M84" s="130" t="str">
        <f>$B84</f>
        <v>No. 4 SCR System</v>
      </c>
      <c r="N84" s="130"/>
      <c r="O84" s="145">
        <f>ROUND('BB SCR 4'!$Q$16,0)</f>
        <v>5065029</v>
      </c>
      <c r="P84" s="130"/>
      <c r="Q84" s="145">
        <v>0</v>
      </c>
      <c r="R84" s="130"/>
      <c r="S84" s="145">
        <f>O84+Q84</f>
        <v>5065029</v>
      </c>
      <c r="T84" s="143"/>
    </row>
    <row r="85" spans="1:20" x14ac:dyDescent="0.2">
      <c r="A85" s="140">
        <v>31254</v>
      </c>
      <c r="B85" s="130" t="s">
        <v>98</v>
      </c>
      <c r="C85" s="130"/>
      <c r="D85" s="145">
        <f>ROUND('BB SCR 4'!$F$22,0)</f>
        <v>30373191</v>
      </c>
      <c r="E85" s="145">
        <f>ROUND($S85,0)</f>
        <v>8103249</v>
      </c>
      <c r="F85" s="148">
        <f>IF($D85=0,0,(E85/$D85)*100)</f>
        <v>26.678951842761599</v>
      </c>
      <c r="G85" s="145">
        <f>ROUND('BB SCR 4'!$N$22,0)</f>
        <v>10889245</v>
      </c>
      <c r="H85" s="148">
        <f>IF($D85=0,0,(G85/$D85)*100)</f>
        <v>35.851501411228085</v>
      </c>
      <c r="I85" s="145">
        <f>E85-G85</f>
        <v>-2785996</v>
      </c>
      <c r="J85" s="162">
        <f>IF(G85=0,0,(E85/G85)*100)</f>
        <v>74.415159177702407</v>
      </c>
      <c r="K85" s="127"/>
      <c r="L85" s="140">
        <f>$A85</f>
        <v>31254</v>
      </c>
      <c r="M85" s="130" t="str">
        <f>$B85</f>
        <v>No. 4 SCR System</v>
      </c>
      <c r="N85" s="130"/>
      <c r="O85" s="145">
        <f>ROUND('BB SCR 4'!$Q$22,0)</f>
        <v>8103249</v>
      </c>
      <c r="P85" s="130"/>
      <c r="Q85" s="145">
        <v>0</v>
      </c>
      <c r="R85" s="130"/>
      <c r="S85" s="145">
        <f>O85+Q85</f>
        <v>8103249</v>
      </c>
      <c r="T85" s="143"/>
    </row>
    <row r="86" spans="1:20" x14ac:dyDescent="0.2">
      <c r="A86" s="140">
        <v>31554</v>
      </c>
      <c r="B86" s="130" t="s">
        <v>98</v>
      </c>
      <c r="C86" s="130"/>
      <c r="D86" s="145">
        <f>ROUND('BB SCR 4'!$F$34,0)</f>
        <v>10642027</v>
      </c>
      <c r="E86" s="145">
        <f>ROUND($S86,0)</f>
        <v>5196277</v>
      </c>
      <c r="F86" s="148">
        <f>IF($D86=0,0,(E86/$D86)*100)</f>
        <v>48.827887769876924</v>
      </c>
      <c r="G86" s="145">
        <f>ROUND('BB SCR 4'!$N$34,0)</f>
        <v>4497736</v>
      </c>
      <c r="H86" s="148">
        <f>IF($D86=0,0,(G86/$D86)*100)</f>
        <v>42.26390329586647</v>
      </c>
      <c r="I86" s="145">
        <f>E86-G86</f>
        <v>698541</v>
      </c>
      <c r="J86" s="162">
        <f>IF(G86=0,0,(E86/G86)*100)</f>
        <v>115.5309471253982</v>
      </c>
      <c r="K86" s="127"/>
      <c r="L86" s="140">
        <f>$A86</f>
        <v>31554</v>
      </c>
      <c r="M86" s="130" t="str">
        <f>$B86</f>
        <v>No. 4 SCR System</v>
      </c>
      <c r="N86" s="130"/>
      <c r="O86" s="145">
        <f>ROUND('BB SCR 4'!$Q$34,0)</f>
        <v>5196277</v>
      </c>
      <c r="P86" s="130"/>
      <c r="Q86" s="145">
        <v>0</v>
      </c>
      <c r="R86" s="130"/>
      <c r="S86" s="145">
        <f>O86+Q86</f>
        <v>5196277</v>
      </c>
      <c r="T86" s="143"/>
    </row>
    <row r="87" spans="1:20" ht="15" x14ac:dyDescent="0.2">
      <c r="A87" s="140">
        <v>31654</v>
      </c>
      <c r="B87" s="168" t="s">
        <v>98</v>
      </c>
      <c r="C87" s="130"/>
      <c r="D87" s="171">
        <f>ROUND('BB SCR 4'!$F$40,0)</f>
        <v>687934</v>
      </c>
      <c r="E87" s="172">
        <f>ROUND($S87,0)</f>
        <v>282593</v>
      </c>
      <c r="F87" s="794">
        <f>IF($D87=0,0,(E87/$D87)*100)</f>
        <v>41.078504623990092</v>
      </c>
      <c r="G87" s="171">
        <f>ROUND('BB SCR 4'!$N$40,0)</f>
        <v>234871</v>
      </c>
      <c r="H87" s="794">
        <f>IF($D87=0,0,(G87/$D87)*100)</f>
        <v>34.141501946407651</v>
      </c>
      <c r="I87" s="171">
        <f>E87-G87</f>
        <v>47722</v>
      </c>
      <c r="J87" s="795">
        <f>IF(G87=0,0,(E87/G87)*100)</f>
        <v>120.31838754039453</v>
      </c>
      <c r="K87" s="127"/>
      <c r="L87" s="140">
        <f>$A87</f>
        <v>31654</v>
      </c>
      <c r="M87" s="168" t="str">
        <f>$B87</f>
        <v>No. 4 SCR System</v>
      </c>
      <c r="N87" s="130"/>
      <c r="O87" s="171">
        <f>ROUND('BB SCR 4'!$Q$40,0)</f>
        <v>282593</v>
      </c>
      <c r="P87" s="130"/>
      <c r="Q87" s="171">
        <v>0</v>
      </c>
      <c r="R87" s="130"/>
      <c r="S87" s="171">
        <f>O87+Q87</f>
        <v>282593</v>
      </c>
      <c r="T87" s="143"/>
    </row>
    <row r="88" spans="1:20" x14ac:dyDescent="0.2">
      <c r="A88" s="134"/>
      <c r="B88" s="128" t="s">
        <v>75</v>
      </c>
      <c r="C88" s="130"/>
      <c r="D88" s="173">
        <f>SUM(D84:D87)</f>
        <v>58560402</v>
      </c>
      <c r="E88" s="173">
        <f>SUM(E83:E87)</f>
        <v>18647148</v>
      </c>
      <c r="F88" s="796">
        <f>IF($D88=0,0,(E88/$D88)*100)</f>
        <v>31.842588785507314</v>
      </c>
      <c r="G88" s="173">
        <f>SUM(G84:G87)</f>
        <v>21233477</v>
      </c>
      <c r="H88" s="796">
        <f>IF($D88=0,0,(G88/$D88)*100)</f>
        <v>36.259103890714414</v>
      </c>
      <c r="I88" s="173">
        <f>SUM(I84:I87)</f>
        <v>-2586329</v>
      </c>
      <c r="J88" s="797">
        <f>IF(G88=0,0,(E88/G88)*100)</f>
        <v>87.819569070105658</v>
      </c>
      <c r="K88" s="127"/>
      <c r="L88" s="134"/>
      <c r="M88" s="128" t="s">
        <v>75</v>
      </c>
      <c r="N88" s="130"/>
      <c r="O88" s="173">
        <f>SUM(O84:O87)</f>
        <v>18647148</v>
      </c>
      <c r="P88" s="130"/>
      <c r="Q88" s="173">
        <f>SUM(Q83:Q87)</f>
        <v>0</v>
      </c>
      <c r="R88" s="130"/>
      <c r="S88" s="173">
        <f>SUM(S84:S87)</f>
        <v>18647148</v>
      </c>
      <c r="T88" s="143"/>
    </row>
    <row r="89" spans="1:20" x14ac:dyDescent="0.2">
      <c r="A89" s="140"/>
      <c r="B89" s="130"/>
      <c r="C89" s="130"/>
      <c r="D89" s="145"/>
      <c r="E89" s="145"/>
      <c r="F89" s="148"/>
      <c r="G89" s="145"/>
      <c r="H89" s="148"/>
      <c r="I89" s="145"/>
      <c r="J89" s="162"/>
      <c r="K89" s="127"/>
      <c r="L89" s="140"/>
      <c r="M89" s="130"/>
      <c r="N89" s="130"/>
      <c r="O89" s="145"/>
      <c r="P89" s="130"/>
      <c r="Q89" s="145"/>
      <c r="R89" s="130"/>
      <c r="S89" s="145"/>
      <c r="T89" s="143"/>
    </row>
    <row r="90" spans="1:20" x14ac:dyDescent="0.2">
      <c r="A90" s="140">
        <v>31647</v>
      </c>
      <c r="B90" s="130" t="s">
        <v>61</v>
      </c>
      <c r="C90" s="130"/>
      <c r="D90" s="145">
        <f>VLOOKUP('Change in Plant &amp; Reserve'!$A90,'2019 B-7'!C:P,14,FALSE)</f>
        <v>1304313.1999999997</v>
      </c>
      <c r="E90" s="145">
        <f>ROUND($S90,0)</f>
        <v>828679</v>
      </c>
      <c r="F90" s="148">
        <f>IF($D90=0,0,(E90/$D90)*100)</f>
        <v>63.533743275771506</v>
      </c>
      <c r="G90" s="145">
        <f>E90</f>
        <v>828679</v>
      </c>
      <c r="H90" s="148">
        <f>IF($D90=0,0,(G90/$D90)*100)</f>
        <v>63.533743275771506</v>
      </c>
      <c r="I90" s="145">
        <f>E90-G90</f>
        <v>0</v>
      </c>
      <c r="J90" s="162">
        <f>IF(G90=0,0,(E90/G90)*100)</f>
        <v>100</v>
      </c>
      <c r="K90" s="127"/>
      <c r="L90" s="140">
        <f>$A90</f>
        <v>31647</v>
      </c>
      <c r="M90" s="130" t="str">
        <f>$B90</f>
        <v>Big Bend Amortizable Tools</v>
      </c>
      <c r="N90" s="130"/>
      <c r="O90" s="145">
        <f>VLOOKUP('Change in Plant &amp; Reserve'!$A90,'2019 B-9'!C:R,16,FALSE)</f>
        <v>828678.70000000193</v>
      </c>
      <c r="P90" s="130"/>
      <c r="Q90" s="145">
        <v>0</v>
      </c>
      <c r="R90" s="130"/>
      <c r="S90" s="145">
        <f>O90+Q90</f>
        <v>828678.70000000193</v>
      </c>
      <c r="T90" s="143"/>
    </row>
    <row r="91" spans="1:20" x14ac:dyDescent="0.2">
      <c r="A91" s="140"/>
      <c r="B91" s="130"/>
      <c r="C91" s="130"/>
      <c r="D91" s="145"/>
      <c r="E91" s="145"/>
      <c r="F91" s="148"/>
      <c r="G91" s="145"/>
      <c r="H91" s="148"/>
      <c r="I91" s="145"/>
      <c r="J91" s="162"/>
      <c r="K91" s="127"/>
      <c r="L91" s="140"/>
      <c r="M91" s="130"/>
      <c r="N91" s="130"/>
      <c r="O91" s="145"/>
      <c r="P91" s="130"/>
      <c r="Q91" s="145"/>
      <c r="R91" s="130"/>
      <c r="S91" s="145"/>
      <c r="T91" s="143"/>
    </row>
    <row r="92" spans="1:20" x14ac:dyDescent="0.2">
      <c r="A92" s="140">
        <v>31247</v>
      </c>
      <c r="B92" s="130" t="s">
        <v>168</v>
      </c>
      <c r="C92" s="130"/>
      <c r="D92" s="145">
        <f>VLOOKUP('Change in Plant &amp; Reserve'!$A92,'2019 B-7'!C:P,14,FALSE)</f>
        <v>21440068.73</v>
      </c>
      <c r="E92" s="145">
        <f>ROUND($S92,0)</f>
        <v>18159300</v>
      </c>
      <c r="F92" s="148">
        <f>IF($D92=0,0,(E92/$D92)*100)</f>
        <v>84.697956096524123</v>
      </c>
      <c r="G92" s="145">
        <f>E92</f>
        <v>18159300</v>
      </c>
      <c r="H92" s="148">
        <f>IF($D92=0,0,(G92/$D92)*100)</f>
        <v>84.697956096524123</v>
      </c>
      <c r="I92" s="145">
        <f>E92-G92</f>
        <v>0</v>
      </c>
      <c r="J92" s="162">
        <f>IF(G92=0,0,(E92/G92)*100)</f>
        <v>100</v>
      </c>
      <c r="K92" s="127"/>
      <c r="L92" s="140">
        <f>$A92</f>
        <v>31247</v>
      </c>
      <c r="M92" s="130" t="str">
        <f>$B92</f>
        <v>Big Bend Fuel Clause</v>
      </c>
      <c r="N92" s="130"/>
      <c r="O92" s="145">
        <f>VLOOKUP('Change in Plant &amp; Reserve'!$A92,'2019 B-9'!C:R,16,FALSE)</f>
        <v>18159300.239999995</v>
      </c>
      <c r="P92" s="130"/>
      <c r="Q92" s="145">
        <v>0</v>
      </c>
      <c r="R92" s="130"/>
      <c r="S92" s="145">
        <f>O92+Q92</f>
        <v>18159300.239999995</v>
      </c>
      <c r="T92" s="143"/>
    </row>
    <row r="93" spans="1:20" ht="13.5" thickBot="1" x14ac:dyDescent="0.25">
      <c r="A93" s="493"/>
      <c r="B93" s="493"/>
      <c r="C93" s="130"/>
      <c r="D93" s="182"/>
      <c r="E93" s="182"/>
      <c r="F93" s="183"/>
      <c r="G93" s="182"/>
      <c r="H93" s="183"/>
      <c r="I93" s="182"/>
      <c r="J93" s="184"/>
      <c r="K93" s="127"/>
      <c r="L93" s="493"/>
      <c r="M93" s="493"/>
      <c r="N93" s="130"/>
      <c r="O93" s="182"/>
      <c r="P93" s="130"/>
      <c r="Q93" s="182"/>
      <c r="R93" s="130"/>
      <c r="S93" s="182"/>
      <c r="T93" s="143"/>
    </row>
    <row r="94" spans="1:20" ht="19.5" customHeight="1" thickTop="1" thickBot="1" x14ac:dyDescent="0.25">
      <c r="A94" s="494"/>
      <c r="B94" s="384" t="s">
        <v>72</v>
      </c>
      <c r="C94" s="130"/>
      <c r="D94" s="186">
        <f>SUM(D24,D31,D38,D45,D52,D64,D58,D70,D76,D82,D88,D90,D92)</f>
        <v>2180333331.9299998</v>
      </c>
      <c r="E94" s="186">
        <f>SUM(E24,E31,E38,E45,E52,E64,E58,E70,E76,E82,E88,E90,E92)</f>
        <v>798266041</v>
      </c>
      <c r="F94" s="798">
        <f>IF($D94=0,0,(E94/$D94)*100)</f>
        <v>36.612110144341386</v>
      </c>
      <c r="G94" s="186">
        <f>SUM(G24,G31,G38,G45,G52,G64,G58,G70,G76,G82,G88,G90,G92)</f>
        <v>1026141153</v>
      </c>
      <c r="H94" s="798">
        <f>IF($D94=0,0,(G94/$D94)*100)</f>
        <v>47.06349886838975</v>
      </c>
      <c r="I94" s="186">
        <f>SUM(I24,I31,I38,I45,I52,I64,I58,I70,I76,I82,I88,I90,I92)</f>
        <v>-227875112</v>
      </c>
      <c r="J94" s="799">
        <f>IF(G94=0,0,(E94/G94)*100)</f>
        <v>77.793005247495415</v>
      </c>
      <c r="K94" s="127"/>
      <c r="L94" s="494"/>
      <c r="M94" s="384" t="s">
        <v>72</v>
      </c>
      <c r="N94" s="130"/>
      <c r="O94" s="186">
        <f>SUM(O24,O31,O38,O45,O52,O64,O58,O70,O76,O82,O88,O90,O92)</f>
        <v>798266040.94000006</v>
      </c>
      <c r="P94" s="130"/>
      <c r="Q94" s="186">
        <f>SUM(Q24,Q31,Q38,Q45,Q52,Q64,Q58,Q70,Q76,Q82,Q88,Q90,Q92)</f>
        <v>0</v>
      </c>
      <c r="R94" s="130"/>
      <c r="S94" s="186">
        <f>SUM(S24,S31,S38,S45,S52,S64,S58,S70,S76,S82,S88,S90,S92)</f>
        <v>798266040.94000006</v>
      </c>
      <c r="T94" s="143"/>
    </row>
    <row r="95" spans="1:20" ht="13.5" thickTop="1" x14ac:dyDescent="0.2">
      <c r="A95" s="140"/>
      <c r="B95" s="800"/>
      <c r="C95" s="130"/>
      <c r="D95" s="145"/>
      <c r="E95" s="145"/>
      <c r="F95" s="148"/>
      <c r="G95" s="145"/>
      <c r="H95" s="148"/>
      <c r="I95" s="145"/>
      <c r="J95" s="162"/>
      <c r="K95" s="127"/>
      <c r="L95" s="140"/>
      <c r="M95" s="800"/>
      <c r="N95" s="130"/>
      <c r="O95" s="145"/>
      <c r="P95" s="130"/>
      <c r="Q95" s="145"/>
      <c r="R95" s="130"/>
      <c r="S95" s="145"/>
      <c r="T95" s="143"/>
    </row>
    <row r="96" spans="1:20" ht="13.5" thickBot="1" x14ac:dyDescent="0.25">
      <c r="A96" s="187"/>
      <c r="B96" s="801"/>
      <c r="C96" s="130"/>
      <c r="D96" s="188"/>
      <c r="E96" s="188"/>
      <c r="F96" s="189"/>
      <c r="G96" s="188"/>
      <c r="H96" s="189"/>
      <c r="I96" s="188"/>
      <c r="J96" s="190"/>
      <c r="K96" s="127"/>
      <c r="L96" s="187"/>
      <c r="M96" s="801"/>
      <c r="N96" s="130"/>
      <c r="O96" s="188"/>
      <c r="P96" s="130"/>
      <c r="Q96" s="188"/>
      <c r="R96" s="130"/>
      <c r="S96" s="188"/>
      <c r="T96" s="143"/>
    </row>
    <row r="97" spans="1:20" ht="19.5" customHeight="1" thickTop="1" thickBot="1" x14ac:dyDescent="0.25">
      <c r="A97" s="802"/>
      <c r="B97" s="802" t="s">
        <v>68</v>
      </c>
      <c r="C97" s="130"/>
      <c r="D97" s="192">
        <f>D94</f>
        <v>2180333331.9299998</v>
      </c>
      <c r="E97" s="192">
        <f>E94</f>
        <v>798266041</v>
      </c>
      <c r="F97" s="803">
        <f>IF($D97=0,0,(E97/$D97)*100)</f>
        <v>36.612110144341386</v>
      </c>
      <c r="G97" s="192">
        <f>G94</f>
        <v>1026141153</v>
      </c>
      <c r="H97" s="803">
        <f>IF($D97=0,0,(G97/$D97)*100)</f>
        <v>47.06349886838975</v>
      </c>
      <c r="I97" s="192">
        <f>I94</f>
        <v>-227875112</v>
      </c>
      <c r="J97" s="804">
        <f>IF(G97=0,0,(E97/G97)*100)</f>
        <v>77.793005247495415</v>
      </c>
      <c r="K97" s="127"/>
      <c r="L97" s="802"/>
      <c r="M97" s="802" t="s">
        <v>68</v>
      </c>
      <c r="N97" s="130"/>
      <c r="O97" s="192">
        <f>O94</f>
        <v>798266040.94000006</v>
      </c>
      <c r="P97" s="130"/>
      <c r="Q97" s="192">
        <f>Q94</f>
        <v>0</v>
      </c>
      <c r="R97" s="130"/>
      <c r="S97" s="192">
        <f>S94</f>
        <v>798266040.94000006</v>
      </c>
      <c r="T97" s="143"/>
    </row>
    <row r="98" spans="1:20" ht="13.5" thickTop="1" x14ac:dyDescent="0.2">
      <c r="A98" s="140"/>
      <c r="B98" s="130"/>
      <c r="C98" s="130"/>
      <c r="D98" s="145"/>
      <c r="E98" s="145"/>
      <c r="F98" s="148"/>
      <c r="G98" s="145"/>
      <c r="H98" s="148"/>
      <c r="I98" s="145"/>
      <c r="J98" s="162"/>
      <c r="K98" s="127"/>
      <c r="L98" s="140"/>
      <c r="M98" s="130"/>
      <c r="N98" s="130"/>
      <c r="O98" s="145"/>
      <c r="P98" s="130"/>
      <c r="Q98" s="145"/>
      <c r="R98" s="130"/>
      <c r="S98" s="145"/>
      <c r="T98" s="143"/>
    </row>
    <row r="99" spans="1:20" x14ac:dyDescent="0.2">
      <c r="A99" s="140"/>
      <c r="B99" s="144" t="s">
        <v>63</v>
      </c>
      <c r="C99" s="130"/>
      <c r="D99" s="145"/>
      <c r="E99" s="145"/>
      <c r="F99" s="148"/>
      <c r="G99" s="145"/>
      <c r="H99" s="148"/>
      <c r="I99" s="145"/>
      <c r="J99" s="162"/>
      <c r="K99" s="127"/>
      <c r="L99" s="140"/>
      <c r="M99" s="144" t="s">
        <v>63</v>
      </c>
      <c r="N99" s="130"/>
      <c r="O99" s="145"/>
      <c r="P99" s="130"/>
      <c r="Q99" s="145"/>
      <c r="R99" s="130"/>
      <c r="S99" s="145"/>
      <c r="T99" s="143"/>
    </row>
    <row r="100" spans="1:20" x14ac:dyDescent="0.2">
      <c r="A100" s="140"/>
      <c r="B100" s="130"/>
      <c r="C100" s="130"/>
      <c r="D100" s="145"/>
      <c r="E100" s="145"/>
      <c r="F100" s="148"/>
      <c r="G100" s="145"/>
      <c r="H100" s="148"/>
      <c r="I100" s="145"/>
      <c r="J100" s="162"/>
      <c r="K100" s="127"/>
      <c r="L100" s="140"/>
      <c r="M100" s="130"/>
      <c r="N100" s="130"/>
      <c r="O100" s="145"/>
      <c r="P100" s="130"/>
      <c r="Q100" s="145"/>
      <c r="R100" s="130"/>
      <c r="S100" s="145"/>
      <c r="T100" s="143"/>
    </row>
    <row r="101" spans="1:20" x14ac:dyDescent="0.2">
      <c r="A101" s="140"/>
      <c r="B101" s="144" t="s">
        <v>59</v>
      </c>
      <c r="C101" s="130"/>
      <c r="D101" s="145"/>
      <c r="E101" s="145"/>
      <c r="F101" s="148"/>
      <c r="G101" s="145"/>
      <c r="H101" s="148"/>
      <c r="I101" s="145"/>
      <c r="J101" s="162"/>
      <c r="K101" s="127"/>
      <c r="L101" s="140"/>
      <c r="M101" s="144" t="s">
        <v>59</v>
      </c>
      <c r="N101" s="130"/>
      <c r="O101" s="145"/>
      <c r="P101" s="130"/>
      <c r="Q101" s="145"/>
      <c r="R101" s="130"/>
      <c r="S101" s="145"/>
      <c r="T101" s="143"/>
    </row>
    <row r="102" spans="1:20" x14ac:dyDescent="0.2">
      <c r="A102" s="140"/>
      <c r="B102" s="130"/>
      <c r="C102" s="130"/>
      <c r="D102" s="145"/>
      <c r="E102" s="145"/>
      <c r="F102" s="148"/>
      <c r="G102" s="145"/>
      <c r="H102" s="148"/>
      <c r="I102" s="145"/>
      <c r="J102" s="162"/>
      <c r="K102" s="127"/>
      <c r="L102" s="140"/>
      <c r="M102" s="130"/>
      <c r="N102" s="130"/>
      <c r="O102" s="145"/>
      <c r="P102" s="130"/>
      <c r="Q102" s="145"/>
      <c r="R102" s="130"/>
      <c r="S102" s="145"/>
      <c r="T102" s="143"/>
    </row>
    <row r="103" spans="1:20" x14ac:dyDescent="0.2">
      <c r="A103" s="140">
        <v>34144</v>
      </c>
      <c r="B103" s="130" t="s">
        <v>108</v>
      </c>
      <c r="C103" s="130"/>
      <c r="D103" s="145">
        <f>ROUND('Big Bend CT #4'!$F$16,0)</f>
        <v>3311083</v>
      </c>
      <c r="E103" s="145">
        <f>ROUND($S103,0)</f>
        <v>519031</v>
      </c>
      <c r="F103" s="148">
        <f t="shared" ref="F103:F108" si="15">IF($D103=0,0,(E103/$D103)*100)</f>
        <v>15.675565970409078</v>
      </c>
      <c r="G103" s="145">
        <f>ROUND('Big Bend CT #4'!$N$16,0)</f>
        <v>1055892</v>
      </c>
      <c r="H103" s="148">
        <f t="shared" ref="H103:H108" si="16">IF($D103=0,0,(G103/$D103)*100)</f>
        <v>31.889626445486265</v>
      </c>
      <c r="I103" s="145">
        <f>E103-G103</f>
        <v>-536861</v>
      </c>
      <c r="J103" s="162">
        <f t="shared" ref="J103:J108" si="17">IF(G103=0,0,(E103/G103)*100)</f>
        <v>49.15569016528206</v>
      </c>
      <c r="K103" s="127"/>
      <c r="L103" s="140">
        <f>$A103</f>
        <v>34144</v>
      </c>
      <c r="M103" s="130" t="str">
        <f>$B103</f>
        <v>BB CT No. 4</v>
      </c>
      <c r="N103" s="130"/>
      <c r="O103" s="145">
        <f>ROUND('Big Bend CT #4'!$Q$16,0)</f>
        <v>519031</v>
      </c>
      <c r="P103" s="130"/>
      <c r="Q103" s="145">
        <v>0</v>
      </c>
      <c r="R103" s="130"/>
      <c r="S103" s="145">
        <f>O103+Q103</f>
        <v>519031</v>
      </c>
      <c r="T103" s="143"/>
    </row>
    <row r="104" spans="1:20" x14ac:dyDescent="0.2">
      <c r="A104" s="140">
        <v>34244</v>
      </c>
      <c r="B104" s="130" t="s">
        <v>108</v>
      </c>
      <c r="C104" s="130"/>
      <c r="D104" s="145">
        <f>ROUND('Big Bend CT #4'!$F$22,0)</f>
        <v>2353181</v>
      </c>
      <c r="E104" s="145">
        <f>ROUND($S104,0)</f>
        <v>666345</v>
      </c>
      <c r="F104" s="148">
        <f t="shared" si="15"/>
        <v>28.316776312574344</v>
      </c>
      <c r="G104" s="145">
        <f>ROUND('Big Bend CT #4'!$N$22,0)</f>
        <v>649599</v>
      </c>
      <c r="H104" s="148">
        <f t="shared" si="16"/>
        <v>27.605143845713524</v>
      </c>
      <c r="I104" s="145">
        <f>E104-G104</f>
        <v>16746</v>
      </c>
      <c r="J104" s="162">
        <f t="shared" si="17"/>
        <v>102.57789805710908</v>
      </c>
      <c r="K104" s="127"/>
      <c r="L104" s="140">
        <f>$A104</f>
        <v>34244</v>
      </c>
      <c r="M104" s="130" t="str">
        <f>$B104</f>
        <v>BB CT No. 4</v>
      </c>
      <c r="N104" s="130"/>
      <c r="O104" s="145">
        <f>ROUND('Big Bend CT #4'!$Q$22,0)</f>
        <v>666345</v>
      </c>
      <c r="P104" s="130"/>
      <c r="Q104" s="145">
        <v>0</v>
      </c>
      <c r="R104" s="130"/>
      <c r="S104" s="145">
        <f>O104+Q104</f>
        <v>666345</v>
      </c>
      <c r="T104" s="143"/>
    </row>
    <row r="105" spans="1:20" x14ac:dyDescent="0.2">
      <c r="A105" s="140">
        <v>34344</v>
      </c>
      <c r="B105" s="130" t="s">
        <v>108</v>
      </c>
      <c r="C105" s="130"/>
      <c r="D105" s="145">
        <f>ROUND('Big Bend CT #4'!$F$28,0)</f>
        <v>19748806</v>
      </c>
      <c r="E105" s="145">
        <f>ROUND($S105,0)</f>
        <v>8162526</v>
      </c>
      <c r="F105" s="148">
        <f t="shared" si="15"/>
        <v>41.33174430899772</v>
      </c>
      <c r="G105" s="145">
        <f>ROUND('Big Bend CT #4'!$N$28,0)</f>
        <v>6812714</v>
      </c>
      <c r="H105" s="148">
        <f t="shared" si="16"/>
        <v>34.49683996085637</v>
      </c>
      <c r="I105" s="145">
        <f>E105-G105</f>
        <v>1349812</v>
      </c>
      <c r="J105" s="162">
        <f t="shared" si="17"/>
        <v>119.8131317416231</v>
      </c>
      <c r="K105" s="127"/>
      <c r="L105" s="140">
        <f>$A105</f>
        <v>34344</v>
      </c>
      <c r="M105" s="130" t="str">
        <f>$B105</f>
        <v>BB CT No. 4</v>
      </c>
      <c r="N105" s="130"/>
      <c r="O105" s="145">
        <f>ROUND('Big Bend CT #4'!$Q$28,0)</f>
        <v>8162526</v>
      </c>
      <c r="P105" s="130"/>
      <c r="Q105" s="145">
        <v>0</v>
      </c>
      <c r="R105" s="130"/>
      <c r="S105" s="145">
        <f>O105+Q105</f>
        <v>8162526</v>
      </c>
      <c r="T105" s="143"/>
    </row>
    <row r="106" spans="1:20" x14ac:dyDescent="0.2">
      <c r="A106" s="140">
        <v>34544</v>
      </c>
      <c r="B106" s="130" t="s">
        <v>108</v>
      </c>
      <c r="C106" s="130"/>
      <c r="D106" s="145">
        <f>ROUND('Big Bend CT #4'!$F$34,0)</f>
        <v>14918401</v>
      </c>
      <c r="E106" s="145">
        <f>ROUND($S106,0)</f>
        <v>5227799</v>
      </c>
      <c r="F106" s="148">
        <f t="shared" si="15"/>
        <v>35.042622865547052</v>
      </c>
      <c r="G106" s="145">
        <f>ROUND('Big Bend CT #4'!$N$34,0)</f>
        <v>4857993</v>
      </c>
      <c r="H106" s="148">
        <f t="shared" si="16"/>
        <v>32.563764709099857</v>
      </c>
      <c r="I106" s="145">
        <f>E106-G106</f>
        <v>369806</v>
      </c>
      <c r="J106" s="162">
        <f t="shared" si="17"/>
        <v>107.61232056118648</v>
      </c>
      <c r="K106" s="127"/>
      <c r="L106" s="140">
        <f>$A106</f>
        <v>34544</v>
      </c>
      <c r="M106" s="130" t="str">
        <f>$B106</f>
        <v>BB CT No. 4</v>
      </c>
      <c r="N106" s="130"/>
      <c r="O106" s="145">
        <f>ROUND('Big Bend CT #4'!$Q$34,0)</f>
        <v>5227799</v>
      </c>
      <c r="P106" s="130"/>
      <c r="Q106" s="145">
        <v>0</v>
      </c>
      <c r="R106" s="130"/>
      <c r="S106" s="145">
        <f>O106+Q106</f>
        <v>5227799</v>
      </c>
      <c r="T106" s="143"/>
    </row>
    <row r="107" spans="1:20" ht="15" x14ac:dyDescent="0.2">
      <c r="A107" s="140">
        <v>34644</v>
      </c>
      <c r="B107" s="168" t="s">
        <v>108</v>
      </c>
      <c r="C107" s="130"/>
      <c r="D107" s="172">
        <f>ROUND('Big Bend CT #4'!$F$40,0)</f>
        <v>510665</v>
      </c>
      <c r="E107" s="172">
        <f>ROUND($S107,0)</f>
        <v>167706</v>
      </c>
      <c r="F107" s="794">
        <f t="shared" si="15"/>
        <v>32.840707704659607</v>
      </c>
      <c r="G107" s="172">
        <f>ROUND('Big Bend CT #4'!$N$40,0)</f>
        <v>161769</v>
      </c>
      <c r="H107" s="794">
        <f t="shared" si="16"/>
        <v>31.678105999040469</v>
      </c>
      <c r="I107" s="171">
        <f>E107-G107</f>
        <v>5937</v>
      </c>
      <c r="J107" s="795">
        <f t="shared" si="17"/>
        <v>103.67004803145225</v>
      </c>
      <c r="K107" s="127"/>
      <c r="L107" s="140">
        <f>$A107</f>
        <v>34644</v>
      </c>
      <c r="M107" s="168" t="str">
        <f>$B107</f>
        <v>BB CT No. 4</v>
      </c>
      <c r="N107" s="130"/>
      <c r="O107" s="172">
        <f>ROUND('Big Bend CT #4'!$Q$40,0)</f>
        <v>167706</v>
      </c>
      <c r="P107" s="130"/>
      <c r="Q107" s="171">
        <v>0</v>
      </c>
      <c r="R107" s="130"/>
      <c r="S107" s="171">
        <f>O107+Q107</f>
        <v>167706</v>
      </c>
      <c r="T107" s="143"/>
    </row>
    <row r="108" spans="1:20" x14ac:dyDescent="0.2">
      <c r="A108" s="134"/>
      <c r="B108" s="128" t="s">
        <v>75</v>
      </c>
      <c r="C108" s="130"/>
      <c r="D108" s="173">
        <f>SUM(D103:D107)</f>
        <v>40842136</v>
      </c>
      <c r="E108" s="173">
        <f>SUM(E103:E107)</f>
        <v>14743407</v>
      </c>
      <c r="F108" s="796">
        <f t="shared" si="15"/>
        <v>36.098520900082207</v>
      </c>
      <c r="G108" s="173">
        <f>SUM(G103:G107)</f>
        <v>13537967</v>
      </c>
      <c r="H108" s="796">
        <f t="shared" si="16"/>
        <v>33.147059203759568</v>
      </c>
      <c r="I108" s="173">
        <f>SUM(I103:I107)</f>
        <v>1205440</v>
      </c>
      <c r="J108" s="797">
        <f t="shared" si="17"/>
        <v>108.90414343601222</v>
      </c>
      <c r="K108" s="127"/>
      <c r="L108" s="134"/>
      <c r="M108" s="128" t="s">
        <v>75</v>
      </c>
      <c r="N108" s="130"/>
      <c r="O108" s="173">
        <f>SUM(O103:O107)</f>
        <v>14743407</v>
      </c>
      <c r="P108" s="130"/>
      <c r="Q108" s="173">
        <f>SUM(Q103:Q107)</f>
        <v>0</v>
      </c>
      <c r="R108" s="130"/>
      <c r="S108" s="173">
        <f>SUM(S103:S107)</f>
        <v>14743407</v>
      </c>
      <c r="T108" s="143"/>
    </row>
    <row r="109" spans="1:20" x14ac:dyDescent="0.2">
      <c r="A109" s="140"/>
      <c r="B109" s="130"/>
      <c r="C109" s="130"/>
      <c r="D109" s="145"/>
      <c r="E109" s="145"/>
      <c r="F109" s="148"/>
      <c r="G109" s="145"/>
      <c r="H109" s="148"/>
      <c r="I109" s="145"/>
      <c r="J109" s="162"/>
      <c r="K109" s="127"/>
      <c r="L109" s="140"/>
      <c r="M109" s="130"/>
      <c r="N109" s="130"/>
      <c r="O109" s="145"/>
      <c r="P109" s="130"/>
      <c r="Q109" s="145"/>
      <c r="R109" s="130"/>
      <c r="S109" s="145"/>
      <c r="T109" s="143"/>
    </row>
    <row r="110" spans="1:20" x14ac:dyDescent="0.2">
      <c r="A110" s="140">
        <v>34145</v>
      </c>
      <c r="B110" s="130" t="s">
        <v>1116</v>
      </c>
      <c r="C110" s="130"/>
      <c r="D110" s="211">
        <v>0</v>
      </c>
      <c r="E110" s="145">
        <f>ROUND($S110,0)</f>
        <v>0</v>
      </c>
      <c r="F110" s="148">
        <f t="shared" ref="F110:F115" si="18">IF($D110=0,0,(E110/$D110)*100)</f>
        <v>0</v>
      </c>
      <c r="G110" s="211">
        <v>0</v>
      </c>
      <c r="H110" s="148">
        <f t="shared" ref="H110:H115" si="19">IF($D110=0,0,(G110/$D110)*100)</f>
        <v>0</v>
      </c>
      <c r="I110" s="145">
        <f>E110-G110</f>
        <v>0</v>
      </c>
      <c r="J110" s="162">
        <f t="shared" ref="J110:J115" si="20">IF(G110=0,0,(E110/G110)*100)</f>
        <v>0</v>
      </c>
      <c r="K110" s="127"/>
      <c r="L110" s="140">
        <f>$A110</f>
        <v>34145</v>
      </c>
      <c r="M110" s="130" t="str">
        <f>$B110</f>
        <v>BB CT No. 5</v>
      </c>
      <c r="N110" s="130"/>
      <c r="O110" s="211">
        <v>0</v>
      </c>
      <c r="P110" s="130"/>
      <c r="Q110" s="145">
        <v>0</v>
      </c>
      <c r="R110" s="130"/>
      <c r="S110" s="145">
        <f>O110+Q110</f>
        <v>0</v>
      </c>
      <c r="T110" s="143"/>
    </row>
    <row r="111" spans="1:20" x14ac:dyDescent="0.2">
      <c r="A111" s="140">
        <v>34245</v>
      </c>
      <c r="B111" s="130" t="s">
        <v>1116</v>
      </c>
      <c r="C111" s="130"/>
      <c r="D111" s="211">
        <v>0</v>
      </c>
      <c r="E111" s="145">
        <f>ROUND($S111,0)</f>
        <v>0</v>
      </c>
      <c r="F111" s="148">
        <f t="shared" si="18"/>
        <v>0</v>
      </c>
      <c r="G111" s="211">
        <v>0</v>
      </c>
      <c r="H111" s="148">
        <f t="shared" si="19"/>
        <v>0</v>
      </c>
      <c r="I111" s="145">
        <f>E111-G111</f>
        <v>0</v>
      </c>
      <c r="J111" s="162">
        <f t="shared" si="20"/>
        <v>0</v>
      </c>
      <c r="K111" s="127"/>
      <c r="L111" s="140">
        <f>$A111</f>
        <v>34245</v>
      </c>
      <c r="M111" s="130" t="str">
        <f>$B111</f>
        <v>BB CT No. 5</v>
      </c>
      <c r="N111" s="130"/>
      <c r="O111" s="211">
        <v>0</v>
      </c>
      <c r="P111" s="130"/>
      <c r="Q111" s="145">
        <v>0</v>
      </c>
      <c r="R111" s="130"/>
      <c r="S111" s="145">
        <f>O111+Q111</f>
        <v>0</v>
      </c>
      <c r="T111" s="143"/>
    </row>
    <row r="112" spans="1:20" x14ac:dyDescent="0.2">
      <c r="A112" s="140">
        <v>34345</v>
      </c>
      <c r="B112" s="130" t="s">
        <v>1116</v>
      </c>
      <c r="C112" s="130"/>
      <c r="D112" s="211">
        <v>0</v>
      </c>
      <c r="E112" s="145">
        <f>ROUND($S112,0)</f>
        <v>0</v>
      </c>
      <c r="F112" s="148">
        <f t="shared" si="18"/>
        <v>0</v>
      </c>
      <c r="G112" s="211">
        <v>0</v>
      </c>
      <c r="H112" s="148">
        <f t="shared" si="19"/>
        <v>0</v>
      </c>
      <c r="I112" s="145">
        <f>E112-G112</f>
        <v>0</v>
      </c>
      <c r="J112" s="162">
        <f t="shared" si="20"/>
        <v>0</v>
      </c>
      <c r="K112" s="127"/>
      <c r="L112" s="140">
        <f>$A112</f>
        <v>34345</v>
      </c>
      <c r="M112" s="130" t="str">
        <f>$B112</f>
        <v>BB CT No. 5</v>
      </c>
      <c r="N112" s="130"/>
      <c r="O112" s="211">
        <v>0</v>
      </c>
      <c r="P112" s="130"/>
      <c r="Q112" s="145">
        <v>0</v>
      </c>
      <c r="R112" s="130"/>
      <c r="S112" s="145">
        <f>O112+Q112</f>
        <v>0</v>
      </c>
      <c r="T112" s="143"/>
    </row>
    <row r="113" spans="1:20" x14ac:dyDescent="0.2">
      <c r="A113" s="140">
        <v>34545</v>
      </c>
      <c r="B113" s="130" t="s">
        <v>1116</v>
      </c>
      <c r="C113" s="130"/>
      <c r="D113" s="211">
        <v>0</v>
      </c>
      <c r="E113" s="145">
        <f>ROUND($S113,0)</f>
        <v>0</v>
      </c>
      <c r="F113" s="148">
        <f t="shared" si="18"/>
        <v>0</v>
      </c>
      <c r="G113" s="211">
        <v>0</v>
      </c>
      <c r="H113" s="148">
        <f t="shared" si="19"/>
        <v>0</v>
      </c>
      <c r="I113" s="145">
        <f>E113-G113</f>
        <v>0</v>
      </c>
      <c r="J113" s="162">
        <f t="shared" si="20"/>
        <v>0</v>
      </c>
      <c r="K113" s="127"/>
      <c r="L113" s="140">
        <f>$A113</f>
        <v>34545</v>
      </c>
      <c r="M113" s="130" t="str">
        <f>$B113</f>
        <v>BB CT No. 5</v>
      </c>
      <c r="N113" s="130"/>
      <c r="O113" s="211">
        <v>0</v>
      </c>
      <c r="P113" s="130"/>
      <c r="Q113" s="145">
        <v>0</v>
      </c>
      <c r="R113" s="130"/>
      <c r="S113" s="145">
        <f>O113+Q113</f>
        <v>0</v>
      </c>
      <c r="T113" s="143"/>
    </row>
    <row r="114" spans="1:20" ht="15" x14ac:dyDescent="0.2">
      <c r="A114" s="140">
        <v>34645</v>
      </c>
      <c r="B114" s="168" t="s">
        <v>1116</v>
      </c>
      <c r="C114" s="130"/>
      <c r="D114" s="783">
        <v>0</v>
      </c>
      <c r="E114" s="172">
        <f>ROUND($S114,0)</f>
        <v>0</v>
      </c>
      <c r="F114" s="794">
        <f t="shared" si="18"/>
        <v>0</v>
      </c>
      <c r="G114" s="783">
        <v>0</v>
      </c>
      <c r="H114" s="794">
        <f t="shared" si="19"/>
        <v>0</v>
      </c>
      <c r="I114" s="171">
        <f>E114-G114</f>
        <v>0</v>
      </c>
      <c r="J114" s="795">
        <f t="shared" si="20"/>
        <v>0</v>
      </c>
      <c r="K114" s="127"/>
      <c r="L114" s="140">
        <f>$A114</f>
        <v>34645</v>
      </c>
      <c r="M114" s="168" t="str">
        <f>$B114</f>
        <v>BB CT No. 5</v>
      </c>
      <c r="N114" s="130"/>
      <c r="O114" s="783">
        <v>0</v>
      </c>
      <c r="P114" s="130"/>
      <c r="Q114" s="171">
        <v>0</v>
      </c>
      <c r="R114" s="130"/>
      <c r="S114" s="171">
        <f>O114+Q114</f>
        <v>0</v>
      </c>
      <c r="T114" s="143"/>
    </row>
    <row r="115" spans="1:20" x14ac:dyDescent="0.2">
      <c r="A115" s="134"/>
      <c r="B115" s="128" t="s">
        <v>75</v>
      </c>
      <c r="C115" s="130"/>
      <c r="D115" s="173">
        <f>SUM(D110:D114)</f>
        <v>0</v>
      </c>
      <c r="E115" s="173">
        <f>SUM(E110:E114)</f>
        <v>0</v>
      </c>
      <c r="F115" s="796">
        <f t="shared" si="18"/>
        <v>0</v>
      </c>
      <c r="G115" s="173">
        <f>SUM(G110:G114)</f>
        <v>0</v>
      </c>
      <c r="H115" s="796">
        <f t="shared" si="19"/>
        <v>0</v>
      </c>
      <c r="I115" s="173">
        <f>SUM(I110:I114)</f>
        <v>0</v>
      </c>
      <c r="J115" s="797">
        <f t="shared" si="20"/>
        <v>0</v>
      </c>
      <c r="K115" s="127"/>
      <c r="L115" s="134"/>
      <c r="M115" s="128" t="s">
        <v>75</v>
      </c>
      <c r="N115" s="130"/>
      <c r="O115" s="173">
        <f>SUM(O110:O114)</f>
        <v>0</v>
      </c>
      <c r="P115" s="130"/>
      <c r="Q115" s="173">
        <f>SUM(Q110:Q114)</f>
        <v>0</v>
      </c>
      <c r="R115" s="130"/>
      <c r="S115" s="173">
        <f>SUM(S110:S114)</f>
        <v>0</v>
      </c>
      <c r="T115" s="143"/>
    </row>
    <row r="116" spans="1:20" x14ac:dyDescent="0.2">
      <c r="A116" s="140"/>
      <c r="B116" s="130"/>
      <c r="C116" s="130"/>
      <c r="D116" s="145"/>
      <c r="E116" s="145"/>
      <c r="F116" s="148"/>
      <c r="G116" s="145"/>
      <c r="H116" s="148"/>
      <c r="I116" s="145"/>
      <c r="J116" s="162"/>
      <c r="K116" s="127"/>
      <c r="L116" s="140"/>
      <c r="M116" s="130"/>
      <c r="N116" s="130"/>
      <c r="O116" s="145"/>
      <c r="P116" s="130"/>
      <c r="Q116" s="145"/>
      <c r="R116" s="130"/>
      <c r="S116" s="145"/>
      <c r="T116" s="143"/>
    </row>
    <row r="117" spans="1:20" x14ac:dyDescent="0.2">
      <c r="A117" s="140">
        <v>34146</v>
      </c>
      <c r="B117" s="130" t="s">
        <v>1117</v>
      </c>
      <c r="C117" s="130"/>
      <c r="D117" s="211">
        <v>0</v>
      </c>
      <c r="E117" s="145">
        <f>ROUND($S117,0)</f>
        <v>0</v>
      </c>
      <c r="F117" s="148">
        <f t="shared" ref="F117:F122" si="21">IF($D117=0,0,(E117/$D117)*100)</f>
        <v>0</v>
      </c>
      <c r="G117" s="211">
        <v>0</v>
      </c>
      <c r="H117" s="148">
        <f t="shared" ref="H117:H122" si="22">IF($D117=0,0,(G117/$D117)*100)</f>
        <v>0</v>
      </c>
      <c r="I117" s="145">
        <f>E117-G117</f>
        <v>0</v>
      </c>
      <c r="J117" s="162">
        <f t="shared" ref="J117:J122" si="23">IF(G117=0,0,(E117/G117)*100)</f>
        <v>0</v>
      </c>
      <c r="K117" s="127"/>
      <c r="L117" s="140">
        <f>$A117</f>
        <v>34146</v>
      </c>
      <c r="M117" s="130" t="str">
        <f>$B117</f>
        <v>BB CT No. 6</v>
      </c>
      <c r="N117" s="130"/>
      <c r="O117" s="211">
        <v>0</v>
      </c>
      <c r="P117" s="130"/>
      <c r="Q117" s="145">
        <v>0</v>
      </c>
      <c r="R117" s="130"/>
      <c r="S117" s="145">
        <f>O117+Q117</f>
        <v>0</v>
      </c>
      <c r="T117" s="143"/>
    </row>
    <row r="118" spans="1:20" x14ac:dyDescent="0.2">
      <c r="A118" s="140">
        <v>34246</v>
      </c>
      <c r="B118" s="130" t="s">
        <v>1117</v>
      </c>
      <c r="C118" s="130"/>
      <c r="D118" s="211">
        <v>0</v>
      </c>
      <c r="E118" s="145">
        <f>ROUND($S118,0)</f>
        <v>0</v>
      </c>
      <c r="F118" s="148">
        <f t="shared" si="21"/>
        <v>0</v>
      </c>
      <c r="G118" s="211">
        <v>0</v>
      </c>
      <c r="H118" s="148">
        <f t="shared" si="22"/>
        <v>0</v>
      </c>
      <c r="I118" s="145">
        <f>E118-G118</f>
        <v>0</v>
      </c>
      <c r="J118" s="162">
        <f t="shared" si="23"/>
        <v>0</v>
      </c>
      <c r="K118" s="127"/>
      <c r="L118" s="140">
        <f>$A118</f>
        <v>34246</v>
      </c>
      <c r="M118" s="130" t="str">
        <f>$B118</f>
        <v>BB CT No. 6</v>
      </c>
      <c r="N118" s="130"/>
      <c r="O118" s="211">
        <v>0</v>
      </c>
      <c r="P118" s="130"/>
      <c r="Q118" s="145">
        <v>0</v>
      </c>
      <c r="R118" s="130"/>
      <c r="S118" s="145">
        <f>O118+Q118</f>
        <v>0</v>
      </c>
      <c r="T118" s="143"/>
    </row>
    <row r="119" spans="1:20" x14ac:dyDescent="0.2">
      <c r="A119" s="140">
        <v>34346</v>
      </c>
      <c r="B119" s="130" t="s">
        <v>1117</v>
      </c>
      <c r="C119" s="130"/>
      <c r="D119" s="211">
        <v>0</v>
      </c>
      <c r="E119" s="145">
        <f>ROUND($S119,0)</f>
        <v>0</v>
      </c>
      <c r="F119" s="148">
        <f t="shared" si="21"/>
        <v>0</v>
      </c>
      <c r="G119" s="211">
        <v>0</v>
      </c>
      <c r="H119" s="148">
        <f t="shared" si="22"/>
        <v>0</v>
      </c>
      <c r="I119" s="145">
        <f>E119-G119</f>
        <v>0</v>
      </c>
      <c r="J119" s="162">
        <f t="shared" si="23"/>
        <v>0</v>
      </c>
      <c r="K119" s="127"/>
      <c r="L119" s="140">
        <f>$A119</f>
        <v>34346</v>
      </c>
      <c r="M119" s="130" t="str">
        <f>$B119</f>
        <v>BB CT No. 6</v>
      </c>
      <c r="N119" s="130"/>
      <c r="O119" s="211">
        <v>0</v>
      </c>
      <c r="P119" s="130"/>
      <c r="Q119" s="145">
        <v>0</v>
      </c>
      <c r="R119" s="130"/>
      <c r="S119" s="145">
        <f>O119+Q119</f>
        <v>0</v>
      </c>
      <c r="T119" s="143"/>
    </row>
    <row r="120" spans="1:20" x14ac:dyDescent="0.2">
      <c r="A120" s="140">
        <v>34546</v>
      </c>
      <c r="B120" s="130" t="s">
        <v>1117</v>
      </c>
      <c r="C120" s="130"/>
      <c r="D120" s="211">
        <v>0</v>
      </c>
      <c r="E120" s="145">
        <f>ROUND($S120,0)</f>
        <v>0</v>
      </c>
      <c r="F120" s="148">
        <f t="shared" si="21"/>
        <v>0</v>
      </c>
      <c r="G120" s="211">
        <v>0</v>
      </c>
      <c r="H120" s="148">
        <f t="shared" si="22"/>
        <v>0</v>
      </c>
      <c r="I120" s="145">
        <f>E120-G120</f>
        <v>0</v>
      </c>
      <c r="J120" s="162">
        <f t="shared" si="23"/>
        <v>0</v>
      </c>
      <c r="K120" s="127"/>
      <c r="L120" s="140">
        <f>$A120</f>
        <v>34546</v>
      </c>
      <c r="M120" s="130" t="str">
        <f>$B120</f>
        <v>BB CT No. 6</v>
      </c>
      <c r="N120" s="130"/>
      <c r="O120" s="211">
        <v>0</v>
      </c>
      <c r="P120" s="130"/>
      <c r="Q120" s="145">
        <v>0</v>
      </c>
      <c r="R120" s="130"/>
      <c r="S120" s="145">
        <f>O120+Q120</f>
        <v>0</v>
      </c>
      <c r="T120" s="143"/>
    </row>
    <row r="121" spans="1:20" ht="15" x14ac:dyDescent="0.2">
      <c r="A121" s="140">
        <v>34646</v>
      </c>
      <c r="B121" s="168" t="s">
        <v>1117</v>
      </c>
      <c r="C121" s="130"/>
      <c r="D121" s="783">
        <v>0</v>
      </c>
      <c r="E121" s="172">
        <f>ROUND($S121,0)</f>
        <v>0</v>
      </c>
      <c r="F121" s="794">
        <f t="shared" si="21"/>
        <v>0</v>
      </c>
      <c r="G121" s="783">
        <v>0</v>
      </c>
      <c r="H121" s="794">
        <f t="shared" si="22"/>
        <v>0</v>
      </c>
      <c r="I121" s="171">
        <f>E121-G121</f>
        <v>0</v>
      </c>
      <c r="J121" s="795">
        <f t="shared" si="23"/>
        <v>0</v>
      </c>
      <c r="K121" s="127"/>
      <c r="L121" s="140">
        <f>$A121</f>
        <v>34646</v>
      </c>
      <c r="M121" s="168" t="str">
        <f>$B121</f>
        <v>BB CT No. 6</v>
      </c>
      <c r="N121" s="130"/>
      <c r="O121" s="783">
        <v>0</v>
      </c>
      <c r="P121" s="130"/>
      <c r="Q121" s="171">
        <v>0</v>
      </c>
      <c r="R121" s="130"/>
      <c r="S121" s="171">
        <f>O121+Q121</f>
        <v>0</v>
      </c>
      <c r="T121" s="143"/>
    </row>
    <row r="122" spans="1:20" x14ac:dyDescent="0.2">
      <c r="A122" s="134"/>
      <c r="B122" s="128" t="s">
        <v>75</v>
      </c>
      <c r="C122" s="130"/>
      <c r="D122" s="173">
        <f>SUM(D117:D121)</f>
        <v>0</v>
      </c>
      <c r="E122" s="173">
        <f>SUM(E117:E121)</f>
        <v>0</v>
      </c>
      <c r="F122" s="796">
        <f t="shared" si="21"/>
        <v>0</v>
      </c>
      <c r="G122" s="173">
        <f>SUM(G117:G121)</f>
        <v>0</v>
      </c>
      <c r="H122" s="796">
        <f t="shared" si="22"/>
        <v>0</v>
      </c>
      <c r="I122" s="173">
        <f>SUM(I117:I121)</f>
        <v>0</v>
      </c>
      <c r="J122" s="797">
        <f t="shared" si="23"/>
        <v>0</v>
      </c>
      <c r="K122" s="127"/>
      <c r="L122" s="134"/>
      <c r="M122" s="128" t="s">
        <v>75</v>
      </c>
      <c r="N122" s="130"/>
      <c r="O122" s="173">
        <f>SUM(O117:O121)</f>
        <v>0</v>
      </c>
      <c r="P122" s="130"/>
      <c r="Q122" s="173">
        <f>SUM(Q117:Q121)</f>
        <v>0</v>
      </c>
      <c r="R122" s="130"/>
      <c r="S122" s="173">
        <f>SUM(S117:S121)</f>
        <v>0</v>
      </c>
      <c r="T122" s="143"/>
    </row>
    <row r="123" spans="1:20" x14ac:dyDescent="0.2">
      <c r="A123" s="140"/>
      <c r="B123" s="130"/>
      <c r="C123" s="130"/>
      <c r="D123" s="145"/>
      <c r="E123" s="145"/>
      <c r="F123" s="148"/>
      <c r="G123" s="145"/>
      <c r="H123" s="148"/>
      <c r="I123" s="145"/>
      <c r="J123" s="162"/>
      <c r="K123" s="127"/>
      <c r="L123" s="140"/>
      <c r="M123" s="130"/>
      <c r="N123" s="130"/>
      <c r="O123" s="145"/>
      <c r="P123" s="130"/>
      <c r="Q123" s="145"/>
      <c r="R123" s="130"/>
      <c r="S123" s="145"/>
      <c r="T123" s="143"/>
    </row>
    <row r="124" spans="1:20" x14ac:dyDescent="0.2">
      <c r="A124" s="140">
        <v>34143</v>
      </c>
      <c r="B124" s="130" t="s">
        <v>1164</v>
      </c>
      <c r="C124" s="130"/>
      <c r="D124" s="211">
        <v>0</v>
      </c>
      <c r="E124" s="145">
        <f>ROUND($S124,0)</f>
        <v>0</v>
      </c>
      <c r="F124" s="148">
        <f t="shared" ref="F124:F129" si="24">IF($D124=0,0,(E124/$D124)*100)</f>
        <v>0</v>
      </c>
      <c r="G124" s="211">
        <v>0</v>
      </c>
      <c r="H124" s="148">
        <f t="shared" ref="H124:H129" si="25">IF($D124=0,0,(G124/$D124)*100)</f>
        <v>0</v>
      </c>
      <c r="I124" s="145">
        <f>E124-G124</f>
        <v>0</v>
      </c>
      <c r="J124" s="162">
        <f t="shared" ref="J124:J129" si="26">IF(G124=0,0,(E124/G124)*100)</f>
        <v>0</v>
      </c>
      <c r="K124" s="127"/>
      <c r="L124" s="140">
        <f>$A124</f>
        <v>34143</v>
      </c>
      <c r="M124" s="130" t="str">
        <f>$B124</f>
        <v>BB CCST for CT 5-6</v>
      </c>
      <c r="N124" s="130"/>
      <c r="O124" s="211">
        <v>0</v>
      </c>
      <c r="P124" s="130"/>
      <c r="Q124" s="145">
        <v>0</v>
      </c>
      <c r="R124" s="130"/>
      <c r="S124" s="145">
        <f>O124+Q124</f>
        <v>0</v>
      </c>
      <c r="T124" s="143"/>
    </row>
    <row r="125" spans="1:20" x14ac:dyDescent="0.2">
      <c r="A125" s="140">
        <v>34243</v>
      </c>
      <c r="B125" s="130" t="s">
        <v>1164</v>
      </c>
      <c r="C125" s="130"/>
      <c r="D125" s="211">
        <v>0</v>
      </c>
      <c r="E125" s="145">
        <f>ROUND($S125,0)</f>
        <v>0</v>
      </c>
      <c r="F125" s="148">
        <f t="shared" si="24"/>
        <v>0</v>
      </c>
      <c r="G125" s="211">
        <v>0</v>
      </c>
      <c r="H125" s="148">
        <f t="shared" si="25"/>
        <v>0</v>
      </c>
      <c r="I125" s="145">
        <f>E125-G125</f>
        <v>0</v>
      </c>
      <c r="J125" s="162">
        <f t="shared" si="26"/>
        <v>0</v>
      </c>
      <c r="K125" s="127"/>
      <c r="L125" s="140">
        <f>$A125</f>
        <v>34243</v>
      </c>
      <c r="M125" s="130" t="str">
        <f>$B125</f>
        <v>BB CCST for CT 5-6</v>
      </c>
      <c r="N125" s="130"/>
      <c r="O125" s="211">
        <v>0</v>
      </c>
      <c r="P125" s="130"/>
      <c r="Q125" s="145">
        <v>0</v>
      </c>
      <c r="R125" s="130"/>
      <c r="S125" s="145">
        <f>O125+Q125</f>
        <v>0</v>
      </c>
      <c r="T125" s="143"/>
    </row>
    <row r="126" spans="1:20" x14ac:dyDescent="0.2">
      <c r="A126" s="140">
        <v>34343</v>
      </c>
      <c r="B126" s="130" t="s">
        <v>1164</v>
      </c>
      <c r="C126" s="130"/>
      <c r="D126" s="211">
        <v>0</v>
      </c>
      <c r="E126" s="145">
        <f>ROUND($S126,0)</f>
        <v>0</v>
      </c>
      <c r="F126" s="148">
        <f t="shared" si="24"/>
        <v>0</v>
      </c>
      <c r="G126" s="211">
        <v>0</v>
      </c>
      <c r="H126" s="148">
        <f t="shared" si="25"/>
        <v>0</v>
      </c>
      <c r="I126" s="145">
        <f>E126-G126</f>
        <v>0</v>
      </c>
      <c r="J126" s="162">
        <f t="shared" si="26"/>
        <v>0</v>
      </c>
      <c r="K126" s="127"/>
      <c r="L126" s="140">
        <f>$A126</f>
        <v>34343</v>
      </c>
      <c r="M126" s="130" t="str">
        <f>$B126</f>
        <v>BB CCST for CT 5-6</v>
      </c>
      <c r="N126" s="130"/>
      <c r="O126" s="211">
        <v>0</v>
      </c>
      <c r="P126" s="130"/>
      <c r="Q126" s="145">
        <v>0</v>
      </c>
      <c r="R126" s="130"/>
      <c r="S126" s="145">
        <f>O126+Q126</f>
        <v>0</v>
      </c>
      <c r="T126" s="143"/>
    </row>
    <row r="127" spans="1:20" x14ac:dyDescent="0.2">
      <c r="A127" s="140">
        <v>34543</v>
      </c>
      <c r="B127" s="130" t="s">
        <v>1164</v>
      </c>
      <c r="C127" s="130"/>
      <c r="D127" s="211">
        <v>0</v>
      </c>
      <c r="E127" s="145">
        <f>ROUND($S127,0)</f>
        <v>0</v>
      </c>
      <c r="F127" s="148">
        <f t="shared" si="24"/>
        <v>0</v>
      </c>
      <c r="G127" s="211">
        <v>0</v>
      </c>
      <c r="H127" s="148">
        <f t="shared" si="25"/>
        <v>0</v>
      </c>
      <c r="I127" s="145">
        <f>E127-G127</f>
        <v>0</v>
      </c>
      <c r="J127" s="162">
        <f t="shared" si="26"/>
        <v>0</v>
      </c>
      <c r="K127" s="127"/>
      <c r="L127" s="140">
        <f>$A127</f>
        <v>34543</v>
      </c>
      <c r="M127" s="130" t="str">
        <f>$B127</f>
        <v>BB CCST for CT 5-6</v>
      </c>
      <c r="N127" s="130"/>
      <c r="O127" s="211">
        <v>0</v>
      </c>
      <c r="P127" s="130"/>
      <c r="Q127" s="145">
        <v>0</v>
      </c>
      <c r="R127" s="130"/>
      <c r="S127" s="145">
        <f>O127+Q127</f>
        <v>0</v>
      </c>
      <c r="T127" s="143"/>
    </row>
    <row r="128" spans="1:20" ht="15" x14ac:dyDescent="0.2">
      <c r="A128" s="140">
        <v>34643</v>
      </c>
      <c r="B128" s="168" t="s">
        <v>1164</v>
      </c>
      <c r="C128" s="130"/>
      <c r="D128" s="783">
        <v>0</v>
      </c>
      <c r="E128" s="172">
        <f>ROUND($S128,0)</f>
        <v>0</v>
      </c>
      <c r="F128" s="794">
        <f t="shared" si="24"/>
        <v>0</v>
      </c>
      <c r="G128" s="783">
        <v>0</v>
      </c>
      <c r="H128" s="794">
        <f t="shared" si="25"/>
        <v>0</v>
      </c>
      <c r="I128" s="171">
        <f>E128-G128</f>
        <v>0</v>
      </c>
      <c r="J128" s="795">
        <f t="shared" si="26"/>
        <v>0</v>
      </c>
      <c r="K128" s="127"/>
      <c r="L128" s="140">
        <f>$A128</f>
        <v>34643</v>
      </c>
      <c r="M128" s="168" t="str">
        <f>$B128</f>
        <v>BB CCST for CT 5-6</v>
      </c>
      <c r="N128" s="130"/>
      <c r="O128" s="783">
        <v>0</v>
      </c>
      <c r="P128" s="130"/>
      <c r="Q128" s="171">
        <v>0</v>
      </c>
      <c r="R128" s="130"/>
      <c r="S128" s="171">
        <f>O128+Q128</f>
        <v>0</v>
      </c>
      <c r="T128" s="143"/>
    </row>
    <row r="129" spans="1:20" x14ac:dyDescent="0.2">
      <c r="A129" s="134"/>
      <c r="B129" s="128" t="s">
        <v>75</v>
      </c>
      <c r="C129" s="130"/>
      <c r="D129" s="173">
        <f>SUM(D124:D128)</f>
        <v>0</v>
      </c>
      <c r="E129" s="173">
        <f>SUM(E124:E128)</f>
        <v>0</v>
      </c>
      <c r="F129" s="796">
        <f t="shared" si="24"/>
        <v>0</v>
      </c>
      <c r="G129" s="173">
        <f>SUM(G124:G128)</f>
        <v>0</v>
      </c>
      <c r="H129" s="796">
        <f t="shared" si="25"/>
        <v>0</v>
      </c>
      <c r="I129" s="173">
        <f>SUM(I124:I128)</f>
        <v>0</v>
      </c>
      <c r="J129" s="797">
        <f t="shared" si="26"/>
        <v>0</v>
      </c>
      <c r="K129" s="127"/>
      <c r="L129" s="134"/>
      <c r="M129" s="128" t="s">
        <v>75</v>
      </c>
      <c r="N129" s="130"/>
      <c r="O129" s="173">
        <f>SUM(O124:O128)</f>
        <v>0</v>
      </c>
      <c r="P129" s="130"/>
      <c r="Q129" s="173">
        <f>SUM(Q124:Q128)</f>
        <v>0</v>
      </c>
      <c r="R129" s="130"/>
      <c r="S129" s="173">
        <f>SUM(S124:S128)</f>
        <v>0</v>
      </c>
      <c r="T129" s="143"/>
    </row>
    <row r="130" spans="1:20" ht="13.5" thickBot="1" x14ac:dyDescent="0.25">
      <c r="A130" s="493"/>
      <c r="B130" s="493"/>
      <c r="C130" s="130"/>
      <c r="D130" s="182"/>
      <c r="E130" s="182"/>
      <c r="F130" s="183"/>
      <c r="G130" s="182"/>
      <c r="H130" s="183"/>
      <c r="I130" s="182"/>
      <c r="J130" s="184"/>
      <c r="K130" s="127"/>
      <c r="L130" s="493"/>
      <c r="M130" s="493"/>
      <c r="N130" s="130"/>
      <c r="O130" s="182"/>
      <c r="P130" s="130"/>
      <c r="Q130" s="182"/>
      <c r="R130" s="130"/>
      <c r="S130" s="182"/>
      <c r="T130" s="143"/>
    </row>
    <row r="131" spans="1:20" ht="19.5" customHeight="1" thickTop="1" thickBot="1" x14ac:dyDescent="0.25">
      <c r="A131" s="494"/>
      <c r="B131" s="384" t="s">
        <v>72</v>
      </c>
      <c r="C131" s="130"/>
      <c r="D131" s="196">
        <f>SUM(D108,D115,D122,D129)</f>
        <v>40842136</v>
      </c>
      <c r="E131" s="196">
        <f>SUM(E108,E115,E122,E129)</f>
        <v>14743407</v>
      </c>
      <c r="F131" s="798">
        <f>IF($D131=0,0,(E131/$D131)*100)</f>
        <v>36.098520900082207</v>
      </c>
      <c r="G131" s="196">
        <f>SUM(G108,G115,G122,G129)</f>
        <v>13537967</v>
      </c>
      <c r="H131" s="798">
        <f>IF($D131=0,0,(G131/$D131)*100)</f>
        <v>33.147059203759568</v>
      </c>
      <c r="I131" s="196">
        <f>SUM(I108,I115,I122,I129)</f>
        <v>1205440</v>
      </c>
      <c r="J131" s="799">
        <f>IF(G131=0,0,(E131/G131)*100)</f>
        <v>108.90414343601222</v>
      </c>
      <c r="K131" s="127"/>
      <c r="L131" s="494"/>
      <c r="M131" s="384" t="s">
        <v>72</v>
      </c>
      <c r="N131" s="130"/>
      <c r="O131" s="196">
        <f>SUM(O108,O115,O122,O129)</f>
        <v>14743407</v>
      </c>
      <c r="P131" s="130"/>
      <c r="Q131" s="196">
        <f>SUM(Q108,Q115,Q122,Q129)</f>
        <v>0</v>
      </c>
      <c r="R131" s="130"/>
      <c r="S131" s="196">
        <f>SUM(S108,S115,S122,S129)</f>
        <v>14743407</v>
      </c>
      <c r="T131" s="143"/>
    </row>
    <row r="132" spans="1:20" ht="13.5" thickTop="1" x14ac:dyDescent="0.2">
      <c r="A132" s="134"/>
      <c r="B132" s="805"/>
      <c r="C132" s="130"/>
      <c r="D132" s="145"/>
      <c r="E132" s="145"/>
      <c r="F132" s="148"/>
      <c r="G132" s="145"/>
      <c r="H132" s="148"/>
      <c r="I132" s="145"/>
      <c r="J132" s="162"/>
      <c r="K132" s="127"/>
      <c r="L132" s="134"/>
      <c r="M132" s="805"/>
      <c r="N132" s="130"/>
      <c r="O132" s="145"/>
      <c r="P132" s="130"/>
      <c r="Q132" s="145"/>
      <c r="R132" s="130"/>
      <c r="S132" s="145"/>
      <c r="T132" s="143"/>
    </row>
    <row r="133" spans="1:20" x14ac:dyDescent="0.2">
      <c r="A133" s="134"/>
      <c r="B133" s="144" t="s">
        <v>62</v>
      </c>
      <c r="C133" s="130"/>
      <c r="D133" s="145"/>
      <c r="E133" s="145"/>
      <c r="F133" s="148"/>
      <c r="G133" s="145"/>
      <c r="H133" s="148"/>
      <c r="I133" s="145"/>
      <c r="J133" s="162"/>
      <c r="K133" s="127"/>
      <c r="L133" s="134"/>
      <c r="M133" s="144" t="s">
        <v>62</v>
      </c>
      <c r="N133" s="130"/>
      <c r="O133" s="145"/>
      <c r="P133" s="130"/>
      <c r="Q133" s="145"/>
      <c r="R133" s="130"/>
      <c r="S133" s="145"/>
      <c r="T133" s="143"/>
    </row>
    <row r="134" spans="1:20" x14ac:dyDescent="0.2">
      <c r="A134" s="134"/>
      <c r="B134" s="130"/>
      <c r="C134" s="130"/>
      <c r="D134" s="145"/>
      <c r="E134" s="145"/>
      <c r="F134" s="148"/>
      <c r="G134" s="145"/>
      <c r="H134" s="148"/>
      <c r="I134" s="145"/>
      <c r="J134" s="162"/>
      <c r="K134" s="127"/>
      <c r="L134" s="134"/>
      <c r="M134" s="130"/>
      <c r="N134" s="130"/>
      <c r="O134" s="145"/>
      <c r="P134" s="130"/>
      <c r="Q134" s="145"/>
      <c r="R134" s="130"/>
      <c r="S134" s="145"/>
      <c r="T134" s="143"/>
    </row>
    <row r="135" spans="1:20" x14ac:dyDescent="0.2">
      <c r="A135" s="140">
        <v>34130</v>
      </c>
      <c r="B135" s="130" t="s">
        <v>109</v>
      </c>
      <c r="C135" s="130"/>
      <c r="D135" s="198">
        <f>ROUND('Bayside Common'!$F$17,0)</f>
        <v>81547564</v>
      </c>
      <c r="E135" s="145">
        <f>ROUND($S135,0)</f>
        <v>19408920</v>
      </c>
      <c r="F135" s="148">
        <f t="shared" ref="F135:F140" si="27">IF($D135=0,0,(E135/$D135)*100)</f>
        <v>23.800735482423484</v>
      </c>
      <c r="G135" s="145">
        <f>ROUND('Bayside Common'!$N$17,0)</f>
        <v>34172292</v>
      </c>
      <c r="H135" s="148">
        <f t="shared" ref="H135:H140" si="28">IF($D135=0,0,(G135/$D135)*100)</f>
        <v>41.904736725182865</v>
      </c>
      <c r="I135" s="145">
        <f>E135-G135</f>
        <v>-14763372</v>
      </c>
      <c r="J135" s="162">
        <f t="shared" ref="J135:J140" si="29">IF(G135=0,0,(E135/G135)*100)</f>
        <v>56.797243802083862</v>
      </c>
      <c r="K135" s="127"/>
      <c r="L135" s="140">
        <f>$A135</f>
        <v>34130</v>
      </c>
      <c r="M135" s="130" t="str">
        <f>$B135</f>
        <v>BP Common</v>
      </c>
      <c r="N135" s="130"/>
      <c r="O135" s="198">
        <f>ROUND('Bayside Common'!$Q$17,0)</f>
        <v>19408920</v>
      </c>
      <c r="P135" s="130"/>
      <c r="Q135" s="145">
        <v>0</v>
      </c>
      <c r="R135" s="130"/>
      <c r="S135" s="145">
        <f>O135+Q135</f>
        <v>19408920</v>
      </c>
      <c r="T135" s="143"/>
    </row>
    <row r="136" spans="1:20" x14ac:dyDescent="0.2">
      <c r="A136" s="140">
        <v>34230</v>
      </c>
      <c r="B136" s="130" t="s">
        <v>109</v>
      </c>
      <c r="C136" s="130"/>
      <c r="D136" s="198">
        <f>ROUND('Bayside Common'!$F$24,0)</f>
        <v>22466368</v>
      </c>
      <c r="E136" s="145">
        <f>ROUND($S136,0)</f>
        <v>6639604</v>
      </c>
      <c r="F136" s="148">
        <f t="shared" si="27"/>
        <v>29.553526408897067</v>
      </c>
      <c r="G136" s="145">
        <f>ROUND('Bayside Common'!$N$24,0)</f>
        <v>8535494</v>
      </c>
      <c r="H136" s="148">
        <f t="shared" si="28"/>
        <v>37.992318117463405</v>
      </c>
      <c r="I136" s="145">
        <f>E136-G136</f>
        <v>-1895890</v>
      </c>
      <c r="J136" s="162">
        <f t="shared" si="29"/>
        <v>77.788163168997599</v>
      </c>
      <c r="K136" s="127"/>
      <c r="L136" s="140">
        <f>$A136</f>
        <v>34230</v>
      </c>
      <c r="M136" s="130" t="str">
        <f>$B136</f>
        <v>BP Common</v>
      </c>
      <c r="N136" s="130"/>
      <c r="O136" s="198">
        <f>ROUND('Bayside Common'!$Q$24,0)</f>
        <v>6639604</v>
      </c>
      <c r="P136" s="130"/>
      <c r="Q136" s="145">
        <v>0</v>
      </c>
      <c r="R136" s="130"/>
      <c r="S136" s="145">
        <f>O136+Q136</f>
        <v>6639604</v>
      </c>
      <c r="T136" s="143"/>
    </row>
    <row r="137" spans="1:20" x14ac:dyDescent="0.2">
      <c r="A137" s="140">
        <v>34330</v>
      </c>
      <c r="B137" s="130" t="s">
        <v>109</v>
      </c>
      <c r="C137" s="130"/>
      <c r="D137" s="198">
        <f>ROUND('Bayside Common'!$F$31,0)</f>
        <v>35297617</v>
      </c>
      <c r="E137" s="145">
        <f>ROUND($S137,0)</f>
        <v>12106612</v>
      </c>
      <c r="F137" s="148">
        <f t="shared" si="27"/>
        <v>34.29866667769668</v>
      </c>
      <c r="G137" s="145">
        <f>ROUND('Bayside Common'!$N$31,0)</f>
        <v>23902291</v>
      </c>
      <c r="H137" s="148">
        <f t="shared" si="28"/>
        <v>67.716443860785276</v>
      </c>
      <c r="I137" s="145">
        <f>E137-G137</f>
        <v>-11795679</v>
      </c>
      <c r="J137" s="162">
        <f t="shared" si="29"/>
        <v>50.650425099418293</v>
      </c>
      <c r="K137" s="127"/>
      <c r="L137" s="140">
        <f>$A137</f>
        <v>34330</v>
      </c>
      <c r="M137" s="130" t="str">
        <f>$B137</f>
        <v>BP Common</v>
      </c>
      <c r="N137" s="130"/>
      <c r="O137" s="198">
        <f>ROUND('Bayside Common'!$Q$31,0)</f>
        <v>12106612</v>
      </c>
      <c r="P137" s="130"/>
      <c r="Q137" s="145">
        <v>0</v>
      </c>
      <c r="R137" s="130"/>
      <c r="S137" s="145">
        <f>O137+Q137</f>
        <v>12106612</v>
      </c>
      <c r="T137" s="143"/>
    </row>
    <row r="138" spans="1:20" x14ac:dyDescent="0.2">
      <c r="A138" s="140">
        <v>34530</v>
      </c>
      <c r="B138" s="130" t="s">
        <v>109</v>
      </c>
      <c r="C138" s="130"/>
      <c r="D138" s="198">
        <f>ROUND('Bayside Common'!$F$38,0)</f>
        <v>28880280</v>
      </c>
      <c r="E138" s="145">
        <f>ROUND($S138,0)</f>
        <v>11452844</v>
      </c>
      <c r="F138" s="148">
        <f t="shared" si="27"/>
        <v>39.656277570716078</v>
      </c>
      <c r="G138" s="145">
        <f>ROUND('Bayside Common'!$N$38,0)</f>
        <v>11168937</v>
      </c>
      <c r="H138" s="148">
        <f t="shared" si="28"/>
        <v>38.673229622427485</v>
      </c>
      <c r="I138" s="145">
        <f>E138-G138</f>
        <v>283907</v>
      </c>
      <c r="J138" s="162">
        <f t="shared" si="29"/>
        <v>102.5419339369539</v>
      </c>
      <c r="K138" s="127"/>
      <c r="L138" s="140">
        <f>$A138</f>
        <v>34530</v>
      </c>
      <c r="M138" s="130" t="str">
        <f>$B138</f>
        <v>BP Common</v>
      </c>
      <c r="N138" s="130"/>
      <c r="O138" s="198">
        <f>ROUND('Bayside Common'!$Q$38,0)</f>
        <v>11452844</v>
      </c>
      <c r="P138" s="130"/>
      <c r="Q138" s="145">
        <v>0</v>
      </c>
      <c r="R138" s="130"/>
      <c r="S138" s="145">
        <f>O138+Q138</f>
        <v>11452844</v>
      </c>
      <c r="T138" s="143"/>
    </row>
    <row r="139" spans="1:20" ht="15" x14ac:dyDescent="0.2">
      <c r="A139" s="140">
        <v>34630</v>
      </c>
      <c r="B139" s="168" t="s">
        <v>109</v>
      </c>
      <c r="C139" s="130"/>
      <c r="D139" s="806">
        <f>ROUND('Bayside Common'!$F$45,0)</f>
        <v>10878707</v>
      </c>
      <c r="E139" s="172">
        <f>ROUND($S139,0)</f>
        <v>3569123</v>
      </c>
      <c r="F139" s="794">
        <f t="shared" si="27"/>
        <v>32.808338343885907</v>
      </c>
      <c r="G139" s="171">
        <f>ROUND('Bayside Common'!$N$45,0)</f>
        <v>4934347</v>
      </c>
      <c r="H139" s="794">
        <f t="shared" si="28"/>
        <v>45.357844457066449</v>
      </c>
      <c r="I139" s="171">
        <f>E139-G139</f>
        <v>-1365224</v>
      </c>
      <c r="J139" s="795">
        <f t="shared" si="29"/>
        <v>72.332225520418405</v>
      </c>
      <c r="K139" s="127"/>
      <c r="L139" s="140">
        <f>$A139</f>
        <v>34630</v>
      </c>
      <c r="M139" s="168" t="str">
        <f>$B139</f>
        <v>BP Common</v>
      </c>
      <c r="N139" s="130"/>
      <c r="O139" s="806">
        <f>ROUND('Bayside Common'!$Q$45,0)</f>
        <v>3569123</v>
      </c>
      <c r="P139" s="130"/>
      <c r="Q139" s="171">
        <v>0</v>
      </c>
      <c r="R139" s="130"/>
      <c r="S139" s="171">
        <f>O139+Q139</f>
        <v>3569123</v>
      </c>
      <c r="T139" s="143"/>
    </row>
    <row r="140" spans="1:20" x14ac:dyDescent="0.2">
      <c r="A140" s="134"/>
      <c r="B140" s="128" t="s">
        <v>75</v>
      </c>
      <c r="C140" s="130"/>
      <c r="D140" s="173">
        <f>SUM(D135:D139)</f>
        <v>179070536</v>
      </c>
      <c r="E140" s="173">
        <f>SUM(E135:E139)</f>
        <v>53177103</v>
      </c>
      <c r="F140" s="796">
        <f t="shared" si="27"/>
        <v>29.696176818279028</v>
      </c>
      <c r="G140" s="173">
        <f>SUM(G135:G139)</f>
        <v>82713361</v>
      </c>
      <c r="H140" s="796">
        <f t="shared" si="28"/>
        <v>46.190379974067874</v>
      </c>
      <c r="I140" s="173">
        <f>SUM(I135:I139)</f>
        <v>-29536258</v>
      </c>
      <c r="J140" s="797">
        <f t="shared" si="29"/>
        <v>64.290826000892409</v>
      </c>
      <c r="K140" s="127"/>
      <c r="L140" s="134"/>
      <c r="M140" s="128" t="s">
        <v>75</v>
      </c>
      <c r="N140" s="130"/>
      <c r="O140" s="173">
        <f>SUM(O135:O139)</f>
        <v>53177103</v>
      </c>
      <c r="P140" s="130"/>
      <c r="Q140" s="173">
        <f>SUM(Q135:Q139)</f>
        <v>0</v>
      </c>
      <c r="R140" s="130"/>
      <c r="S140" s="173">
        <f>SUM(S135:S139)</f>
        <v>53177103</v>
      </c>
      <c r="T140" s="143"/>
    </row>
    <row r="141" spans="1:20" x14ac:dyDescent="0.2">
      <c r="A141" s="134"/>
      <c r="B141" s="130"/>
      <c r="C141" s="130"/>
      <c r="D141" s="198"/>
      <c r="E141" s="198"/>
      <c r="F141" s="148"/>
      <c r="G141" s="198"/>
      <c r="H141" s="148"/>
      <c r="I141" s="198"/>
      <c r="J141" s="162"/>
      <c r="K141" s="127"/>
      <c r="L141" s="134"/>
      <c r="M141" s="130"/>
      <c r="N141" s="130"/>
      <c r="O141" s="198"/>
      <c r="P141" s="130"/>
      <c r="Q141" s="198"/>
      <c r="R141" s="130"/>
      <c r="S141" s="198"/>
      <c r="T141" s="143"/>
    </row>
    <row r="142" spans="1:20" x14ac:dyDescent="0.2">
      <c r="A142" s="140">
        <v>34131</v>
      </c>
      <c r="B142" s="130" t="s">
        <v>110</v>
      </c>
      <c r="C142" s="130"/>
      <c r="D142" s="198">
        <f>ROUND('Bayside #1'!$F$17,0)</f>
        <v>21609095</v>
      </c>
      <c r="E142" s="145">
        <f>ROUND($S142,0)</f>
        <v>8006595</v>
      </c>
      <c r="F142" s="148">
        <f t="shared" ref="F142:F147" si="30">IF($D142=0,0,(E142/$D142)*100)</f>
        <v>37.051968164330809</v>
      </c>
      <c r="G142" s="145">
        <f>ROUND('Bayside #1'!$N$17,0)</f>
        <v>10550506</v>
      </c>
      <c r="H142" s="148">
        <f t="shared" ref="H142:H147" si="31">IF($D142=0,0,(G142/$D142)*100)</f>
        <v>48.824376957942938</v>
      </c>
      <c r="I142" s="145">
        <f>E142-G142</f>
        <v>-2543911</v>
      </c>
      <c r="J142" s="162">
        <f t="shared" ref="J142:J147" si="32">IF(G142=0,0,(E142/G142)*100)</f>
        <v>75.888255975590184</v>
      </c>
      <c r="K142" s="127"/>
      <c r="L142" s="140">
        <f>$A142</f>
        <v>34131</v>
      </c>
      <c r="M142" s="130" t="str">
        <f>$B142</f>
        <v>BP Unit No. 1</v>
      </c>
      <c r="N142" s="130"/>
      <c r="O142" s="198">
        <f>ROUND('Bayside #1'!$Q$17,0)</f>
        <v>8006595</v>
      </c>
      <c r="P142" s="130"/>
      <c r="Q142" s="145">
        <v>0</v>
      </c>
      <c r="R142" s="130"/>
      <c r="S142" s="145">
        <f>O142+Q142</f>
        <v>8006595</v>
      </c>
      <c r="T142" s="143"/>
    </row>
    <row r="143" spans="1:20" x14ac:dyDescent="0.2">
      <c r="A143" s="140">
        <v>34231</v>
      </c>
      <c r="B143" s="130" t="s">
        <v>110</v>
      </c>
      <c r="C143" s="130"/>
      <c r="D143" s="198">
        <f>ROUND('Bayside #1'!$F$24,0)</f>
        <v>77801542</v>
      </c>
      <c r="E143" s="145">
        <f>ROUND($S143,0)</f>
        <v>30617098</v>
      </c>
      <c r="F143" s="148">
        <f t="shared" si="30"/>
        <v>39.352816426183431</v>
      </c>
      <c r="G143" s="145">
        <f>ROUND('Bayside #1'!$N$24,0)</f>
        <v>37903502</v>
      </c>
      <c r="H143" s="148">
        <f t="shared" si="31"/>
        <v>48.718188644641515</v>
      </c>
      <c r="I143" s="145">
        <f>E143-G143</f>
        <v>-7286404</v>
      </c>
      <c r="J143" s="162">
        <f t="shared" si="32"/>
        <v>80.776435908217664</v>
      </c>
      <c r="K143" s="127"/>
      <c r="L143" s="140">
        <f>$A143</f>
        <v>34231</v>
      </c>
      <c r="M143" s="130" t="str">
        <f>$B143</f>
        <v>BP Unit No. 1</v>
      </c>
      <c r="N143" s="130"/>
      <c r="O143" s="198">
        <f>ROUND('Bayside #1'!$Q$24,0)</f>
        <v>30617098</v>
      </c>
      <c r="P143" s="130"/>
      <c r="Q143" s="145">
        <v>0</v>
      </c>
      <c r="R143" s="130"/>
      <c r="S143" s="145">
        <f>O143+Q143</f>
        <v>30617098</v>
      </c>
      <c r="T143" s="143"/>
    </row>
    <row r="144" spans="1:20" x14ac:dyDescent="0.2">
      <c r="A144" s="140">
        <v>34331</v>
      </c>
      <c r="B144" s="130" t="s">
        <v>110</v>
      </c>
      <c r="C144" s="130"/>
      <c r="D144" s="198">
        <f>ROUND('Bayside #1'!$F$31,0)</f>
        <v>209303216</v>
      </c>
      <c r="E144" s="145">
        <f>ROUND($S144,0)</f>
        <v>56465759</v>
      </c>
      <c r="F144" s="148">
        <f t="shared" si="30"/>
        <v>26.977970085275711</v>
      </c>
      <c r="G144" s="145">
        <f>ROUND('Bayside #1'!$N$31,0)</f>
        <v>110657689</v>
      </c>
      <c r="H144" s="148">
        <f t="shared" si="31"/>
        <v>52.869559825588155</v>
      </c>
      <c r="I144" s="145">
        <f>E144-G144</f>
        <v>-54191930</v>
      </c>
      <c r="J144" s="162">
        <f t="shared" si="32"/>
        <v>51.02741572707162</v>
      </c>
      <c r="K144" s="127"/>
      <c r="L144" s="140">
        <f>$A144</f>
        <v>34331</v>
      </c>
      <c r="M144" s="130" t="str">
        <f>$B144</f>
        <v>BP Unit No. 1</v>
      </c>
      <c r="N144" s="130"/>
      <c r="O144" s="198">
        <f>ROUND('Bayside #1'!$Q$31,0)</f>
        <v>56465759</v>
      </c>
      <c r="P144" s="130"/>
      <c r="Q144" s="145">
        <v>0</v>
      </c>
      <c r="R144" s="130"/>
      <c r="S144" s="145">
        <f>O144+Q144</f>
        <v>56465759</v>
      </c>
      <c r="T144" s="143"/>
    </row>
    <row r="145" spans="1:20" x14ac:dyDescent="0.2">
      <c r="A145" s="140">
        <v>34531</v>
      </c>
      <c r="B145" s="130" t="s">
        <v>110</v>
      </c>
      <c r="C145" s="130"/>
      <c r="D145" s="198">
        <f>ROUND('Bayside #1'!$F$38,0)</f>
        <v>38933916</v>
      </c>
      <c r="E145" s="145">
        <f>ROUND($S145,0)</f>
        <v>16548964</v>
      </c>
      <c r="F145" s="148">
        <f t="shared" si="30"/>
        <v>42.50526456162283</v>
      </c>
      <c r="G145" s="145">
        <f>ROUND('Bayside #1'!$N$38,0)</f>
        <v>19175115</v>
      </c>
      <c r="H145" s="148">
        <f t="shared" si="31"/>
        <v>49.25041447153685</v>
      </c>
      <c r="I145" s="145">
        <f>E145-G145</f>
        <v>-2626151</v>
      </c>
      <c r="J145" s="162">
        <f t="shared" si="32"/>
        <v>86.304379400071397</v>
      </c>
      <c r="K145" s="127"/>
      <c r="L145" s="140">
        <f>$A145</f>
        <v>34531</v>
      </c>
      <c r="M145" s="130" t="str">
        <f>$B145</f>
        <v>BP Unit No. 1</v>
      </c>
      <c r="N145" s="130"/>
      <c r="O145" s="198">
        <f>ROUND('Bayside #1'!$Q$38,0)</f>
        <v>16548964</v>
      </c>
      <c r="P145" s="130"/>
      <c r="Q145" s="145">
        <v>0</v>
      </c>
      <c r="R145" s="130"/>
      <c r="S145" s="145">
        <f>O145+Q145</f>
        <v>16548964</v>
      </c>
      <c r="T145" s="143"/>
    </row>
    <row r="146" spans="1:20" ht="15" x14ac:dyDescent="0.2">
      <c r="A146" s="140">
        <v>34631</v>
      </c>
      <c r="B146" s="168" t="s">
        <v>110</v>
      </c>
      <c r="C146" s="130"/>
      <c r="D146" s="806">
        <f>ROUND('Bayside #1'!$F$45,0)</f>
        <v>1152706</v>
      </c>
      <c r="E146" s="172">
        <f>ROUND($S146,0)</f>
        <v>498317</v>
      </c>
      <c r="F146" s="794">
        <f t="shared" si="30"/>
        <v>43.230190525598026</v>
      </c>
      <c r="G146" s="171">
        <f>ROUND('Bayside #1'!$N$45,0)</f>
        <v>578296</v>
      </c>
      <c r="H146" s="794">
        <f t="shared" si="31"/>
        <v>50.168559892982259</v>
      </c>
      <c r="I146" s="171">
        <f>E146-G146</f>
        <v>-79979</v>
      </c>
      <c r="J146" s="795">
        <f t="shared" si="32"/>
        <v>86.169885318245335</v>
      </c>
      <c r="K146" s="127"/>
      <c r="L146" s="140">
        <f>$A146</f>
        <v>34631</v>
      </c>
      <c r="M146" s="168" t="str">
        <f>$B146</f>
        <v>BP Unit No. 1</v>
      </c>
      <c r="N146" s="130"/>
      <c r="O146" s="806">
        <f>ROUND('Bayside #1'!$Q$45,0)</f>
        <v>498317</v>
      </c>
      <c r="P146" s="130"/>
      <c r="Q146" s="171">
        <v>0</v>
      </c>
      <c r="R146" s="130"/>
      <c r="S146" s="171">
        <f>O146+Q146</f>
        <v>498317</v>
      </c>
      <c r="T146" s="143"/>
    </row>
    <row r="147" spans="1:20" x14ac:dyDescent="0.2">
      <c r="A147" s="134"/>
      <c r="B147" s="128" t="s">
        <v>75</v>
      </c>
      <c r="C147" s="130"/>
      <c r="D147" s="173">
        <f>SUM(D142:D146)</f>
        <v>348800475</v>
      </c>
      <c r="E147" s="173">
        <f>SUM(E142:E146)</f>
        <v>112136733</v>
      </c>
      <c r="F147" s="796">
        <f t="shared" si="30"/>
        <v>32.149248936659276</v>
      </c>
      <c r="G147" s="173">
        <f>SUM(G142:G146)</f>
        <v>178865108</v>
      </c>
      <c r="H147" s="796">
        <f t="shared" si="31"/>
        <v>51.280064340508716</v>
      </c>
      <c r="I147" s="173">
        <f>SUM(I142:I146)</f>
        <v>-66728375</v>
      </c>
      <c r="J147" s="797">
        <f t="shared" si="32"/>
        <v>62.693464507342597</v>
      </c>
      <c r="K147" s="127"/>
      <c r="L147" s="134"/>
      <c r="M147" s="128" t="s">
        <v>75</v>
      </c>
      <c r="N147" s="130"/>
      <c r="O147" s="173">
        <f>SUM(O142:O146)</f>
        <v>112136733</v>
      </c>
      <c r="P147" s="130"/>
      <c r="Q147" s="173">
        <f>SUM(Q142:Q146)</f>
        <v>0</v>
      </c>
      <c r="R147" s="130"/>
      <c r="S147" s="173">
        <f>SUM(S142:S146)</f>
        <v>112136733</v>
      </c>
      <c r="T147" s="143"/>
    </row>
    <row r="148" spans="1:20" x14ac:dyDescent="0.2">
      <c r="A148" s="134"/>
      <c r="B148" s="130"/>
      <c r="C148" s="130"/>
      <c r="D148" s="198"/>
      <c r="E148" s="198"/>
      <c r="F148" s="148"/>
      <c r="G148" s="198"/>
      <c r="H148" s="148"/>
      <c r="I148" s="198"/>
      <c r="J148" s="162"/>
      <c r="K148" s="127"/>
      <c r="L148" s="134"/>
      <c r="M148" s="130"/>
      <c r="N148" s="130"/>
      <c r="O148" s="198"/>
      <c r="P148" s="130"/>
      <c r="Q148" s="198"/>
      <c r="R148" s="130"/>
      <c r="S148" s="198"/>
      <c r="T148" s="143"/>
    </row>
    <row r="149" spans="1:20" x14ac:dyDescent="0.2">
      <c r="A149" s="140">
        <v>34132</v>
      </c>
      <c r="B149" s="130" t="s">
        <v>111</v>
      </c>
      <c r="C149" s="130"/>
      <c r="D149" s="198">
        <f>ROUND('Bayside #2'!$F$17,0)</f>
        <v>26971966</v>
      </c>
      <c r="E149" s="145">
        <f>ROUND($S149,0)</f>
        <v>10361333</v>
      </c>
      <c r="F149" s="148">
        <f t="shared" ref="F149:F154" si="33">IF($D149=0,0,(E149/$D149)*100)</f>
        <v>38.415193760810759</v>
      </c>
      <c r="G149" s="145">
        <f>ROUND('Bayside #2'!$N$17,0)</f>
        <v>12688972</v>
      </c>
      <c r="H149" s="148">
        <f t="shared" ref="H149:H154" si="34">IF($D149=0,0,(G149/$D149)*100)</f>
        <v>47.045039282638875</v>
      </c>
      <c r="I149" s="145">
        <f>E149-G149</f>
        <v>-2327639</v>
      </c>
      <c r="J149" s="162">
        <f t="shared" ref="J149:J154" si="35">IF(G149=0,0,(E149/G149)*100)</f>
        <v>81.656205088954408</v>
      </c>
      <c r="K149" s="127"/>
      <c r="L149" s="140">
        <f>$A149</f>
        <v>34132</v>
      </c>
      <c r="M149" s="130" t="str">
        <f>$B149</f>
        <v>BP Unit No. 2</v>
      </c>
      <c r="N149" s="130"/>
      <c r="O149" s="198">
        <f>ROUND('Bayside #2'!$Q$17,0)</f>
        <v>10361333</v>
      </c>
      <c r="P149" s="130"/>
      <c r="Q149" s="145">
        <v>0</v>
      </c>
      <c r="R149" s="130"/>
      <c r="S149" s="145">
        <f>O149+Q149</f>
        <v>10361333</v>
      </c>
      <c r="T149" s="143"/>
    </row>
    <row r="150" spans="1:20" x14ac:dyDescent="0.2">
      <c r="A150" s="140">
        <v>34232</v>
      </c>
      <c r="B150" s="130" t="s">
        <v>111</v>
      </c>
      <c r="C150" s="130"/>
      <c r="D150" s="198">
        <f>ROUND('Bayside #2'!$F$24,0)</f>
        <v>98699482</v>
      </c>
      <c r="E150" s="145">
        <f>ROUND($S150,0)</f>
        <v>39055273</v>
      </c>
      <c r="F150" s="148">
        <f t="shared" si="33"/>
        <v>39.569886496466111</v>
      </c>
      <c r="G150" s="145">
        <f>ROUND('Bayside #2'!$N$24,0)</f>
        <v>48547135</v>
      </c>
      <c r="H150" s="148">
        <f t="shared" si="34"/>
        <v>49.186818427274012</v>
      </c>
      <c r="I150" s="145">
        <f>E150-G150</f>
        <v>-9491862</v>
      </c>
      <c r="J150" s="162">
        <f t="shared" si="35"/>
        <v>80.448152089716515</v>
      </c>
      <c r="K150" s="127"/>
      <c r="L150" s="140">
        <f>$A150</f>
        <v>34232</v>
      </c>
      <c r="M150" s="130" t="str">
        <f>$B150</f>
        <v>BP Unit No. 2</v>
      </c>
      <c r="N150" s="130"/>
      <c r="O150" s="198">
        <f>ROUND('Bayside #2'!$Q$24,0)</f>
        <v>39055273</v>
      </c>
      <c r="P150" s="130"/>
      <c r="Q150" s="145">
        <v>0</v>
      </c>
      <c r="R150" s="130"/>
      <c r="S150" s="145">
        <f>O150+Q150</f>
        <v>39055273</v>
      </c>
      <c r="T150" s="143"/>
    </row>
    <row r="151" spans="1:20" x14ac:dyDescent="0.2">
      <c r="A151" s="140">
        <v>34332</v>
      </c>
      <c r="B151" s="130" t="s">
        <v>111</v>
      </c>
      <c r="C151" s="130"/>
      <c r="D151" s="198">
        <f>ROUND('Bayside #2'!$F$31,0)</f>
        <v>286570778</v>
      </c>
      <c r="E151" s="145">
        <f>ROUND($S151,0)</f>
        <v>65637162</v>
      </c>
      <c r="F151" s="148">
        <f t="shared" si="33"/>
        <v>22.904345815748179</v>
      </c>
      <c r="G151" s="145">
        <f>ROUND('Bayside #2'!$N$31,0)</f>
        <v>144263263</v>
      </c>
      <c r="H151" s="148">
        <f t="shared" si="34"/>
        <v>50.341232978053327</v>
      </c>
      <c r="I151" s="869">
        <f>E151-G151</f>
        <v>-78626101</v>
      </c>
      <c r="J151" s="162">
        <f t="shared" si="35"/>
        <v>45.498182028504374</v>
      </c>
      <c r="K151" s="127"/>
      <c r="L151" s="140">
        <f>$A151</f>
        <v>34332</v>
      </c>
      <c r="M151" s="130" t="str">
        <f>$B151</f>
        <v>BP Unit No. 2</v>
      </c>
      <c r="N151" s="130"/>
      <c r="O151" s="198">
        <f>ROUND('Bayside #2'!$Q$31,0)</f>
        <v>65637162</v>
      </c>
      <c r="P151" s="130"/>
      <c r="Q151" s="145">
        <v>0</v>
      </c>
      <c r="R151" s="130"/>
      <c r="S151" s="145">
        <f>O151+Q151</f>
        <v>65637162</v>
      </c>
      <c r="T151" s="143"/>
    </row>
    <row r="152" spans="1:20" x14ac:dyDescent="0.2">
      <c r="A152" s="140">
        <v>34532</v>
      </c>
      <c r="B152" s="130" t="s">
        <v>111</v>
      </c>
      <c r="C152" s="130"/>
      <c r="D152" s="198">
        <f>ROUND('Bayside #2'!$F$38,0)</f>
        <v>43953041</v>
      </c>
      <c r="E152" s="145">
        <f>ROUND($S152,0)</f>
        <v>17672807</v>
      </c>
      <c r="F152" s="148">
        <f t="shared" si="33"/>
        <v>40.208382851143334</v>
      </c>
      <c r="G152" s="145">
        <f>ROUND('Bayside #2'!$N$38,0)</f>
        <v>21839622</v>
      </c>
      <c r="H152" s="148">
        <f t="shared" si="34"/>
        <v>49.688534634042732</v>
      </c>
      <c r="I152" s="145">
        <f>E152-G152</f>
        <v>-4166815</v>
      </c>
      <c r="J152" s="162">
        <f t="shared" si="35"/>
        <v>80.920846523808891</v>
      </c>
      <c r="K152" s="127"/>
      <c r="L152" s="140">
        <f>$A152</f>
        <v>34532</v>
      </c>
      <c r="M152" s="130" t="str">
        <f>$B152</f>
        <v>BP Unit No. 2</v>
      </c>
      <c r="N152" s="130"/>
      <c r="O152" s="198">
        <f>ROUND('Bayside #2'!$Q$38,0)</f>
        <v>17672807</v>
      </c>
      <c r="P152" s="130"/>
      <c r="Q152" s="145">
        <v>0</v>
      </c>
      <c r="R152" s="130"/>
      <c r="S152" s="145">
        <f>O152+Q152</f>
        <v>17672807</v>
      </c>
      <c r="T152" s="143"/>
    </row>
    <row r="153" spans="1:20" ht="15" x14ac:dyDescent="0.2">
      <c r="A153" s="140">
        <v>34632</v>
      </c>
      <c r="B153" s="168" t="s">
        <v>111</v>
      </c>
      <c r="C153" s="130"/>
      <c r="D153" s="806">
        <f>ROUND('Bayside #2'!$F$45,0)</f>
        <v>1455592</v>
      </c>
      <c r="E153" s="172">
        <f>ROUND($S153,0)</f>
        <v>628172</v>
      </c>
      <c r="F153" s="794">
        <f t="shared" si="33"/>
        <v>43.155774420304596</v>
      </c>
      <c r="G153" s="171">
        <f>ROUND('Bayside #2'!$N$45,0)</f>
        <v>714951</v>
      </c>
      <c r="H153" s="794">
        <f t="shared" si="34"/>
        <v>49.117541179121623</v>
      </c>
      <c r="I153" s="171">
        <f>E153-G153</f>
        <v>-86779</v>
      </c>
      <c r="J153" s="795">
        <f t="shared" si="35"/>
        <v>87.862245104909292</v>
      </c>
      <c r="K153" s="127"/>
      <c r="L153" s="140">
        <f>$A153</f>
        <v>34632</v>
      </c>
      <c r="M153" s="168" t="str">
        <f>$B153</f>
        <v>BP Unit No. 2</v>
      </c>
      <c r="N153" s="130"/>
      <c r="O153" s="806">
        <f>ROUND('Bayside #2'!$Q$45,0)</f>
        <v>628172</v>
      </c>
      <c r="P153" s="130"/>
      <c r="Q153" s="171">
        <v>0</v>
      </c>
      <c r="R153" s="130"/>
      <c r="S153" s="171">
        <f>O153+Q153</f>
        <v>628172</v>
      </c>
      <c r="T153" s="143"/>
    </row>
    <row r="154" spans="1:20" x14ac:dyDescent="0.2">
      <c r="A154" s="134"/>
      <c r="B154" s="128" t="s">
        <v>75</v>
      </c>
      <c r="C154" s="130"/>
      <c r="D154" s="173">
        <f>SUM(D149:D153)</f>
        <v>457650859</v>
      </c>
      <c r="E154" s="173">
        <f>SUM(E149:E153)</f>
        <v>133354747</v>
      </c>
      <c r="F154" s="796">
        <f t="shared" si="33"/>
        <v>29.138970107341152</v>
      </c>
      <c r="G154" s="173">
        <f>SUM(G149:G153)</f>
        <v>228053943</v>
      </c>
      <c r="H154" s="796">
        <f t="shared" si="34"/>
        <v>49.831424658158454</v>
      </c>
      <c r="I154" s="173">
        <f>SUM(I149:I153)</f>
        <v>-94699196</v>
      </c>
      <c r="J154" s="797">
        <f t="shared" si="35"/>
        <v>58.475089378305555</v>
      </c>
      <c r="K154" s="127"/>
      <c r="L154" s="134"/>
      <c r="M154" s="128" t="s">
        <v>75</v>
      </c>
      <c r="N154" s="130"/>
      <c r="O154" s="173">
        <f>SUM(O149:O153)</f>
        <v>133354747</v>
      </c>
      <c r="P154" s="130"/>
      <c r="Q154" s="173">
        <f>SUM(Q149:Q153)</f>
        <v>0</v>
      </c>
      <c r="R154" s="130"/>
      <c r="S154" s="173">
        <f>SUM(S149:S153)</f>
        <v>133354747</v>
      </c>
      <c r="T154" s="143"/>
    </row>
    <row r="155" spans="1:20" x14ac:dyDescent="0.2">
      <c r="A155" s="134"/>
      <c r="B155" s="130"/>
      <c r="C155" s="130"/>
      <c r="D155" s="198"/>
      <c r="E155" s="198"/>
      <c r="F155" s="148"/>
      <c r="G155" s="198"/>
      <c r="H155" s="148"/>
      <c r="I155" s="198"/>
      <c r="J155" s="162"/>
      <c r="K155" s="127"/>
      <c r="L155" s="134"/>
      <c r="M155" s="130"/>
      <c r="N155" s="130"/>
      <c r="O155" s="198"/>
      <c r="P155" s="130"/>
      <c r="Q155" s="198"/>
      <c r="R155" s="130"/>
      <c r="S155" s="198"/>
      <c r="T155" s="143"/>
    </row>
    <row r="156" spans="1:20" x14ac:dyDescent="0.2">
      <c r="A156" s="140">
        <v>34133</v>
      </c>
      <c r="B156" s="130" t="s">
        <v>112</v>
      </c>
      <c r="C156" s="130"/>
      <c r="D156" s="145">
        <f>ROUND('Bayside CT #3'!$F$17,0)</f>
        <v>656349</v>
      </c>
      <c r="E156" s="145">
        <f>ROUND($S156,0)</f>
        <v>-27876</v>
      </c>
      <c r="F156" s="148">
        <f t="shared" ref="F156:F161" si="36">IF($D156=0,0,(E156/$D156)*100)</f>
        <v>-4.2471307185658853</v>
      </c>
      <c r="G156" s="145">
        <f>ROUND('Bayside CT #3'!$N$17,0)</f>
        <v>167015</v>
      </c>
      <c r="H156" s="148">
        <f t="shared" ref="H156:H161" si="37">IF($D156=0,0,(G156/$D156)*100)</f>
        <v>25.446066041084848</v>
      </c>
      <c r="I156" s="145">
        <f>E156-G156</f>
        <v>-194891</v>
      </c>
      <c r="J156" s="162">
        <f t="shared" ref="J156:J161" si="38">IF(G156=0,0,(E156/G156)*100)</f>
        <v>-16.690716402718319</v>
      </c>
      <c r="K156" s="127"/>
      <c r="L156" s="140">
        <f>$A156</f>
        <v>34133</v>
      </c>
      <c r="M156" s="130" t="str">
        <f>$B156</f>
        <v>BP CT No. 3</v>
      </c>
      <c r="N156" s="130"/>
      <c r="O156" s="145">
        <f>ROUND('Bayside CT #3'!$Q$17,0)</f>
        <v>-27876</v>
      </c>
      <c r="P156" s="130"/>
      <c r="Q156" s="145">
        <v>0</v>
      </c>
      <c r="R156" s="130"/>
      <c r="S156" s="145">
        <f>O156+Q156</f>
        <v>-27876</v>
      </c>
      <c r="T156" s="143"/>
    </row>
    <row r="157" spans="1:20" x14ac:dyDescent="0.2">
      <c r="A157" s="140">
        <v>34233</v>
      </c>
      <c r="B157" s="130" t="s">
        <v>112</v>
      </c>
      <c r="C157" s="130"/>
      <c r="D157" s="145">
        <f>ROUND('Bayside CT #3'!$F$24,0)</f>
        <v>3389690</v>
      </c>
      <c r="E157" s="145">
        <f>ROUND($S157,0)</f>
        <v>873679</v>
      </c>
      <c r="F157" s="148">
        <f t="shared" si="36"/>
        <v>25.774598857122626</v>
      </c>
      <c r="G157" s="145">
        <f>ROUND('Bayside CT #3'!$N$24,0)</f>
        <v>1067292</v>
      </c>
      <c r="H157" s="148">
        <f t="shared" si="37"/>
        <v>31.486419112072195</v>
      </c>
      <c r="I157" s="145">
        <f>E157-G157</f>
        <v>-193613</v>
      </c>
      <c r="J157" s="162">
        <f t="shared" si="38"/>
        <v>81.859416167271931</v>
      </c>
      <c r="K157" s="127"/>
      <c r="L157" s="140">
        <f>$A157</f>
        <v>34233</v>
      </c>
      <c r="M157" s="130" t="str">
        <f>$B157</f>
        <v>BP CT No. 3</v>
      </c>
      <c r="N157" s="130"/>
      <c r="O157" s="145">
        <f>ROUND('Bayside CT #3'!$Q$24,0)</f>
        <v>873679</v>
      </c>
      <c r="P157" s="130"/>
      <c r="Q157" s="145">
        <v>0</v>
      </c>
      <c r="R157" s="130"/>
      <c r="S157" s="145">
        <f>O157+Q157</f>
        <v>873679</v>
      </c>
      <c r="T157" s="143"/>
    </row>
    <row r="158" spans="1:20" x14ac:dyDescent="0.2">
      <c r="A158" s="140">
        <v>34333</v>
      </c>
      <c r="B158" s="130" t="s">
        <v>112</v>
      </c>
      <c r="C158" s="130"/>
      <c r="D158" s="145">
        <f>ROUND('Bayside CT #3'!$F$31,0)</f>
        <v>15422171</v>
      </c>
      <c r="E158" s="145">
        <f>ROUND($S158,0)</f>
        <v>6941617</v>
      </c>
      <c r="F158" s="148">
        <f t="shared" si="36"/>
        <v>45.010634365291374</v>
      </c>
      <c r="G158" s="145">
        <f>ROUND('Bayside CT #3'!$N$31,0)</f>
        <v>5694419</v>
      </c>
      <c r="H158" s="148">
        <f t="shared" si="37"/>
        <v>36.923588773590957</v>
      </c>
      <c r="I158" s="145">
        <f>E158-G158</f>
        <v>1247198</v>
      </c>
      <c r="J158" s="162">
        <f t="shared" si="38"/>
        <v>121.90211152358124</v>
      </c>
      <c r="K158" s="127"/>
      <c r="L158" s="140">
        <f>$A158</f>
        <v>34333</v>
      </c>
      <c r="M158" s="130" t="str">
        <f>$B158</f>
        <v>BP CT No. 3</v>
      </c>
      <c r="N158" s="130"/>
      <c r="O158" s="145">
        <f>ROUND('Bayside CT #3'!$Q$31,0)</f>
        <v>6941617</v>
      </c>
      <c r="P158" s="130"/>
      <c r="Q158" s="145">
        <v>0</v>
      </c>
      <c r="R158" s="130"/>
      <c r="S158" s="145">
        <f>O158+Q158</f>
        <v>6941617</v>
      </c>
      <c r="T158" s="143"/>
    </row>
    <row r="159" spans="1:20" x14ac:dyDescent="0.2">
      <c r="A159" s="140">
        <v>34533</v>
      </c>
      <c r="B159" s="130" t="s">
        <v>112</v>
      </c>
      <c r="C159" s="130"/>
      <c r="D159" s="145">
        <f>ROUND('Bayside CT #3'!$F$38,0)</f>
        <v>13966337</v>
      </c>
      <c r="E159" s="145">
        <f>ROUND($S159,0)</f>
        <v>4237970</v>
      </c>
      <c r="F159" s="148">
        <f t="shared" si="36"/>
        <v>30.344176858971682</v>
      </c>
      <c r="G159" s="145">
        <f>ROUND('Bayside CT #3'!$N$38,0)</f>
        <v>3621701</v>
      </c>
      <c r="H159" s="148">
        <f t="shared" si="37"/>
        <v>25.931645498744587</v>
      </c>
      <c r="I159" s="145">
        <f>E159-G159</f>
        <v>616269</v>
      </c>
      <c r="J159" s="162">
        <f t="shared" si="38"/>
        <v>117.01600988044017</v>
      </c>
      <c r="K159" s="127"/>
      <c r="L159" s="140">
        <f>$A159</f>
        <v>34533</v>
      </c>
      <c r="M159" s="130" t="str">
        <f>$B159</f>
        <v>BP CT No. 3</v>
      </c>
      <c r="N159" s="130"/>
      <c r="O159" s="145">
        <f>ROUND('Bayside CT #3'!$Q$38,0)</f>
        <v>4237970</v>
      </c>
      <c r="P159" s="130"/>
      <c r="Q159" s="145">
        <v>0</v>
      </c>
      <c r="R159" s="130"/>
      <c r="S159" s="145">
        <f>O159+Q159</f>
        <v>4237970</v>
      </c>
      <c r="T159" s="143"/>
    </row>
    <row r="160" spans="1:20" ht="15" x14ac:dyDescent="0.2">
      <c r="A160" s="140">
        <v>34633</v>
      </c>
      <c r="B160" s="168" t="s">
        <v>112</v>
      </c>
      <c r="C160" s="130"/>
      <c r="D160" s="172">
        <f>ROUND('Bayside CT #3'!$F$45,0)</f>
        <v>905</v>
      </c>
      <c r="E160" s="172">
        <f>ROUND($S160,0)</f>
        <v>322</v>
      </c>
      <c r="F160" s="794">
        <f t="shared" si="36"/>
        <v>35.58011049723757</v>
      </c>
      <c r="G160" s="172">
        <f>ROUND('Bayside CT #3'!$N$45,0)</f>
        <v>324</v>
      </c>
      <c r="H160" s="794">
        <f t="shared" si="37"/>
        <v>35.80110497237569</v>
      </c>
      <c r="I160" s="171">
        <f>E160-G160</f>
        <v>-2</v>
      </c>
      <c r="J160" s="795">
        <f t="shared" si="38"/>
        <v>99.382716049382708</v>
      </c>
      <c r="K160" s="127"/>
      <c r="L160" s="140">
        <f>$A160</f>
        <v>34633</v>
      </c>
      <c r="M160" s="168" t="str">
        <f>$B160</f>
        <v>BP CT No. 3</v>
      </c>
      <c r="N160" s="130"/>
      <c r="O160" s="172">
        <f>ROUND('Bayside CT #3'!$Q$45,0)</f>
        <v>322</v>
      </c>
      <c r="P160" s="130"/>
      <c r="Q160" s="171">
        <v>0</v>
      </c>
      <c r="R160" s="130"/>
      <c r="S160" s="171">
        <f>O160+Q160</f>
        <v>322</v>
      </c>
      <c r="T160" s="143"/>
    </row>
    <row r="161" spans="1:20" x14ac:dyDescent="0.2">
      <c r="A161" s="134"/>
      <c r="B161" s="128" t="s">
        <v>75</v>
      </c>
      <c r="C161" s="130"/>
      <c r="D161" s="173">
        <f>SUM(D156:D160)</f>
        <v>33435452</v>
      </c>
      <c r="E161" s="173">
        <f>SUM(E156:E160)</f>
        <v>12025712</v>
      </c>
      <c r="F161" s="796">
        <f t="shared" si="36"/>
        <v>35.966949093435311</v>
      </c>
      <c r="G161" s="173">
        <f>SUM(G156:G160)</f>
        <v>10550751</v>
      </c>
      <c r="H161" s="796">
        <f t="shared" si="37"/>
        <v>31.55558058554136</v>
      </c>
      <c r="I161" s="173">
        <f>SUM(I156:I160)</f>
        <v>1474961</v>
      </c>
      <c r="J161" s="797">
        <f t="shared" si="38"/>
        <v>113.9796778447335</v>
      </c>
      <c r="K161" s="127"/>
      <c r="L161" s="134"/>
      <c r="M161" s="128" t="s">
        <v>75</v>
      </c>
      <c r="N161" s="130"/>
      <c r="O161" s="173">
        <f>SUM(O156:O160)</f>
        <v>12025712</v>
      </c>
      <c r="P161" s="130"/>
      <c r="Q161" s="173">
        <f>SUM(Q156:Q160)</f>
        <v>0</v>
      </c>
      <c r="R161" s="130"/>
      <c r="S161" s="173">
        <f>SUM(S156:S160)</f>
        <v>12025712</v>
      </c>
      <c r="T161" s="143"/>
    </row>
    <row r="162" spans="1:20" x14ac:dyDescent="0.2">
      <c r="A162" s="134"/>
      <c r="B162" s="130"/>
      <c r="C162" s="130"/>
      <c r="D162" s="198"/>
      <c r="E162" s="198"/>
      <c r="F162" s="148"/>
      <c r="G162" s="198"/>
      <c r="H162" s="148"/>
      <c r="I162" s="198"/>
      <c r="J162" s="162"/>
      <c r="K162" s="127"/>
      <c r="L162" s="134"/>
      <c r="M162" s="130"/>
      <c r="N162" s="130"/>
      <c r="O162" s="198"/>
      <c r="P162" s="130"/>
      <c r="Q162" s="198"/>
      <c r="R162" s="130"/>
      <c r="S162" s="198"/>
      <c r="T162" s="143"/>
    </row>
    <row r="163" spans="1:20" x14ac:dyDescent="0.2">
      <c r="A163" s="140">
        <v>34134</v>
      </c>
      <c r="B163" s="130" t="s">
        <v>113</v>
      </c>
      <c r="C163" s="130"/>
      <c r="D163" s="145">
        <f>ROUND('Bayside CT #4'!$F$17,0)</f>
        <v>242334</v>
      </c>
      <c r="E163" s="145">
        <f>ROUND($S163,0)</f>
        <v>-122817</v>
      </c>
      <c r="F163" s="148">
        <f t="shared" ref="F163:F168" si="39">IF($D163=0,0,(E163/$D163)*100)</f>
        <v>-50.680878457005619</v>
      </c>
      <c r="G163" s="145">
        <f>ROUND('Bayside CT #4'!$N$17,0)</f>
        <v>63945</v>
      </c>
      <c r="H163" s="148">
        <f t="shared" ref="H163:H168" si="40">IF($D163=0,0,(G163/$D163)*100)</f>
        <v>26.387135111045083</v>
      </c>
      <c r="I163" s="145">
        <f>E163-G163</f>
        <v>-186762</v>
      </c>
      <c r="J163" s="162">
        <f t="shared" ref="J163:J168" si="41">IF(G163=0,0,(E163/G163)*100)</f>
        <v>-192.06661975134881</v>
      </c>
      <c r="K163" s="127"/>
      <c r="L163" s="140">
        <f>$A163</f>
        <v>34134</v>
      </c>
      <c r="M163" s="130" t="str">
        <f>$B163</f>
        <v>BP CT No. 4</v>
      </c>
      <c r="N163" s="130"/>
      <c r="O163" s="145">
        <f>ROUND('Bayside CT #4'!$Q$17,0)</f>
        <v>-122817</v>
      </c>
      <c r="P163" s="130"/>
      <c r="Q163" s="145">
        <v>0</v>
      </c>
      <c r="R163" s="130"/>
      <c r="S163" s="145">
        <f>O163+Q163</f>
        <v>-122817</v>
      </c>
      <c r="T163" s="143"/>
    </row>
    <row r="164" spans="1:20" x14ac:dyDescent="0.2">
      <c r="A164" s="140">
        <v>34234</v>
      </c>
      <c r="B164" s="130" t="s">
        <v>113</v>
      </c>
      <c r="C164" s="130"/>
      <c r="D164" s="145">
        <f>ROUND('Bayside CT #4'!$F$24,0)</f>
        <v>3362087</v>
      </c>
      <c r="E164" s="145">
        <f>ROUND($S164,0)</f>
        <v>866518</v>
      </c>
      <c r="F164" s="148">
        <f t="shared" si="39"/>
        <v>25.773217647253034</v>
      </c>
      <c r="G164" s="145">
        <f>ROUND('Bayside CT #4'!$N$24,0)</f>
        <v>1029168</v>
      </c>
      <c r="H164" s="148">
        <f t="shared" si="40"/>
        <v>30.610986568759223</v>
      </c>
      <c r="I164" s="145">
        <f>E164-G164</f>
        <v>-162650</v>
      </c>
      <c r="J164" s="162">
        <f t="shared" si="41"/>
        <v>84.195971891858278</v>
      </c>
      <c r="K164" s="127"/>
      <c r="L164" s="140">
        <f>$A164</f>
        <v>34234</v>
      </c>
      <c r="M164" s="130" t="str">
        <f>$B164</f>
        <v>BP CT No. 4</v>
      </c>
      <c r="N164" s="130"/>
      <c r="O164" s="145">
        <f>ROUND('Bayside CT #4'!$Q$24,0)</f>
        <v>866518</v>
      </c>
      <c r="P164" s="130"/>
      <c r="Q164" s="145">
        <v>0</v>
      </c>
      <c r="R164" s="130"/>
      <c r="S164" s="145">
        <f>O164+Q164</f>
        <v>866518</v>
      </c>
      <c r="T164" s="143"/>
    </row>
    <row r="165" spans="1:20" x14ac:dyDescent="0.2">
      <c r="A165" s="140">
        <v>34334</v>
      </c>
      <c r="B165" s="130" t="s">
        <v>113</v>
      </c>
      <c r="C165" s="130"/>
      <c r="D165" s="145">
        <f>ROUND('Bayside CT #4'!$F$31,0)</f>
        <v>15839920</v>
      </c>
      <c r="E165" s="145">
        <f>ROUND($S165,0)</f>
        <v>6950153</v>
      </c>
      <c r="F165" s="148">
        <f t="shared" si="39"/>
        <v>43.877450138637066</v>
      </c>
      <c r="G165" s="145">
        <f>ROUND('Bayside CT #4'!$N$31,0)</f>
        <v>5708343</v>
      </c>
      <c r="H165" s="148">
        <f t="shared" si="40"/>
        <v>36.037700947984582</v>
      </c>
      <c r="I165" s="145">
        <f>E165-G165</f>
        <v>1241810</v>
      </c>
      <c r="J165" s="162">
        <f t="shared" si="41"/>
        <v>121.75429892702662</v>
      </c>
      <c r="K165" s="127"/>
      <c r="L165" s="140">
        <f>$A165</f>
        <v>34334</v>
      </c>
      <c r="M165" s="130" t="str">
        <f>$B165</f>
        <v>BP CT No. 4</v>
      </c>
      <c r="N165" s="130"/>
      <c r="O165" s="145">
        <f>ROUND('Bayside CT #4'!$Q$31,0)</f>
        <v>6950153</v>
      </c>
      <c r="P165" s="130"/>
      <c r="Q165" s="145">
        <v>0</v>
      </c>
      <c r="R165" s="130"/>
      <c r="S165" s="145">
        <f>O165+Q165</f>
        <v>6950153</v>
      </c>
      <c r="T165" s="143"/>
    </row>
    <row r="166" spans="1:20" x14ac:dyDescent="0.2">
      <c r="A166" s="140">
        <v>34534</v>
      </c>
      <c r="B166" s="130" t="s">
        <v>113</v>
      </c>
      <c r="C166" s="130"/>
      <c r="D166" s="145">
        <f>ROUND('Bayside CT #4'!$F$38,0)</f>
        <v>4041456</v>
      </c>
      <c r="E166" s="145">
        <f>ROUND($S166,0)</f>
        <v>1379865</v>
      </c>
      <c r="F166" s="148">
        <f t="shared" si="39"/>
        <v>34.142769338575008</v>
      </c>
      <c r="G166" s="145">
        <f>ROUND('Bayside CT #4'!$N$38,0)</f>
        <v>1266400</v>
      </c>
      <c r="H166" s="148">
        <f t="shared" si="40"/>
        <v>31.335241556508347</v>
      </c>
      <c r="I166" s="145">
        <f>E166-G166</f>
        <v>113465</v>
      </c>
      <c r="J166" s="162">
        <f t="shared" si="41"/>
        <v>108.95964939987365</v>
      </c>
      <c r="K166" s="127"/>
      <c r="L166" s="140">
        <f>$A166</f>
        <v>34534</v>
      </c>
      <c r="M166" s="130" t="str">
        <f>$B166</f>
        <v>BP CT No. 4</v>
      </c>
      <c r="N166" s="130"/>
      <c r="O166" s="145">
        <f>ROUND('Bayside CT #4'!$Q$38,0)</f>
        <v>1379865</v>
      </c>
      <c r="P166" s="130"/>
      <c r="Q166" s="145">
        <v>0</v>
      </c>
      <c r="R166" s="130"/>
      <c r="S166" s="145">
        <f>O166+Q166</f>
        <v>1379865</v>
      </c>
      <c r="T166" s="143"/>
    </row>
    <row r="167" spans="1:20" ht="15" x14ac:dyDescent="0.2">
      <c r="A167" s="140">
        <v>34634</v>
      </c>
      <c r="B167" s="168" t="s">
        <v>113</v>
      </c>
      <c r="C167" s="130"/>
      <c r="D167" s="172">
        <f>ROUND('Bayside CT #4'!$F$45,0)</f>
        <v>905</v>
      </c>
      <c r="E167" s="172">
        <f>ROUND($S167,0)</f>
        <v>322</v>
      </c>
      <c r="F167" s="794">
        <f t="shared" si="39"/>
        <v>35.58011049723757</v>
      </c>
      <c r="G167" s="172">
        <f>ROUND('Bayside CT #4'!$N$45,0)</f>
        <v>324</v>
      </c>
      <c r="H167" s="794">
        <f t="shared" si="40"/>
        <v>35.80110497237569</v>
      </c>
      <c r="I167" s="171">
        <f>E167-G167</f>
        <v>-2</v>
      </c>
      <c r="J167" s="795">
        <f t="shared" si="41"/>
        <v>99.382716049382708</v>
      </c>
      <c r="K167" s="127"/>
      <c r="L167" s="140">
        <f>$A167</f>
        <v>34634</v>
      </c>
      <c r="M167" s="168" t="str">
        <f>$B167</f>
        <v>BP CT No. 4</v>
      </c>
      <c r="N167" s="130"/>
      <c r="O167" s="172">
        <f>ROUND('Bayside CT #4'!$Q$45,0)</f>
        <v>322</v>
      </c>
      <c r="P167" s="130"/>
      <c r="Q167" s="171">
        <v>0</v>
      </c>
      <c r="R167" s="130"/>
      <c r="S167" s="171">
        <f>O167+Q167</f>
        <v>322</v>
      </c>
      <c r="T167" s="143"/>
    </row>
    <row r="168" spans="1:20" x14ac:dyDescent="0.2">
      <c r="A168" s="134"/>
      <c r="B168" s="128" t="s">
        <v>75</v>
      </c>
      <c r="C168" s="130"/>
      <c r="D168" s="173">
        <f>SUM(D163:D167)</f>
        <v>23486702</v>
      </c>
      <c r="E168" s="173">
        <f>SUM(E163:E167)</f>
        <v>9074041</v>
      </c>
      <c r="F168" s="796">
        <f t="shared" si="39"/>
        <v>38.634802791809598</v>
      </c>
      <c r="G168" s="173">
        <f>SUM(G163:G167)</f>
        <v>8068180</v>
      </c>
      <c r="H168" s="796">
        <f t="shared" si="40"/>
        <v>34.3521197654741</v>
      </c>
      <c r="I168" s="173">
        <f>SUM(I163:I167)</f>
        <v>1005861</v>
      </c>
      <c r="J168" s="797">
        <f t="shared" si="41"/>
        <v>112.46701238693237</v>
      </c>
      <c r="K168" s="127"/>
      <c r="L168" s="134"/>
      <c r="M168" s="128" t="s">
        <v>75</v>
      </c>
      <c r="N168" s="130"/>
      <c r="O168" s="173">
        <f>SUM(O163:O167)</f>
        <v>9074041</v>
      </c>
      <c r="P168" s="130"/>
      <c r="Q168" s="173">
        <f>SUM(Q163:Q167)</f>
        <v>0</v>
      </c>
      <c r="R168" s="130"/>
      <c r="S168" s="173">
        <f>SUM(S163:S167)</f>
        <v>9074041</v>
      </c>
      <c r="T168" s="143"/>
    </row>
    <row r="169" spans="1:20" x14ac:dyDescent="0.2">
      <c r="A169" s="134"/>
      <c r="B169" s="130"/>
      <c r="C169" s="130"/>
      <c r="D169" s="198"/>
      <c r="E169" s="198"/>
      <c r="F169" s="148"/>
      <c r="G169" s="198"/>
      <c r="H169" s="148"/>
      <c r="I169" s="198"/>
      <c r="J169" s="162"/>
      <c r="K169" s="127"/>
      <c r="L169" s="134"/>
      <c r="M169" s="130"/>
      <c r="N169" s="130"/>
      <c r="O169" s="198"/>
      <c r="P169" s="130"/>
      <c r="Q169" s="198"/>
      <c r="R169" s="130"/>
      <c r="S169" s="198"/>
      <c r="T169" s="143"/>
    </row>
    <row r="170" spans="1:20" x14ac:dyDescent="0.2">
      <c r="A170" s="140">
        <v>34135</v>
      </c>
      <c r="B170" s="130" t="s">
        <v>114</v>
      </c>
      <c r="C170" s="130"/>
      <c r="D170" s="145">
        <f>ROUND('Bayside CT #5'!$F$17,0)</f>
        <v>793114</v>
      </c>
      <c r="E170" s="145">
        <f>ROUND($S170,0)</f>
        <v>-173609</v>
      </c>
      <c r="F170" s="148">
        <f t="shared" ref="F170:F175" si="42">IF($D170=0,0,(E170/$D170)*100)</f>
        <v>-21.889539208739222</v>
      </c>
      <c r="G170" s="145">
        <f>ROUND('Bayside CT #5'!$N$17,0)</f>
        <v>199812</v>
      </c>
      <c r="H170" s="148">
        <f t="shared" ref="H170:H175" si="43">IF($D170=0,0,(G170/$D170)*100)</f>
        <v>25.193351775406814</v>
      </c>
      <c r="I170" s="145">
        <f>E170-G170</f>
        <v>-373421</v>
      </c>
      <c r="J170" s="162">
        <f t="shared" ref="J170:J175" si="44">IF(G170=0,0,(E170/G170)*100)</f>
        <v>-86.886173002622471</v>
      </c>
      <c r="K170" s="127"/>
      <c r="L170" s="140">
        <f>$A170</f>
        <v>34135</v>
      </c>
      <c r="M170" s="130" t="str">
        <f>$B170</f>
        <v>BP CT No. 5</v>
      </c>
      <c r="N170" s="130"/>
      <c r="O170" s="145">
        <f>ROUND('Bayside CT #5'!$Q$17,0)</f>
        <v>-173609</v>
      </c>
      <c r="P170" s="130"/>
      <c r="Q170" s="145">
        <v>0</v>
      </c>
      <c r="R170" s="130"/>
      <c r="S170" s="145">
        <f>O170+Q170</f>
        <v>-173609</v>
      </c>
      <c r="T170" s="143"/>
    </row>
    <row r="171" spans="1:20" x14ac:dyDescent="0.2">
      <c r="A171" s="140">
        <v>34235</v>
      </c>
      <c r="B171" s="130" t="s">
        <v>114</v>
      </c>
      <c r="C171" s="130"/>
      <c r="D171" s="145">
        <f>ROUND('Bayside CT #5'!$F$24,0)</f>
        <v>2008467</v>
      </c>
      <c r="E171" s="145">
        <f>ROUND($S171,0)</f>
        <v>542183</v>
      </c>
      <c r="F171" s="148">
        <f t="shared" si="42"/>
        <v>26.994867229583559</v>
      </c>
      <c r="G171" s="145">
        <f>ROUND('Bayside CT #5'!$N$24,0)</f>
        <v>704303</v>
      </c>
      <c r="H171" s="148">
        <f t="shared" si="43"/>
        <v>35.066695146098994</v>
      </c>
      <c r="I171" s="145">
        <f>E171-G171</f>
        <v>-162120</v>
      </c>
      <c r="J171" s="162">
        <f t="shared" si="44"/>
        <v>76.981498020028312</v>
      </c>
      <c r="K171" s="127"/>
      <c r="L171" s="140">
        <f>$A171</f>
        <v>34235</v>
      </c>
      <c r="M171" s="130" t="str">
        <f>$B171</f>
        <v>BP CT No. 5</v>
      </c>
      <c r="N171" s="130"/>
      <c r="O171" s="145">
        <f>ROUND('Bayside CT #5'!$Q$24,0)</f>
        <v>542183</v>
      </c>
      <c r="P171" s="130"/>
      <c r="Q171" s="145">
        <v>0</v>
      </c>
      <c r="R171" s="130"/>
      <c r="S171" s="145">
        <f>O171+Q171</f>
        <v>542183</v>
      </c>
      <c r="T171" s="143"/>
    </row>
    <row r="172" spans="1:20" x14ac:dyDescent="0.2">
      <c r="A172" s="140">
        <v>34335</v>
      </c>
      <c r="B172" s="130" t="s">
        <v>114</v>
      </c>
      <c r="C172" s="130"/>
      <c r="D172" s="145">
        <f>ROUND('Bayside CT #5'!$F$31,0)</f>
        <v>18588289</v>
      </c>
      <c r="E172" s="145">
        <f>ROUND($S172,0)</f>
        <v>8715074</v>
      </c>
      <c r="F172" s="148">
        <f t="shared" si="42"/>
        <v>46.884756310814836</v>
      </c>
      <c r="G172" s="145">
        <f>ROUND('Bayside CT #5'!$N$31,0)</f>
        <v>8307198</v>
      </c>
      <c r="H172" s="148">
        <f t="shared" si="43"/>
        <v>44.690493030316027</v>
      </c>
      <c r="I172" s="145">
        <f>E172-G172</f>
        <v>407876</v>
      </c>
      <c r="J172" s="162">
        <f t="shared" si="44"/>
        <v>104.90991065820268</v>
      </c>
      <c r="K172" s="127"/>
      <c r="L172" s="140">
        <f>$A172</f>
        <v>34335</v>
      </c>
      <c r="M172" s="130" t="str">
        <f>$B172</f>
        <v>BP CT No. 5</v>
      </c>
      <c r="N172" s="130"/>
      <c r="O172" s="145">
        <f>ROUND('Bayside CT #5'!$Q$31,0)</f>
        <v>8715074</v>
      </c>
      <c r="P172" s="130"/>
      <c r="Q172" s="145">
        <v>0</v>
      </c>
      <c r="R172" s="130"/>
      <c r="S172" s="145">
        <f>O172+Q172</f>
        <v>8715074</v>
      </c>
      <c r="T172" s="143"/>
    </row>
    <row r="173" spans="1:20" x14ac:dyDescent="0.2">
      <c r="A173" s="140">
        <v>34535</v>
      </c>
      <c r="B173" s="130" t="s">
        <v>114</v>
      </c>
      <c r="C173" s="130"/>
      <c r="D173" s="145">
        <f>ROUND('Bayside CT #5'!$F$38,0)</f>
        <v>10147531</v>
      </c>
      <c r="E173" s="145">
        <f>ROUND($S173,0)</f>
        <v>3538101</v>
      </c>
      <c r="F173" s="148">
        <f t="shared" si="42"/>
        <v>34.866619279113316</v>
      </c>
      <c r="G173" s="145">
        <f>ROUND('Bayside CT #5'!$N$38,0)</f>
        <v>3178734</v>
      </c>
      <c r="H173" s="148">
        <f t="shared" si="43"/>
        <v>31.325196247244776</v>
      </c>
      <c r="I173" s="145">
        <f>E173-G173</f>
        <v>359367</v>
      </c>
      <c r="J173" s="162">
        <f t="shared" si="44"/>
        <v>111.30534986570125</v>
      </c>
      <c r="K173" s="127"/>
      <c r="L173" s="140">
        <f>$A173</f>
        <v>34535</v>
      </c>
      <c r="M173" s="130" t="str">
        <f>$B173</f>
        <v>BP CT No. 5</v>
      </c>
      <c r="N173" s="130"/>
      <c r="O173" s="145">
        <f>ROUND('Bayside CT #5'!$Q$38,0)</f>
        <v>3538101</v>
      </c>
      <c r="P173" s="130"/>
      <c r="Q173" s="145">
        <v>0</v>
      </c>
      <c r="R173" s="130"/>
      <c r="S173" s="145">
        <f>O173+Q173</f>
        <v>3538101</v>
      </c>
      <c r="T173" s="143"/>
    </row>
    <row r="174" spans="1:20" ht="15" x14ac:dyDescent="0.2">
      <c r="A174" s="140">
        <v>34635</v>
      </c>
      <c r="B174" s="168" t="s">
        <v>114</v>
      </c>
      <c r="C174" s="130"/>
      <c r="D174" s="172">
        <f>ROUND('Bayside CT #5'!$F$45,0)</f>
        <v>0</v>
      </c>
      <c r="E174" s="172">
        <f>ROUND($S174,0)</f>
        <v>0</v>
      </c>
      <c r="F174" s="794">
        <f t="shared" si="42"/>
        <v>0</v>
      </c>
      <c r="G174" s="172">
        <f>ROUND('Bayside CT #5'!$N$45,0)</f>
        <v>0</v>
      </c>
      <c r="H174" s="794">
        <f t="shared" si="43"/>
        <v>0</v>
      </c>
      <c r="I174" s="171">
        <f>E174-G174</f>
        <v>0</v>
      </c>
      <c r="J174" s="795">
        <f t="shared" si="44"/>
        <v>0</v>
      </c>
      <c r="K174" s="127"/>
      <c r="L174" s="140">
        <f>$A174</f>
        <v>34635</v>
      </c>
      <c r="M174" s="168" t="str">
        <f>$B174</f>
        <v>BP CT No. 5</v>
      </c>
      <c r="N174" s="130"/>
      <c r="O174" s="172">
        <f>ROUND('Bayside CT #5'!$Q$45,0)</f>
        <v>0</v>
      </c>
      <c r="P174" s="130"/>
      <c r="Q174" s="171">
        <v>0</v>
      </c>
      <c r="R174" s="130"/>
      <c r="S174" s="171">
        <f>O174+Q174</f>
        <v>0</v>
      </c>
      <c r="T174" s="143"/>
    </row>
    <row r="175" spans="1:20" x14ac:dyDescent="0.2">
      <c r="A175" s="134"/>
      <c r="B175" s="128" t="s">
        <v>75</v>
      </c>
      <c r="C175" s="130"/>
      <c r="D175" s="173">
        <f>SUM(D170:D174)</f>
        <v>31537401</v>
      </c>
      <c r="E175" s="173">
        <f>SUM(E170:E174)</f>
        <v>12621749</v>
      </c>
      <c r="F175" s="796">
        <f t="shared" si="42"/>
        <v>40.021525553104389</v>
      </c>
      <c r="G175" s="173">
        <f>SUM(G170:G174)</f>
        <v>12390047</v>
      </c>
      <c r="H175" s="796">
        <f t="shared" si="43"/>
        <v>39.286835969774422</v>
      </c>
      <c r="I175" s="173">
        <f>SUM(I170:I174)</f>
        <v>231702</v>
      </c>
      <c r="J175" s="797">
        <f t="shared" si="44"/>
        <v>101.87006554535265</v>
      </c>
      <c r="K175" s="127"/>
      <c r="L175" s="134"/>
      <c r="M175" s="128" t="s">
        <v>75</v>
      </c>
      <c r="N175" s="130"/>
      <c r="O175" s="173">
        <f>SUM(O170:O174)</f>
        <v>12621749</v>
      </c>
      <c r="P175" s="130"/>
      <c r="Q175" s="173">
        <f>SUM(Q170:Q174)</f>
        <v>0</v>
      </c>
      <c r="R175" s="130"/>
      <c r="S175" s="173">
        <f>SUM(S170:S174)</f>
        <v>12621749</v>
      </c>
      <c r="T175" s="143"/>
    </row>
    <row r="176" spans="1:20" x14ac:dyDescent="0.2">
      <c r="A176" s="134"/>
      <c r="B176" s="130"/>
      <c r="C176" s="130"/>
      <c r="D176" s="198"/>
      <c r="E176" s="198"/>
      <c r="F176" s="148"/>
      <c r="G176" s="198"/>
      <c r="H176" s="148"/>
      <c r="I176" s="198"/>
      <c r="J176" s="162"/>
      <c r="K176" s="127"/>
      <c r="L176" s="134"/>
      <c r="M176" s="130"/>
      <c r="N176" s="130"/>
      <c r="O176" s="198"/>
      <c r="P176" s="130"/>
      <c r="Q176" s="198"/>
      <c r="R176" s="130"/>
      <c r="S176" s="198"/>
      <c r="T176" s="143"/>
    </row>
    <row r="177" spans="1:20" x14ac:dyDescent="0.2">
      <c r="A177" s="140">
        <v>34136</v>
      </c>
      <c r="B177" s="130" t="s">
        <v>115</v>
      </c>
      <c r="C177" s="130"/>
      <c r="D177" s="145">
        <f>ROUND('Bayside CT #6'!$F$17,0)</f>
        <v>2656232</v>
      </c>
      <c r="E177" s="145">
        <f>ROUND($S177,0)</f>
        <v>309934</v>
      </c>
      <c r="F177" s="148">
        <f t="shared" ref="F177:F182" si="45">IF($D177=0,0,(E177/$D177)*100)</f>
        <v>11.668182598507961</v>
      </c>
      <c r="G177" s="145">
        <f>ROUND('Bayside CT #6'!$N$17,0)</f>
        <v>718529</v>
      </c>
      <c r="H177" s="148">
        <f t="shared" ref="H177:H182" si="46">IF($D177=0,0,(G177/$D177)*100)</f>
        <v>27.05068683759551</v>
      </c>
      <c r="I177" s="145">
        <f>E177-G177</f>
        <v>-408595</v>
      </c>
      <c r="J177" s="162">
        <f t="shared" ref="J177:J182" si="47">IF(G177=0,0,(E177/G177)*100)</f>
        <v>43.134515099599319</v>
      </c>
      <c r="K177" s="127"/>
      <c r="L177" s="140">
        <f>$A177</f>
        <v>34136</v>
      </c>
      <c r="M177" s="130" t="str">
        <f>$B177</f>
        <v>BP CT No. 6</v>
      </c>
      <c r="N177" s="130"/>
      <c r="O177" s="145">
        <f>ROUND('Bayside CT #6'!$Q$17,0)</f>
        <v>309934</v>
      </c>
      <c r="P177" s="130"/>
      <c r="Q177" s="145">
        <v>0</v>
      </c>
      <c r="R177" s="130"/>
      <c r="S177" s="145">
        <f>O177+Q177</f>
        <v>309934</v>
      </c>
      <c r="T177" s="143"/>
    </row>
    <row r="178" spans="1:20" x14ac:dyDescent="0.2">
      <c r="A178" s="140">
        <v>34236</v>
      </c>
      <c r="B178" s="130" t="s">
        <v>115</v>
      </c>
      <c r="C178" s="130"/>
      <c r="D178" s="145">
        <f>ROUND('Bayside CT #6'!$F$24,0)</f>
        <v>1537279</v>
      </c>
      <c r="E178" s="145">
        <f>ROUND($S178,0)</f>
        <v>365569</v>
      </c>
      <c r="F178" s="148">
        <f t="shared" si="45"/>
        <v>23.780263699692767</v>
      </c>
      <c r="G178" s="145">
        <f>ROUND('Bayside CT #6'!$N$24,0)</f>
        <v>547606</v>
      </c>
      <c r="H178" s="148">
        <f t="shared" si="46"/>
        <v>35.621770674028589</v>
      </c>
      <c r="I178" s="145">
        <f>E178-G178</f>
        <v>-182037</v>
      </c>
      <c r="J178" s="162">
        <f t="shared" si="47"/>
        <v>66.757668834892243</v>
      </c>
      <c r="K178" s="127"/>
      <c r="L178" s="140">
        <f>$A178</f>
        <v>34236</v>
      </c>
      <c r="M178" s="130" t="str">
        <f>$B178</f>
        <v>BP CT No. 6</v>
      </c>
      <c r="N178" s="130"/>
      <c r="O178" s="145">
        <f>ROUND('Bayside CT #6'!$Q$24,0)</f>
        <v>365569</v>
      </c>
      <c r="P178" s="130"/>
      <c r="Q178" s="145">
        <v>0</v>
      </c>
      <c r="R178" s="130"/>
      <c r="S178" s="145">
        <f>O178+Q178</f>
        <v>365569</v>
      </c>
      <c r="T178" s="143"/>
    </row>
    <row r="179" spans="1:20" x14ac:dyDescent="0.2">
      <c r="A179" s="140">
        <v>34336</v>
      </c>
      <c r="B179" s="130" t="s">
        <v>115</v>
      </c>
      <c r="C179" s="130"/>
      <c r="D179" s="145">
        <f>ROUND('Bayside CT #6'!$F$31,0)</f>
        <v>17478929</v>
      </c>
      <c r="E179" s="145">
        <f>ROUND($S179,0)</f>
        <v>8817953</v>
      </c>
      <c r="F179" s="148">
        <f t="shared" si="45"/>
        <v>50.449046391801232</v>
      </c>
      <c r="G179" s="145">
        <f>ROUND('Bayside CT #6'!$N$31,0)</f>
        <v>6301414</v>
      </c>
      <c r="H179" s="148">
        <f t="shared" si="46"/>
        <v>36.051488051699273</v>
      </c>
      <c r="I179" s="145">
        <f>E179-G179</f>
        <v>2516539</v>
      </c>
      <c r="J179" s="162">
        <f t="shared" si="47"/>
        <v>139.93610005627309</v>
      </c>
      <c r="K179" s="127"/>
      <c r="L179" s="140">
        <f>$A179</f>
        <v>34336</v>
      </c>
      <c r="M179" s="130" t="str">
        <f>$B179</f>
        <v>BP CT No. 6</v>
      </c>
      <c r="N179" s="130"/>
      <c r="O179" s="145">
        <f>ROUND('Bayside CT #6'!$Q$31,0)</f>
        <v>8817953</v>
      </c>
      <c r="P179" s="130"/>
      <c r="Q179" s="145">
        <v>0</v>
      </c>
      <c r="R179" s="130"/>
      <c r="S179" s="145">
        <f>O179+Q179</f>
        <v>8817953</v>
      </c>
      <c r="T179" s="143"/>
    </row>
    <row r="180" spans="1:20" x14ac:dyDescent="0.2">
      <c r="A180" s="140">
        <v>34536</v>
      </c>
      <c r="B180" s="130" t="s">
        <v>115</v>
      </c>
      <c r="C180" s="130"/>
      <c r="D180" s="145">
        <f>ROUND('Bayside CT #6'!$F$38,0)</f>
        <v>14209232</v>
      </c>
      <c r="E180" s="145">
        <f>ROUND($S180,0)</f>
        <v>4871264</v>
      </c>
      <c r="F180" s="148">
        <f t="shared" si="45"/>
        <v>34.282387675843424</v>
      </c>
      <c r="G180" s="145">
        <f>ROUND('Bayside CT #6'!$N$38,0)</f>
        <v>4583021</v>
      </c>
      <c r="H180" s="148">
        <f t="shared" si="46"/>
        <v>32.253826244796343</v>
      </c>
      <c r="I180" s="145">
        <f>E180-G180</f>
        <v>288243</v>
      </c>
      <c r="J180" s="162">
        <f t="shared" si="47"/>
        <v>106.28936677357576</v>
      </c>
      <c r="K180" s="127"/>
      <c r="L180" s="140">
        <f>$A180</f>
        <v>34536</v>
      </c>
      <c r="M180" s="130" t="str">
        <f>$B180</f>
        <v>BP CT No. 6</v>
      </c>
      <c r="N180" s="130"/>
      <c r="O180" s="145">
        <f>ROUND('Bayside CT #6'!$Q$38,0)</f>
        <v>4871264</v>
      </c>
      <c r="P180" s="130"/>
      <c r="Q180" s="145">
        <v>0</v>
      </c>
      <c r="R180" s="130"/>
      <c r="S180" s="145">
        <f>O180+Q180</f>
        <v>4871264</v>
      </c>
      <c r="T180" s="143"/>
    </row>
    <row r="181" spans="1:20" ht="15" x14ac:dyDescent="0.2">
      <c r="A181" s="140">
        <v>34636</v>
      </c>
      <c r="B181" s="168" t="s">
        <v>115</v>
      </c>
      <c r="C181" s="130"/>
      <c r="D181" s="172">
        <f>ROUND('Bayside CT #6'!$F$45,0)</f>
        <v>11736</v>
      </c>
      <c r="E181" s="172">
        <f>ROUND($S181,0)</f>
        <v>4176</v>
      </c>
      <c r="F181" s="794">
        <f t="shared" si="45"/>
        <v>35.582822085889568</v>
      </c>
      <c r="G181" s="172">
        <f>ROUND('Bayside CT #6'!$N$45,0)</f>
        <v>3142</v>
      </c>
      <c r="H181" s="794">
        <f t="shared" si="46"/>
        <v>26.772324471710974</v>
      </c>
      <c r="I181" s="171">
        <f>E181-G181</f>
        <v>1034</v>
      </c>
      <c r="J181" s="795">
        <f t="shared" si="47"/>
        <v>132.90897517504774</v>
      </c>
      <c r="K181" s="127"/>
      <c r="L181" s="140">
        <f>$A181</f>
        <v>34636</v>
      </c>
      <c r="M181" s="168" t="str">
        <f>$B181</f>
        <v>BP CT No. 6</v>
      </c>
      <c r="N181" s="130"/>
      <c r="O181" s="172">
        <f>ROUND('Bayside CT #6'!$Q$45,0)</f>
        <v>4176</v>
      </c>
      <c r="P181" s="130"/>
      <c r="Q181" s="171">
        <v>0</v>
      </c>
      <c r="R181" s="130"/>
      <c r="S181" s="171">
        <f>O181+Q181</f>
        <v>4176</v>
      </c>
      <c r="T181" s="143"/>
    </row>
    <row r="182" spans="1:20" x14ac:dyDescent="0.2">
      <c r="A182" s="134"/>
      <c r="B182" s="128" t="s">
        <v>75</v>
      </c>
      <c r="C182" s="130"/>
      <c r="D182" s="173">
        <f>SUM(D177:D181)</f>
        <v>35893408</v>
      </c>
      <c r="E182" s="173">
        <f>SUM(E177:E181)</f>
        <v>14368896</v>
      </c>
      <c r="F182" s="796">
        <f t="shared" si="45"/>
        <v>40.032130690961417</v>
      </c>
      <c r="G182" s="173">
        <f>SUM(G177:G181)</f>
        <v>12153712</v>
      </c>
      <c r="H182" s="796">
        <f t="shared" si="46"/>
        <v>33.860568492130923</v>
      </c>
      <c r="I182" s="173">
        <f>SUM(I177:I181)</f>
        <v>2215184</v>
      </c>
      <c r="J182" s="797">
        <f t="shared" si="47"/>
        <v>118.22639865088132</v>
      </c>
      <c r="K182" s="127"/>
      <c r="L182" s="134"/>
      <c r="M182" s="128" t="s">
        <v>75</v>
      </c>
      <c r="N182" s="130"/>
      <c r="O182" s="173">
        <f>SUM(O177:O181)</f>
        <v>14368896</v>
      </c>
      <c r="P182" s="130"/>
      <c r="Q182" s="173">
        <f>SUM(Q177:Q181)</f>
        <v>0</v>
      </c>
      <c r="R182" s="130"/>
      <c r="S182" s="173">
        <f>SUM(S177:S181)</f>
        <v>14368896</v>
      </c>
      <c r="T182" s="143"/>
    </row>
    <row r="183" spans="1:20" x14ac:dyDescent="0.2">
      <c r="A183" s="140"/>
      <c r="B183" s="130"/>
      <c r="C183" s="130"/>
      <c r="D183" s="145"/>
      <c r="E183" s="145"/>
      <c r="F183" s="148"/>
      <c r="G183" s="145"/>
      <c r="H183" s="148"/>
      <c r="I183" s="145"/>
      <c r="J183" s="162"/>
      <c r="K183" s="127"/>
      <c r="L183" s="140"/>
      <c r="M183" s="130"/>
      <c r="N183" s="130"/>
      <c r="O183" s="145"/>
      <c r="P183" s="130"/>
      <c r="Q183" s="145"/>
      <c r="R183" s="130"/>
      <c r="S183" s="145"/>
      <c r="T183" s="143"/>
    </row>
    <row r="184" spans="1:20" x14ac:dyDescent="0.2">
      <c r="A184" s="140">
        <v>34637</v>
      </c>
      <c r="B184" s="130" t="s">
        <v>83</v>
      </c>
      <c r="C184" s="130"/>
      <c r="D184" s="145">
        <f>VLOOKUP('Change in Plant &amp; Reserve'!$A184,'2019 B-7'!C:P,14,FALSE)</f>
        <v>702614.98999999987</v>
      </c>
      <c r="E184" s="145">
        <f>ROUND($S184,0)</f>
        <v>484556</v>
      </c>
      <c r="F184" s="148">
        <f>IF($D184=0,0,(E184/$D184)*100)</f>
        <v>68.964654454639529</v>
      </c>
      <c r="G184" s="145">
        <f>E184</f>
        <v>484556</v>
      </c>
      <c r="H184" s="148">
        <f>IF($D184=0,0,(G184/$D184)*100)</f>
        <v>68.964654454639529</v>
      </c>
      <c r="I184" s="145">
        <f>E184-G184</f>
        <v>0</v>
      </c>
      <c r="J184" s="162">
        <f>IF(G184=0,0,(E184/G184)*100)</f>
        <v>100</v>
      </c>
      <c r="K184" s="127"/>
      <c r="L184" s="140">
        <f>$A184</f>
        <v>34637</v>
      </c>
      <c r="M184" s="130" t="str">
        <f>$B184</f>
        <v>Bayside Amortizable Tools</v>
      </c>
      <c r="N184" s="130"/>
      <c r="O184" s="145">
        <f>VLOOKUP('Change in Plant &amp; Reserve'!$A184,'2019 B-9'!C:R,16,FALSE)</f>
        <v>484555.71000000008</v>
      </c>
      <c r="P184" s="130"/>
      <c r="Q184" s="145">
        <v>0</v>
      </c>
      <c r="R184" s="130"/>
      <c r="S184" s="145">
        <f>O184+Q184</f>
        <v>484555.71000000008</v>
      </c>
      <c r="T184" s="143"/>
    </row>
    <row r="185" spans="1:20" ht="13.5" thickBot="1" x14ac:dyDescent="0.25">
      <c r="A185" s="493"/>
      <c r="B185" s="493"/>
      <c r="C185" s="130"/>
      <c r="D185" s="182"/>
      <c r="E185" s="182"/>
      <c r="F185" s="183"/>
      <c r="G185" s="182"/>
      <c r="H185" s="183"/>
      <c r="I185" s="182"/>
      <c r="J185" s="184"/>
      <c r="K185" s="127"/>
      <c r="L185" s="493"/>
      <c r="M185" s="493"/>
      <c r="N185" s="130"/>
      <c r="O185" s="182"/>
      <c r="P185" s="130"/>
      <c r="Q185" s="182"/>
      <c r="R185" s="130"/>
      <c r="S185" s="182"/>
      <c r="T185" s="143"/>
    </row>
    <row r="186" spans="1:20" ht="19.5" customHeight="1" thickTop="1" thickBot="1" x14ac:dyDescent="0.25">
      <c r="A186" s="494"/>
      <c r="B186" s="384" t="s">
        <v>73</v>
      </c>
      <c r="C186" s="130"/>
      <c r="D186" s="196">
        <f>SUM(D140,D147,D154,D161,D168,D175,D182,D184)</f>
        <v>1110577447.99</v>
      </c>
      <c r="E186" s="196">
        <f>SUM(E140,E147,E154,E161,E168,E175,E182,E184)</f>
        <v>347243537</v>
      </c>
      <c r="F186" s="798">
        <f>IF($D186=0,0,(E186/$D186)*100)</f>
        <v>31.26693573946287</v>
      </c>
      <c r="G186" s="196">
        <f>SUM(G140,G147,G154,G161,G168,G175,G182,G184)</f>
        <v>533279658</v>
      </c>
      <c r="H186" s="798">
        <f>IF($D186=0,0,(G186/$D186)*100)</f>
        <v>48.018232223710875</v>
      </c>
      <c r="I186" s="196">
        <f>SUM(I140,I147,I154,I161,I168,I175,I182,I184)</f>
        <v>-186036121</v>
      </c>
      <c r="J186" s="799">
        <f>IF(G186=0,0,(E186/G186)*100)</f>
        <v>65.114716413953303</v>
      </c>
      <c r="K186" s="127"/>
      <c r="L186" s="494"/>
      <c r="M186" s="384" t="s">
        <v>73</v>
      </c>
      <c r="N186" s="130"/>
      <c r="O186" s="196">
        <f>SUM(O140,O147,O154,O161,O168,O175,O182,O184)</f>
        <v>347243536.70999998</v>
      </c>
      <c r="P186" s="130"/>
      <c r="Q186" s="196">
        <f>SUM(Q140,Q147,Q154,Q161,Q168,Q175,Q182,Q184)</f>
        <v>0</v>
      </c>
      <c r="R186" s="130"/>
      <c r="S186" s="196">
        <f>SUM(S140,S147,S154,S161,S168,S175,S182,S184)</f>
        <v>347243536.70999998</v>
      </c>
      <c r="T186" s="143"/>
    </row>
    <row r="187" spans="1:20" ht="13.5" thickTop="1" x14ac:dyDescent="0.2">
      <c r="A187" s="140"/>
      <c r="B187" s="130"/>
      <c r="C187" s="130"/>
      <c r="D187" s="145"/>
      <c r="E187" s="145"/>
      <c r="F187" s="148"/>
      <c r="G187" s="145"/>
      <c r="H187" s="148"/>
      <c r="I187" s="145"/>
      <c r="J187" s="162"/>
      <c r="K187" s="127"/>
      <c r="L187" s="140"/>
      <c r="M187" s="130"/>
      <c r="N187" s="130"/>
      <c r="O187" s="145"/>
      <c r="P187" s="130"/>
      <c r="Q187" s="145"/>
      <c r="R187" s="130"/>
      <c r="S187" s="145"/>
      <c r="T187" s="143"/>
    </row>
    <row r="188" spans="1:20" x14ac:dyDescent="0.2">
      <c r="A188" s="140"/>
      <c r="B188" s="144" t="s">
        <v>64</v>
      </c>
      <c r="C188" s="130"/>
      <c r="D188" s="145"/>
      <c r="E188" s="145"/>
      <c r="F188" s="148"/>
      <c r="G188" s="145"/>
      <c r="H188" s="148"/>
      <c r="I188" s="145"/>
      <c r="J188" s="162"/>
      <c r="K188" s="127"/>
      <c r="L188" s="140"/>
      <c r="M188" s="144" t="s">
        <v>64</v>
      </c>
      <c r="N188" s="130"/>
      <c r="O188" s="145"/>
      <c r="P188" s="130"/>
      <c r="Q188" s="145"/>
      <c r="R188" s="130"/>
      <c r="S188" s="145"/>
      <c r="T188" s="143"/>
    </row>
    <row r="189" spans="1:20" x14ac:dyDescent="0.2">
      <c r="A189" s="140"/>
      <c r="B189" s="130"/>
      <c r="C189" s="130"/>
      <c r="D189" s="145"/>
      <c r="E189" s="145"/>
      <c r="F189" s="148"/>
      <c r="G189" s="145"/>
      <c r="H189" s="148"/>
      <c r="I189" s="145"/>
      <c r="J189" s="162"/>
      <c r="K189" s="127"/>
      <c r="L189" s="140"/>
      <c r="M189" s="130"/>
      <c r="N189" s="130"/>
      <c r="O189" s="145"/>
      <c r="P189" s="130"/>
      <c r="Q189" s="145"/>
      <c r="R189" s="130"/>
      <c r="S189" s="145"/>
      <c r="T189" s="143"/>
    </row>
    <row r="190" spans="1:20" x14ac:dyDescent="0.2">
      <c r="A190" s="140">
        <v>34180</v>
      </c>
      <c r="B190" s="130" t="s">
        <v>116</v>
      </c>
      <c r="C190" s="130"/>
      <c r="D190" s="145">
        <f>ROUND('Polk Common'!$F$17,0)</f>
        <v>190101668</v>
      </c>
      <c r="E190" s="145">
        <f>ROUND($S190,0)</f>
        <v>41576855</v>
      </c>
      <c r="F190" s="148">
        <f t="shared" ref="F190:F195" si="48">IF($D190=0,0,(E190/$D190)*100)</f>
        <v>21.870852285209828</v>
      </c>
      <c r="G190" s="145">
        <f>ROUND('Polk Common'!$N$17,0)</f>
        <v>46425537</v>
      </c>
      <c r="H190" s="148">
        <f t="shared" ref="H190:H195" si="49">IF($D190=0,0,(G190/$D190)*100)</f>
        <v>24.421425381706804</v>
      </c>
      <c r="I190" s="145">
        <f>E190-G190</f>
        <v>-4848682</v>
      </c>
      <c r="J190" s="162">
        <f t="shared" ref="J190:J195" si="50">IF(G190=0,0,(E190/G190)*100)</f>
        <v>89.556002335524951</v>
      </c>
      <c r="K190" s="127"/>
      <c r="L190" s="140">
        <f>$A190</f>
        <v>34180</v>
      </c>
      <c r="M190" s="130" t="str">
        <f>$B190</f>
        <v>PK Common</v>
      </c>
      <c r="N190" s="130"/>
      <c r="O190" s="145">
        <f>ROUND('Polk Common'!$Q$17,0)</f>
        <v>41576855</v>
      </c>
      <c r="P190" s="130"/>
      <c r="Q190" s="145">
        <v>0</v>
      </c>
      <c r="R190" s="130"/>
      <c r="S190" s="145">
        <f>O190+Q190</f>
        <v>41576855</v>
      </c>
      <c r="T190" s="143"/>
    </row>
    <row r="191" spans="1:20" x14ac:dyDescent="0.2">
      <c r="A191" s="140">
        <v>34280</v>
      </c>
      <c r="B191" s="130" t="s">
        <v>116</v>
      </c>
      <c r="C191" s="130"/>
      <c r="D191" s="145">
        <f>ROUND('Polk Common'!$F$24,0)</f>
        <v>9702986</v>
      </c>
      <c r="E191" s="145">
        <f>ROUND($S191,0)</f>
        <v>3199499</v>
      </c>
      <c r="F191" s="148">
        <f t="shared" si="48"/>
        <v>32.974375104735799</v>
      </c>
      <c r="G191" s="145">
        <f>ROUND('Polk Common'!$N$24,0)</f>
        <v>2457779</v>
      </c>
      <c r="H191" s="148">
        <f t="shared" si="49"/>
        <v>25.330130333074784</v>
      </c>
      <c r="I191" s="145">
        <f>E191-G191</f>
        <v>741720</v>
      </c>
      <c r="J191" s="162">
        <f t="shared" si="50"/>
        <v>130.17846600528361</v>
      </c>
      <c r="K191" s="127"/>
      <c r="L191" s="140">
        <f>$A191</f>
        <v>34280</v>
      </c>
      <c r="M191" s="130" t="str">
        <f>$B191</f>
        <v>PK Common</v>
      </c>
      <c r="N191" s="130"/>
      <c r="O191" s="145">
        <f>ROUND('Polk Common'!$Q$24,0)</f>
        <v>3199499</v>
      </c>
      <c r="P191" s="130"/>
      <c r="Q191" s="145">
        <v>0</v>
      </c>
      <c r="R191" s="130"/>
      <c r="S191" s="145">
        <f>O191+Q191</f>
        <v>3199499</v>
      </c>
      <c r="T191" s="143"/>
    </row>
    <row r="192" spans="1:20" x14ac:dyDescent="0.2">
      <c r="A192" s="140">
        <v>34380</v>
      </c>
      <c r="B192" s="130" t="s">
        <v>116</v>
      </c>
      <c r="C192" s="130"/>
      <c r="D192" s="145">
        <f>ROUND('Polk Common'!$F$31,0)</f>
        <v>10424249</v>
      </c>
      <c r="E192" s="145">
        <f>ROUND($S192,0)</f>
        <v>1646064</v>
      </c>
      <c r="F192" s="148">
        <f t="shared" si="48"/>
        <v>15.790720271551455</v>
      </c>
      <c r="G192" s="145">
        <f>ROUND('Polk Common'!$N$31,0)</f>
        <v>1978546</v>
      </c>
      <c r="H192" s="148">
        <f t="shared" si="49"/>
        <v>18.980225817706391</v>
      </c>
      <c r="I192" s="145">
        <f>E192-G192</f>
        <v>-332482</v>
      </c>
      <c r="J192" s="162">
        <f t="shared" si="50"/>
        <v>83.195639626271017</v>
      </c>
      <c r="K192" s="127"/>
      <c r="L192" s="140">
        <f>$A192</f>
        <v>34380</v>
      </c>
      <c r="M192" s="130" t="str">
        <f>$B192</f>
        <v>PK Common</v>
      </c>
      <c r="N192" s="130"/>
      <c r="O192" s="145">
        <f>ROUND('Polk Common'!$Q$31,0)</f>
        <v>1646064</v>
      </c>
      <c r="P192" s="130"/>
      <c r="Q192" s="145">
        <v>0</v>
      </c>
      <c r="R192" s="130"/>
      <c r="S192" s="145">
        <f>O192+Q192</f>
        <v>1646064</v>
      </c>
      <c r="T192" s="143"/>
    </row>
    <row r="193" spans="1:20" x14ac:dyDescent="0.2">
      <c r="A193" s="140">
        <v>34580</v>
      </c>
      <c r="B193" s="130" t="s">
        <v>116</v>
      </c>
      <c r="C193" s="130"/>
      <c r="D193" s="145">
        <f>ROUND('Polk Common'!$F$38,0)</f>
        <v>13904146</v>
      </c>
      <c r="E193" s="145">
        <f>ROUND($S193,0)</f>
        <v>2012288</v>
      </c>
      <c r="F193" s="148">
        <f t="shared" si="48"/>
        <v>14.472575302359456</v>
      </c>
      <c r="G193" s="145">
        <f>ROUND('Polk Common'!$N$38,0)</f>
        <v>2516891</v>
      </c>
      <c r="H193" s="148">
        <f t="shared" si="49"/>
        <v>18.101730232119255</v>
      </c>
      <c r="I193" s="145">
        <f>E193-G193</f>
        <v>-504603</v>
      </c>
      <c r="J193" s="162">
        <f t="shared" si="50"/>
        <v>79.951336788124721</v>
      </c>
      <c r="K193" s="127"/>
      <c r="L193" s="140">
        <f>$A193</f>
        <v>34580</v>
      </c>
      <c r="M193" s="130" t="str">
        <f>$B193</f>
        <v>PK Common</v>
      </c>
      <c r="N193" s="130"/>
      <c r="O193" s="145">
        <f>ROUND('Polk Common'!$Q$38,0)</f>
        <v>2012288</v>
      </c>
      <c r="P193" s="130"/>
      <c r="Q193" s="145">
        <v>0</v>
      </c>
      <c r="R193" s="130"/>
      <c r="S193" s="145">
        <f>O193+Q193</f>
        <v>2012288</v>
      </c>
      <c r="T193" s="143"/>
    </row>
    <row r="194" spans="1:20" ht="15" x14ac:dyDescent="0.2">
      <c r="A194" s="140">
        <v>34680</v>
      </c>
      <c r="B194" s="168" t="s">
        <v>116</v>
      </c>
      <c r="C194" s="130"/>
      <c r="D194" s="171">
        <f>ROUND('Polk Common'!$F$45,0)</f>
        <v>850631</v>
      </c>
      <c r="E194" s="172">
        <f>ROUND($S194,0)</f>
        <v>-131378</v>
      </c>
      <c r="F194" s="794">
        <f t="shared" si="48"/>
        <v>-15.444769823813145</v>
      </c>
      <c r="G194" s="171">
        <f>ROUND('Polk Common'!$N$45,0)</f>
        <v>288988</v>
      </c>
      <c r="H194" s="794">
        <f t="shared" si="49"/>
        <v>33.973368005633461</v>
      </c>
      <c r="I194" s="171">
        <f>E194-G194</f>
        <v>-420366</v>
      </c>
      <c r="J194" s="795">
        <f t="shared" si="50"/>
        <v>-45.461403241657095</v>
      </c>
      <c r="K194" s="127"/>
      <c r="L194" s="140">
        <f>$A194</f>
        <v>34680</v>
      </c>
      <c r="M194" s="168" t="str">
        <f>$B194</f>
        <v>PK Common</v>
      </c>
      <c r="N194" s="130"/>
      <c r="O194" s="171">
        <f>ROUND('Polk Common'!$Q$45,0)</f>
        <v>-131378</v>
      </c>
      <c r="P194" s="130"/>
      <c r="Q194" s="171">
        <v>0</v>
      </c>
      <c r="R194" s="130"/>
      <c r="S194" s="171">
        <f>O194+Q194</f>
        <v>-131378</v>
      </c>
      <c r="T194" s="143"/>
    </row>
    <row r="195" spans="1:20" x14ac:dyDescent="0.2">
      <c r="A195" s="134"/>
      <c r="B195" s="128" t="s">
        <v>75</v>
      </c>
      <c r="C195" s="130"/>
      <c r="D195" s="173">
        <f>SUM(D190:D194)</f>
        <v>224983680</v>
      </c>
      <c r="E195" s="173">
        <f>SUM(E190:E194)</f>
        <v>48303328</v>
      </c>
      <c r="F195" s="796">
        <f t="shared" si="48"/>
        <v>21.469703046905448</v>
      </c>
      <c r="G195" s="173">
        <f>SUM(G190:G194)</f>
        <v>53667741</v>
      </c>
      <c r="H195" s="796">
        <f t="shared" si="49"/>
        <v>23.854059547785866</v>
      </c>
      <c r="I195" s="173">
        <f>SUM(I190:I194)</f>
        <v>-5364413</v>
      </c>
      <c r="J195" s="797">
        <f t="shared" si="50"/>
        <v>90.004399477145867</v>
      </c>
      <c r="K195" s="127"/>
      <c r="L195" s="134"/>
      <c r="M195" s="128" t="s">
        <v>75</v>
      </c>
      <c r="N195" s="130"/>
      <c r="O195" s="173">
        <f>SUM(O190:O194)</f>
        <v>48303328</v>
      </c>
      <c r="P195" s="130"/>
      <c r="Q195" s="173">
        <f>SUM(Q190:Q194)</f>
        <v>0</v>
      </c>
      <c r="R195" s="130"/>
      <c r="S195" s="173">
        <f>SUM(S190:S194)</f>
        <v>48303328</v>
      </c>
      <c r="T195" s="143"/>
    </row>
    <row r="196" spans="1:20" x14ac:dyDescent="0.2">
      <c r="A196" s="200"/>
      <c r="B196" s="130"/>
      <c r="C196" s="130"/>
      <c r="D196" s="145"/>
      <c r="E196" s="145"/>
      <c r="F196" s="148"/>
      <c r="G196" s="145"/>
      <c r="H196" s="148"/>
      <c r="I196" s="145"/>
      <c r="J196" s="162"/>
      <c r="K196" s="127"/>
      <c r="L196" s="200"/>
      <c r="M196" s="130"/>
      <c r="N196" s="130"/>
      <c r="O196" s="145"/>
      <c r="P196" s="130"/>
      <c r="Q196" s="145"/>
      <c r="R196" s="130"/>
      <c r="S196" s="145"/>
      <c r="T196" s="143"/>
    </row>
    <row r="197" spans="1:20" x14ac:dyDescent="0.2">
      <c r="A197" s="140">
        <v>34181</v>
      </c>
      <c r="B197" s="130" t="s">
        <v>117</v>
      </c>
      <c r="C197" s="130"/>
      <c r="D197" s="145">
        <f>ROUND('Polk #1'!$F$17,0)</f>
        <v>49619944</v>
      </c>
      <c r="E197" s="145">
        <f>ROUND($S197,0)</f>
        <v>22146505</v>
      </c>
      <c r="F197" s="148">
        <f t="shared" ref="F197:F202" si="51">IF($D197=0,0,(E197/$D197)*100)</f>
        <v>44.632265203685037</v>
      </c>
      <c r="G197" s="145">
        <f>ROUND('Polk #1'!$N$17,0)</f>
        <v>28059544</v>
      </c>
      <c r="H197" s="148">
        <f t="shared" ref="H197:H202" si="52">IF($D197=0,0,(G197/$D197)*100)</f>
        <v>56.548923150739547</v>
      </c>
      <c r="I197" s="145">
        <f>E197-G197</f>
        <v>-5913039</v>
      </c>
      <c r="J197" s="162">
        <f t="shared" ref="J197:J202" si="53">IF(G197=0,0,(E197/G197)*100)</f>
        <v>78.926817199880375</v>
      </c>
      <c r="K197" s="127"/>
      <c r="L197" s="140">
        <f>$A197</f>
        <v>34181</v>
      </c>
      <c r="M197" s="130" t="str">
        <f>$B197</f>
        <v>PK Unit No. 1</v>
      </c>
      <c r="N197" s="130"/>
      <c r="O197" s="145">
        <f>ROUND('Polk #1'!$Q$17,0)</f>
        <v>22146505</v>
      </c>
      <c r="P197" s="130"/>
      <c r="Q197" s="145">
        <v>0</v>
      </c>
      <c r="R197" s="130"/>
      <c r="S197" s="145">
        <f>O197+Q197</f>
        <v>22146505</v>
      </c>
      <c r="T197" s="143"/>
    </row>
    <row r="198" spans="1:20" x14ac:dyDescent="0.2">
      <c r="A198" s="140">
        <v>34281</v>
      </c>
      <c r="B198" s="130" t="s">
        <v>117</v>
      </c>
      <c r="C198" s="130"/>
      <c r="D198" s="145">
        <f>ROUND('Polk #1'!$F$24,0)</f>
        <v>243837822</v>
      </c>
      <c r="E198" s="145">
        <f>ROUND($S198,0)</f>
        <v>108967420</v>
      </c>
      <c r="F198" s="148">
        <f t="shared" si="51"/>
        <v>44.688481510468876</v>
      </c>
      <c r="G198" s="145">
        <f>ROUND('Polk #1'!$N$24,0)</f>
        <v>129638656</v>
      </c>
      <c r="H198" s="148">
        <f t="shared" si="52"/>
        <v>53.165934200314503</v>
      </c>
      <c r="I198" s="145">
        <f>E198-G198</f>
        <v>-20671236</v>
      </c>
      <c r="J198" s="162">
        <f t="shared" si="53"/>
        <v>84.054728244020055</v>
      </c>
      <c r="K198" s="127"/>
      <c r="L198" s="140">
        <f>$A198</f>
        <v>34281</v>
      </c>
      <c r="M198" s="130" t="str">
        <f>$B198</f>
        <v>PK Unit No. 1</v>
      </c>
      <c r="N198" s="130"/>
      <c r="O198" s="145">
        <f>ROUND('Polk #1'!$Q$24,0)</f>
        <v>108967420</v>
      </c>
      <c r="P198" s="130"/>
      <c r="Q198" s="145">
        <v>0</v>
      </c>
      <c r="R198" s="130"/>
      <c r="S198" s="145">
        <f>O198+Q198</f>
        <v>108967420</v>
      </c>
      <c r="T198" s="143"/>
    </row>
    <row r="199" spans="1:20" x14ac:dyDescent="0.2">
      <c r="A199" s="140">
        <v>34381</v>
      </c>
      <c r="B199" s="130" t="s">
        <v>117</v>
      </c>
      <c r="C199" s="130"/>
      <c r="D199" s="145">
        <f>ROUND('Polk #1'!$F$31,0)</f>
        <v>146141231</v>
      </c>
      <c r="E199" s="145">
        <f>ROUND($S199,0)</f>
        <v>68907372</v>
      </c>
      <c r="F199" s="148">
        <f t="shared" si="51"/>
        <v>47.151219083408428</v>
      </c>
      <c r="G199" s="145">
        <f>ROUND('Polk #1'!$N$31,0)</f>
        <v>79031558</v>
      </c>
      <c r="H199" s="148">
        <f t="shared" si="52"/>
        <v>54.078891671577608</v>
      </c>
      <c r="I199" s="145">
        <f>E199-G199</f>
        <v>-10124186</v>
      </c>
      <c r="J199" s="162">
        <f t="shared" si="53"/>
        <v>87.189691996202328</v>
      </c>
      <c r="K199" s="127"/>
      <c r="L199" s="140">
        <f>$A199</f>
        <v>34381</v>
      </c>
      <c r="M199" s="130" t="str">
        <f>$B199</f>
        <v>PK Unit No. 1</v>
      </c>
      <c r="N199" s="130"/>
      <c r="O199" s="145">
        <f>ROUND('Polk #1'!$Q$31,0)</f>
        <v>68907372</v>
      </c>
      <c r="P199" s="130"/>
      <c r="Q199" s="145">
        <v>0</v>
      </c>
      <c r="R199" s="130"/>
      <c r="S199" s="145">
        <f>O199+Q199</f>
        <v>68907372</v>
      </c>
      <c r="T199" s="143"/>
    </row>
    <row r="200" spans="1:20" x14ac:dyDescent="0.2">
      <c r="A200" s="140">
        <v>34581</v>
      </c>
      <c r="B200" s="130" t="s">
        <v>117</v>
      </c>
      <c r="C200" s="130"/>
      <c r="D200" s="145">
        <f>ROUND('Polk #1'!$F$38,0)</f>
        <v>57896239</v>
      </c>
      <c r="E200" s="145">
        <f>ROUND($S200,0)</f>
        <v>35972829</v>
      </c>
      <c r="F200" s="148">
        <f t="shared" si="51"/>
        <v>62.133274322015971</v>
      </c>
      <c r="G200" s="145">
        <f>ROUND('Polk #1'!$N$38,0)</f>
        <v>36768290</v>
      </c>
      <c r="H200" s="148">
        <f t="shared" si="52"/>
        <v>63.507216764114851</v>
      </c>
      <c r="I200" s="145">
        <f>E200-G200</f>
        <v>-795461</v>
      </c>
      <c r="J200" s="162">
        <f t="shared" si="53"/>
        <v>97.836556989732188</v>
      </c>
      <c r="K200" s="127"/>
      <c r="L200" s="140">
        <f>$A200</f>
        <v>34581</v>
      </c>
      <c r="M200" s="130" t="str">
        <f>$B200</f>
        <v>PK Unit No. 1</v>
      </c>
      <c r="N200" s="130"/>
      <c r="O200" s="145">
        <f>ROUND('Polk #1'!$Q$38,0)</f>
        <v>35972829</v>
      </c>
      <c r="P200" s="130"/>
      <c r="Q200" s="145">
        <v>0</v>
      </c>
      <c r="R200" s="130"/>
      <c r="S200" s="145">
        <f>O200+Q200</f>
        <v>35972829</v>
      </c>
      <c r="T200" s="143"/>
    </row>
    <row r="201" spans="1:20" ht="15" x14ac:dyDescent="0.2">
      <c r="A201" s="140">
        <v>34681</v>
      </c>
      <c r="B201" s="168" t="s">
        <v>117</v>
      </c>
      <c r="C201" s="130"/>
      <c r="D201" s="171">
        <f>ROUND('Polk #1'!$F$45,0)</f>
        <v>6060777</v>
      </c>
      <c r="E201" s="172">
        <f>ROUND($S201,0)</f>
        <v>2192422</v>
      </c>
      <c r="F201" s="794">
        <f t="shared" si="51"/>
        <v>36.173942713945756</v>
      </c>
      <c r="G201" s="171">
        <f>ROUND('Polk #1'!$N$45,0)</f>
        <v>2927210</v>
      </c>
      <c r="H201" s="794">
        <f t="shared" si="52"/>
        <v>48.297602766113982</v>
      </c>
      <c r="I201" s="171">
        <f>E201-G201</f>
        <v>-734788</v>
      </c>
      <c r="J201" s="795">
        <f t="shared" si="53"/>
        <v>74.898008684037023</v>
      </c>
      <c r="K201" s="127"/>
      <c r="L201" s="140">
        <f>$A201</f>
        <v>34681</v>
      </c>
      <c r="M201" s="168" t="str">
        <f>$B201</f>
        <v>PK Unit No. 1</v>
      </c>
      <c r="N201" s="130"/>
      <c r="O201" s="171">
        <f>ROUND('Polk #1'!$Q$45,0)</f>
        <v>2192422</v>
      </c>
      <c r="P201" s="130"/>
      <c r="Q201" s="171">
        <v>0</v>
      </c>
      <c r="R201" s="130"/>
      <c r="S201" s="171">
        <f>O201+Q201</f>
        <v>2192422</v>
      </c>
      <c r="T201" s="143"/>
    </row>
    <row r="202" spans="1:20" x14ac:dyDescent="0.2">
      <c r="A202" s="134"/>
      <c r="B202" s="128" t="s">
        <v>75</v>
      </c>
      <c r="C202" s="130"/>
      <c r="D202" s="173">
        <f>SUM(D197:D201)</f>
        <v>503556013</v>
      </c>
      <c r="E202" s="173">
        <f>SUM(E197:E201)</f>
        <v>238186548</v>
      </c>
      <c r="F202" s="796">
        <f t="shared" si="51"/>
        <v>47.30090433852093</v>
      </c>
      <c r="G202" s="173">
        <f>SUM(G197:G201)</f>
        <v>276425258</v>
      </c>
      <c r="H202" s="796">
        <f t="shared" si="52"/>
        <v>54.894639496639272</v>
      </c>
      <c r="I202" s="173">
        <f>SUM(I197:I201)</f>
        <v>-38238710</v>
      </c>
      <c r="J202" s="797">
        <f t="shared" si="53"/>
        <v>86.166709121783654</v>
      </c>
      <c r="K202" s="127"/>
      <c r="L202" s="134"/>
      <c r="M202" s="128" t="s">
        <v>75</v>
      </c>
      <c r="N202" s="130"/>
      <c r="O202" s="173">
        <f>SUM(O197:O201)</f>
        <v>238186548</v>
      </c>
      <c r="P202" s="130"/>
      <c r="Q202" s="173">
        <f>SUM(Q197:Q201)</f>
        <v>0</v>
      </c>
      <c r="R202" s="130"/>
      <c r="S202" s="173">
        <f>SUM(S197:S201)</f>
        <v>238186548</v>
      </c>
      <c r="T202" s="143"/>
    </row>
    <row r="203" spans="1:20" x14ac:dyDescent="0.2">
      <c r="A203" s="200"/>
      <c r="B203" s="130"/>
      <c r="C203" s="130"/>
      <c r="D203" s="145"/>
      <c r="E203" s="145"/>
      <c r="F203" s="148"/>
      <c r="G203" s="145"/>
      <c r="H203" s="148"/>
      <c r="I203" s="145"/>
      <c r="J203" s="162"/>
      <c r="K203" s="127"/>
      <c r="L203" s="200"/>
      <c r="M203" s="130"/>
      <c r="N203" s="130"/>
      <c r="O203" s="145"/>
      <c r="P203" s="130"/>
      <c r="Q203" s="145"/>
      <c r="R203" s="130"/>
      <c r="S203" s="145"/>
      <c r="T203" s="143"/>
    </row>
    <row r="204" spans="1:20" x14ac:dyDescent="0.2">
      <c r="A204" s="140">
        <v>34182</v>
      </c>
      <c r="B204" s="130" t="s">
        <v>118</v>
      </c>
      <c r="C204" s="130"/>
      <c r="D204" s="145">
        <f>ROUND('Polk #2'!$F$17,0)</f>
        <v>2154013</v>
      </c>
      <c r="E204" s="145">
        <f>ROUND($S204,0)</f>
        <v>1089209</v>
      </c>
      <c r="F204" s="148">
        <f t="shared" ref="F204:F209" si="54">IF($D204=0,0,(E204/$D204)*100)</f>
        <v>50.566500759280466</v>
      </c>
      <c r="G204" s="145">
        <f>ROUND('Polk #2'!$N$17,0)</f>
        <v>1079675</v>
      </c>
      <c r="H204" s="148">
        <f t="shared" ref="H204:H209" si="55">IF($D204=0,0,(G204/$D204)*100)</f>
        <v>50.12388504619053</v>
      </c>
      <c r="I204" s="145">
        <f>E204-G204</f>
        <v>9534</v>
      </c>
      <c r="J204" s="162">
        <f t="shared" ref="J204:J209" si="56">IF(G204=0,0,(E204/G204)*100)</f>
        <v>100.8830435084632</v>
      </c>
      <c r="K204" s="127"/>
      <c r="L204" s="140">
        <f>$A204</f>
        <v>34182</v>
      </c>
      <c r="M204" s="130" t="str">
        <f>$B204</f>
        <v>PK CT No. 2</v>
      </c>
      <c r="N204" s="130"/>
      <c r="O204" s="145">
        <f>ROUND('Polk #2'!$Q$17,0)</f>
        <v>1089209</v>
      </c>
      <c r="P204" s="130"/>
      <c r="Q204" s="145">
        <v>0</v>
      </c>
      <c r="R204" s="130"/>
      <c r="S204" s="145">
        <f>O204+Q204</f>
        <v>1089209</v>
      </c>
      <c r="T204" s="143"/>
    </row>
    <row r="205" spans="1:20" x14ac:dyDescent="0.2">
      <c r="A205" s="140">
        <v>34282</v>
      </c>
      <c r="B205" s="130" t="s">
        <v>118</v>
      </c>
      <c r="C205" s="130"/>
      <c r="D205" s="145">
        <f>ROUND('Polk #2'!$F$24,0)</f>
        <v>2054235</v>
      </c>
      <c r="E205" s="145">
        <f>ROUND($S205,0)</f>
        <v>445193</v>
      </c>
      <c r="F205" s="148">
        <f t="shared" si="54"/>
        <v>21.671960608206948</v>
      </c>
      <c r="G205" s="145">
        <f>ROUND('Polk #2'!$N$24,0)</f>
        <v>620537</v>
      </c>
      <c r="H205" s="148">
        <f t="shared" si="55"/>
        <v>30.207692888106763</v>
      </c>
      <c r="I205" s="145">
        <f>E205-G205</f>
        <v>-175344</v>
      </c>
      <c r="J205" s="162">
        <f t="shared" si="56"/>
        <v>71.743183726353138</v>
      </c>
      <c r="K205" s="127"/>
      <c r="L205" s="140">
        <f>$A205</f>
        <v>34282</v>
      </c>
      <c r="M205" s="130" t="str">
        <f>$B205</f>
        <v>PK CT No. 2</v>
      </c>
      <c r="N205" s="130"/>
      <c r="O205" s="145">
        <f>ROUND('Polk #2'!$Q$24,0)</f>
        <v>445193</v>
      </c>
      <c r="P205" s="130"/>
      <c r="Q205" s="145">
        <v>0</v>
      </c>
      <c r="R205" s="130"/>
      <c r="S205" s="145">
        <f>O205+Q205</f>
        <v>445193</v>
      </c>
      <c r="T205" s="143"/>
    </row>
    <row r="206" spans="1:20" x14ac:dyDescent="0.2">
      <c r="A206" s="140">
        <v>34382</v>
      </c>
      <c r="B206" s="130" t="s">
        <v>118</v>
      </c>
      <c r="C206" s="130"/>
      <c r="D206" s="145">
        <f>ROUND('Polk #2'!$F$31,0)</f>
        <v>24943446</v>
      </c>
      <c r="E206" s="145">
        <f>ROUND($S206,0)</f>
        <v>7991874</v>
      </c>
      <c r="F206" s="148">
        <f t="shared" si="54"/>
        <v>32.03997555109266</v>
      </c>
      <c r="G206" s="145">
        <f>ROUND('Polk #2'!$N$31,0)</f>
        <v>11881698</v>
      </c>
      <c r="H206" s="148">
        <f t="shared" si="55"/>
        <v>47.634548971300916</v>
      </c>
      <c r="I206" s="145">
        <f>E206-G206</f>
        <v>-3889824</v>
      </c>
      <c r="J206" s="162">
        <f t="shared" si="56"/>
        <v>67.262052948997692</v>
      </c>
      <c r="K206" s="127"/>
      <c r="L206" s="140">
        <f>$A206</f>
        <v>34382</v>
      </c>
      <c r="M206" s="130" t="str">
        <f>$B206</f>
        <v>PK CT No. 2</v>
      </c>
      <c r="N206" s="130"/>
      <c r="O206" s="145">
        <f>ROUND('Polk #2'!$Q$31,0)</f>
        <v>7991874</v>
      </c>
      <c r="P206" s="130"/>
      <c r="Q206" s="145">
        <v>0</v>
      </c>
      <c r="R206" s="130"/>
      <c r="S206" s="145">
        <f>O206+Q206</f>
        <v>7991874</v>
      </c>
      <c r="T206" s="143"/>
    </row>
    <row r="207" spans="1:20" x14ac:dyDescent="0.2">
      <c r="A207" s="140">
        <v>34582</v>
      </c>
      <c r="B207" s="130" t="s">
        <v>118</v>
      </c>
      <c r="C207" s="130"/>
      <c r="D207" s="145">
        <f>ROUND('Polk #2'!$F$38,0)</f>
        <v>17259735</v>
      </c>
      <c r="E207" s="145">
        <f>ROUND($S207,0)</f>
        <v>8288324</v>
      </c>
      <c r="F207" s="148">
        <f t="shared" si="54"/>
        <v>48.021154438350301</v>
      </c>
      <c r="G207" s="145">
        <f>ROUND('Polk #2'!$N$38,0)</f>
        <v>9403863</v>
      </c>
      <c r="H207" s="148">
        <f t="shared" si="55"/>
        <v>54.484399673575524</v>
      </c>
      <c r="I207" s="145">
        <f>E207-G207</f>
        <v>-1115539</v>
      </c>
      <c r="J207" s="162">
        <f t="shared" si="56"/>
        <v>88.137438837635131</v>
      </c>
      <c r="K207" s="127"/>
      <c r="L207" s="140">
        <f>$A207</f>
        <v>34582</v>
      </c>
      <c r="M207" s="130" t="str">
        <f>$B207</f>
        <v>PK CT No. 2</v>
      </c>
      <c r="N207" s="130"/>
      <c r="O207" s="145">
        <f>ROUND('Polk #2'!$Q$38,0)</f>
        <v>8288324</v>
      </c>
      <c r="P207" s="130"/>
      <c r="Q207" s="145">
        <v>0</v>
      </c>
      <c r="R207" s="130"/>
      <c r="S207" s="145">
        <f>O207+Q207</f>
        <v>8288324</v>
      </c>
      <c r="T207" s="143"/>
    </row>
    <row r="208" spans="1:20" ht="15" x14ac:dyDescent="0.2">
      <c r="A208" s="140">
        <v>34682</v>
      </c>
      <c r="B208" s="168" t="s">
        <v>118</v>
      </c>
      <c r="C208" s="130"/>
      <c r="D208" s="171">
        <f>ROUND('Polk #2'!$F$45,0)</f>
        <v>173210</v>
      </c>
      <c r="E208" s="172">
        <f>ROUND($S208,0)</f>
        <v>117745</v>
      </c>
      <c r="F208" s="794">
        <f t="shared" si="54"/>
        <v>67.978176779631667</v>
      </c>
      <c r="G208" s="171">
        <f>ROUND('Polk #2'!$N$45,0)</f>
        <v>87086</v>
      </c>
      <c r="H208" s="794">
        <f t="shared" si="55"/>
        <v>50.277697592517754</v>
      </c>
      <c r="I208" s="171">
        <f>E208-G208</f>
        <v>30659</v>
      </c>
      <c r="J208" s="795">
        <f t="shared" si="56"/>
        <v>135.20542911604622</v>
      </c>
      <c r="K208" s="127"/>
      <c r="L208" s="140">
        <f>$A208</f>
        <v>34682</v>
      </c>
      <c r="M208" s="168" t="str">
        <f>$B208</f>
        <v>PK CT No. 2</v>
      </c>
      <c r="N208" s="130"/>
      <c r="O208" s="171">
        <f>ROUND('Polk #2'!$Q$45,0)</f>
        <v>117745</v>
      </c>
      <c r="P208" s="130"/>
      <c r="Q208" s="171">
        <v>0</v>
      </c>
      <c r="R208" s="130"/>
      <c r="S208" s="171">
        <f>O208+Q208</f>
        <v>117745</v>
      </c>
      <c r="T208" s="143"/>
    </row>
    <row r="209" spans="1:20" x14ac:dyDescent="0.2">
      <c r="A209" s="134"/>
      <c r="B209" s="128" t="s">
        <v>75</v>
      </c>
      <c r="C209" s="130"/>
      <c r="D209" s="173">
        <f>SUM(D204:D208)</f>
        <v>46584639</v>
      </c>
      <c r="E209" s="173">
        <f>SUM(E204:E208)</f>
        <v>17932345</v>
      </c>
      <c r="F209" s="796">
        <f t="shared" si="54"/>
        <v>38.494116054006554</v>
      </c>
      <c r="G209" s="173">
        <f>SUM(G204:G208)</f>
        <v>23072859</v>
      </c>
      <c r="H209" s="796">
        <f t="shared" si="55"/>
        <v>49.52889942970257</v>
      </c>
      <c r="I209" s="173">
        <f>SUM(I204:I208)</f>
        <v>-5140514</v>
      </c>
      <c r="J209" s="797">
        <f t="shared" si="56"/>
        <v>77.720515693352084</v>
      </c>
      <c r="K209" s="127"/>
      <c r="L209" s="134"/>
      <c r="M209" s="128" t="s">
        <v>75</v>
      </c>
      <c r="N209" s="130"/>
      <c r="O209" s="173">
        <f>SUM(O204:O208)</f>
        <v>17932345</v>
      </c>
      <c r="P209" s="130"/>
      <c r="Q209" s="173">
        <f>SUM(Q204:Q208)</f>
        <v>0</v>
      </c>
      <c r="R209" s="130"/>
      <c r="S209" s="173">
        <f>SUM(S204:S208)</f>
        <v>17932345</v>
      </c>
      <c r="T209" s="143"/>
    </row>
    <row r="210" spans="1:20" x14ac:dyDescent="0.2">
      <c r="A210" s="200"/>
      <c r="B210" s="130"/>
      <c r="C210" s="130"/>
      <c r="D210" s="145"/>
      <c r="E210" s="145"/>
      <c r="F210" s="148"/>
      <c r="G210" s="145"/>
      <c r="H210" s="148"/>
      <c r="I210" s="145"/>
      <c r="J210" s="162"/>
      <c r="K210" s="127"/>
      <c r="L210" s="200"/>
      <c r="M210" s="130"/>
      <c r="N210" s="130"/>
      <c r="O210" s="145"/>
      <c r="P210" s="130"/>
      <c r="Q210" s="145"/>
      <c r="R210" s="130"/>
      <c r="S210" s="145"/>
      <c r="T210" s="143"/>
    </row>
    <row r="211" spans="1:20" x14ac:dyDescent="0.2">
      <c r="A211" s="140">
        <v>34183</v>
      </c>
      <c r="B211" s="130" t="s">
        <v>119</v>
      </c>
      <c r="C211" s="130"/>
      <c r="D211" s="145">
        <f>ROUND('Polk #3'!$F$17,0)</f>
        <v>10533316</v>
      </c>
      <c r="E211" s="145">
        <f>ROUND($S211,0)</f>
        <v>4635169</v>
      </c>
      <c r="F211" s="148">
        <f t="shared" ref="F211:F216" si="57">IF($D211=0,0,(E211/$D211)*100)</f>
        <v>44.004841400371923</v>
      </c>
      <c r="G211" s="145">
        <f>ROUND('Polk #3'!$N$17,0)</f>
        <v>4655962</v>
      </c>
      <c r="H211" s="148">
        <f t="shared" ref="H211:H216" si="58">IF($D211=0,0,(G211/$D211)*100)</f>
        <v>44.202243623945201</v>
      </c>
      <c r="I211" s="145">
        <f>E211-G211</f>
        <v>-20793</v>
      </c>
      <c r="J211" s="162">
        <f t="shared" ref="J211:J216" si="59">IF(G211=0,0,(E211/G211)*100)</f>
        <v>99.553411303614595</v>
      </c>
      <c r="K211" s="127"/>
      <c r="L211" s="140">
        <f>$A211</f>
        <v>34183</v>
      </c>
      <c r="M211" s="130" t="str">
        <f>$B211</f>
        <v>PK CT No. 3</v>
      </c>
      <c r="N211" s="130"/>
      <c r="O211" s="145">
        <f>ROUND('Polk #3'!$Q$17,0)</f>
        <v>4635169</v>
      </c>
      <c r="P211" s="130"/>
      <c r="Q211" s="145">
        <v>0</v>
      </c>
      <c r="R211" s="130"/>
      <c r="S211" s="145">
        <f>O211+Q211</f>
        <v>4635169</v>
      </c>
      <c r="T211" s="143"/>
    </row>
    <row r="212" spans="1:20" x14ac:dyDescent="0.2">
      <c r="A212" s="140">
        <v>34283</v>
      </c>
      <c r="B212" s="130" t="s">
        <v>119</v>
      </c>
      <c r="C212" s="130"/>
      <c r="D212" s="145">
        <f>ROUND('Polk #3'!$F$24,0)</f>
        <v>1354215</v>
      </c>
      <c r="E212" s="145">
        <f>ROUND($S212,0)</f>
        <v>519232</v>
      </c>
      <c r="F212" s="148">
        <f t="shared" si="57"/>
        <v>38.341917642324155</v>
      </c>
      <c r="G212" s="145">
        <f>ROUND('Polk #3'!$N$24,0)</f>
        <v>536273</v>
      </c>
      <c r="H212" s="148">
        <f t="shared" si="58"/>
        <v>39.600285035980257</v>
      </c>
      <c r="I212" s="145">
        <f>E212-G212</f>
        <v>-17041</v>
      </c>
      <c r="J212" s="162">
        <f t="shared" si="59"/>
        <v>96.822327433974863</v>
      </c>
      <c r="K212" s="127"/>
      <c r="L212" s="140">
        <f>$A212</f>
        <v>34283</v>
      </c>
      <c r="M212" s="130" t="str">
        <f>$B212</f>
        <v>PK CT No. 3</v>
      </c>
      <c r="N212" s="130"/>
      <c r="O212" s="145">
        <f>ROUND('Polk #3'!$Q$24,0)</f>
        <v>519232</v>
      </c>
      <c r="P212" s="130"/>
      <c r="Q212" s="145">
        <v>0</v>
      </c>
      <c r="R212" s="130"/>
      <c r="S212" s="145">
        <f>O212+Q212</f>
        <v>519232</v>
      </c>
      <c r="T212" s="143"/>
    </row>
    <row r="213" spans="1:20" x14ac:dyDescent="0.2">
      <c r="A213" s="140">
        <v>34383</v>
      </c>
      <c r="B213" s="130" t="s">
        <v>119</v>
      </c>
      <c r="C213" s="130"/>
      <c r="D213" s="145">
        <f>ROUND('Polk #3'!$F$31,0)</f>
        <v>32584059</v>
      </c>
      <c r="E213" s="145">
        <f>ROUND($S213,0)</f>
        <v>16650475</v>
      </c>
      <c r="F213" s="148">
        <f t="shared" si="57"/>
        <v>51.100063991413712</v>
      </c>
      <c r="G213" s="145">
        <f>ROUND('Polk #3'!$N$31,0)</f>
        <v>18126170</v>
      </c>
      <c r="H213" s="148">
        <f t="shared" si="58"/>
        <v>55.62895034041032</v>
      </c>
      <c r="I213" s="145">
        <f>E213-G213</f>
        <v>-1475695</v>
      </c>
      <c r="J213" s="162">
        <f t="shared" si="59"/>
        <v>91.858760013836346</v>
      </c>
      <c r="K213" s="127"/>
      <c r="L213" s="140">
        <f>$A213</f>
        <v>34383</v>
      </c>
      <c r="M213" s="130" t="str">
        <f>$B213</f>
        <v>PK CT No. 3</v>
      </c>
      <c r="N213" s="130"/>
      <c r="O213" s="145">
        <f>ROUND('Polk #3'!$Q$31,0)</f>
        <v>16650475</v>
      </c>
      <c r="P213" s="130"/>
      <c r="Q213" s="145">
        <v>0</v>
      </c>
      <c r="R213" s="130"/>
      <c r="S213" s="145">
        <f>O213+Q213</f>
        <v>16650475</v>
      </c>
      <c r="T213" s="143"/>
    </row>
    <row r="214" spans="1:20" x14ac:dyDescent="0.2">
      <c r="A214" s="140">
        <v>34583</v>
      </c>
      <c r="B214" s="130" t="s">
        <v>119</v>
      </c>
      <c r="C214" s="130"/>
      <c r="D214" s="145">
        <f>ROUND('Polk #3'!$F$38,0)</f>
        <v>9056070</v>
      </c>
      <c r="E214" s="145">
        <f>ROUND($S214,0)</f>
        <v>4461661</v>
      </c>
      <c r="F214" s="148">
        <f t="shared" si="57"/>
        <v>49.267077220030316</v>
      </c>
      <c r="G214" s="145">
        <f>ROUND('Polk #3'!$N$38,0)</f>
        <v>5258311</v>
      </c>
      <c r="H214" s="148">
        <f t="shared" si="58"/>
        <v>58.063939435097126</v>
      </c>
      <c r="I214" s="145">
        <f>E214-G214</f>
        <v>-796650</v>
      </c>
      <c r="J214" s="162">
        <f t="shared" si="59"/>
        <v>84.849697935325622</v>
      </c>
      <c r="K214" s="127"/>
      <c r="L214" s="140">
        <f>$A214</f>
        <v>34583</v>
      </c>
      <c r="M214" s="130" t="str">
        <f>$B214</f>
        <v>PK CT No. 3</v>
      </c>
      <c r="N214" s="130"/>
      <c r="O214" s="145">
        <f>ROUND('Polk #3'!$Q$38,0)</f>
        <v>4461661</v>
      </c>
      <c r="P214" s="130"/>
      <c r="Q214" s="145">
        <v>0</v>
      </c>
      <c r="R214" s="130"/>
      <c r="S214" s="145">
        <f>O214+Q214</f>
        <v>4461661</v>
      </c>
      <c r="T214" s="143"/>
    </row>
    <row r="215" spans="1:20" ht="15" x14ac:dyDescent="0.2">
      <c r="A215" s="140">
        <v>34683</v>
      </c>
      <c r="B215" s="168" t="s">
        <v>119</v>
      </c>
      <c r="C215" s="130"/>
      <c r="D215" s="171">
        <f>ROUND('Polk #3'!$F$45,0)</f>
        <v>432910</v>
      </c>
      <c r="E215" s="172">
        <f>ROUND($S215,0)</f>
        <v>228284</v>
      </c>
      <c r="F215" s="794">
        <f t="shared" si="57"/>
        <v>52.732438613106645</v>
      </c>
      <c r="G215" s="171">
        <f>ROUND('Polk #3'!$N$45,0)</f>
        <v>194034</v>
      </c>
      <c r="H215" s="794">
        <f t="shared" si="58"/>
        <v>44.820863458917557</v>
      </c>
      <c r="I215" s="171">
        <f>E215-G215</f>
        <v>34250</v>
      </c>
      <c r="J215" s="795">
        <f t="shared" si="59"/>
        <v>117.65154560540935</v>
      </c>
      <c r="K215" s="127"/>
      <c r="L215" s="140">
        <f>$A215</f>
        <v>34683</v>
      </c>
      <c r="M215" s="168" t="str">
        <f>$B215</f>
        <v>PK CT No. 3</v>
      </c>
      <c r="N215" s="130"/>
      <c r="O215" s="171">
        <f>ROUND('Polk #3'!$Q$45,0)</f>
        <v>228284</v>
      </c>
      <c r="P215" s="130"/>
      <c r="Q215" s="171">
        <v>0</v>
      </c>
      <c r="R215" s="130"/>
      <c r="S215" s="171">
        <f>O215+Q215</f>
        <v>228284</v>
      </c>
      <c r="T215" s="143"/>
    </row>
    <row r="216" spans="1:20" x14ac:dyDescent="0.2">
      <c r="A216" s="134"/>
      <c r="B216" s="128" t="s">
        <v>75</v>
      </c>
      <c r="C216" s="130"/>
      <c r="D216" s="173">
        <f>SUM(D211:D215)</f>
        <v>53960570</v>
      </c>
      <c r="E216" s="173">
        <f>SUM(E211:E215)</f>
        <v>26494821</v>
      </c>
      <c r="F216" s="796">
        <f t="shared" si="57"/>
        <v>49.100335671027942</v>
      </c>
      <c r="G216" s="173">
        <f>SUM(G211:G215)</f>
        <v>28770750</v>
      </c>
      <c r="H216" s="796">
        <f t="shared" si="58"/>
        <v>53.318098752477972</v>
      </c>
      <c r="I216" s="173">
        <f>SUM(I211:I215)</f>
        <v>-2275929</v>
      </c>
      <c r="J216" s="797">
        <f t="shared" si="59"/>
        <v>92.089434581997338</v>
      </c>
      <c r="K216" s="127"/>
      <c r="L216" s="134"/>
      <c r="M216" s="128" t="s">
        <v>75</v>
      </c>
      <c r="N216" s="130"/>
      <c r="O216" s="173">
        <f>SUM(O211:O215)</f>
        <v>26494821</v>
      </c>
      <c r="P216" s="130"/>
      <c r="Q216" s="173">
        <f>SUM(Q211:Q215)</f>
        <v>0</v>
      </c>
      <c r="R216" s="130"/>
      <c r="S216" s="173">
        <f>SUM(S211:S215)</f>
        <v>26494821</v>
      </c>
      <c r="T216" s="143"/>
    </row>
    <row r="217" spans="1:20" x14ac:dyDescent="0.2">
      <c r="A217" s="134"/>
      <c r="B217" s="128"/>
      <c r="C217" s="130"/>
      <c r="D217" s="173"/>
      <c r="E217" s="173"/>
      <c r="F217" s="796"/>
      <c r="G217" s="173"/>
      <c r="H217" s="796"/>
      <c r="I217" s="173"/>
      <c r="J217" s="797"/>
      <c r="K217" s="127"/>
      <c r="L217" s="134"/>
      <c r="M217" s="128"/>
      <c r="N217" s="130"/>
      <c r="O217" s="173"/>
      <c r="P217" s="130"/>
      <c r="Q217" s="173"/>
      <c r="R217" s="130"/>
      <c r="S217" s="173"/>
      <c r="T217" s="143"/>
    </row>
    <row r="218" spans="1:20" x14ac:dyDescent="0.2">
      <c r="A218" s="140">
        <v>34184</v>
      </c>
      <c r="B218" s="130" t="s">
        <v>120</v>
      </c>
      <c r="C218" s="130"/>
      <c r="D218" s="145">
        <f>ROUND('Polk #4'!$F$17,0)</f>
        <v>5811520</v>
      </c>
      <c r="E218" s="145">
        <f>ROUND($S218,0)</f>
        <v>1679892</v>
      </c>
      <c r="F218" s="148">
        <f t="shared" ref="F218:F223" si="60">IF($D218=0,0,(E218/$D218)*100)</f>
        <v>28.906241396398872</v>
      </c>
      <c r="G218" s="145">
        <f>ROUND('Polk #4'!$N$17,0)</f>
        <v>1797451</v>
      </c>
      <c r="H218" s="148">
        <f t="shared" ref="H218:H223" si="61">IF($D218=0,0,(G218/$D218)*100)</f>
        <v>30.929102885303671</v>
      </c>
      <c r="I218" s="145">
        <f>E218-G218</f>
        <v>-117559</v>
      </c>
      <c r="J218" s="162">
        <f t="shared" ref="J218:J223" si="62">IF(G218=0,0,(E218/G218)*100)</f>
        <v>93.459682628344254</v>
      </c>
      <c r="K218" s="127"/>
      <c r="L218" s="140">
        <f>$A218</f>
        <v>34184</v>
      </c>
      <c r="M218" s="130" t="str">
        <f>$B218</f>
        <v>PK CT No. 4</v>
      </c>
      <c r="N218" s="130"/>
      <c r="O218" s="145">
        <f>ROUND('Polk #4'!$Q$17,0)</f>
        <v>1679892</v>
      </c>
      <c r="P218" s="130"/>
      <c r="Q218" s="145">
        <v>0</v>
      </c>
      <c r="R218" s="130"/>
      <c r="S218" s="145">
        <f>O218+Q218</f>
        <v>1679892</v>
      </c>
      <c r="T218" s="143"/>
    </row>
    <row r="219" spans="1:20" x14ac:dyDescent="0.2">
      <c r="A219" s="140">
        <v>34284</v>
      </c>
      <c r="B219" s="130" t="s">
        <v>120</v>
      </c>
      <c r="C219" s="130"/>
      <c r="D219" s="145">
        <f>ROUND('Polk #4'!$F$24,0)</f>
        <v>2167428</v>
      </c>
      <c r="E219" s="145">
        <f>ROUND($S219,0)</f>
        <v>306066</v>
      </c>
      <c r="F219" s="148">
        <f t="shared" si="60"/>
        <v>14.12116111815479</v>
      </c>
      <c r="G219" s="145">
        <f>ROUND('Polk #4'!$N$24,0)</f>
        <v>587779</v>
      </c>
      <c r="H219" s="148">
        <f t="shared" si="61"/>
        <v>27.118732433095815</v>
      </c>
      <c r="I219" s="145">
        <f>E219-G219</f>
        <v>-281713</v>
      </c>
      <c r="J219" s="162">
        <f t="shared" si="62"/>
        <v>52.071611949389137</v>
      </c>
      <c r="K219" s="127"/>
      <c r="L219" s="140">
        <f>$A219</f>
        <v>34284</v>
      </c>
      <c r="M219" s="130" t="str">
        <f>$B219</f>
        <v>PK CT No. 4</v>
      </c>
      <c r="N219" s="130"/>
      <c r="O219" s="145">
        <f>ROUND('Polk #4'!$Q$24,0)</f>
        <v>306066</v>
      </c>
      <c r="P219" s="130"/>
      <c r="Q219" s="145">
        <v>0</v>
      </c>
      <c r="R219" s="130"/>
      <c r="S219" s="145">
        <f>O219+Q219</f>
        <v>306066</v>
      </c>
      <c r="T219" s="143"/>
    </row>
    <row r="220" spans="1:20" x14ac:dyDescent="0.2">
      <c r="A220" s="140">
        <v>34384</v>
      </c>
      <c r="B220" s="130" t="s">
        <v>120</v>
      </c>
      <c r="C220" s="130"/>
      <c r="D220" s="145">
        <f>ROUND('Polk #4'!$F$31,0)</f>
        <v>22033275</v>
      </c>
      <c r="E220" s="145">
        <f>ROUND($S220,0)</f>
        <v>2876498</v>
      </c>
      <c r="F220" s="148">
        <f t="shared" si="60"/>
        <v>13.05524485125339</v>
      </c>
      <c r="G220" s="145">
        <f>ROUND('Polk #4'!$N$31,0)</f>
        <v>8786486</v>
      </c>
      <c r="H220" s="148">
        <f t="shared" si="61"/>
        <v>39.878256863766282</v>
      </c>
      <c r="I220" s="145">
        <f>E220-G220</f>
        <v>-5909988</v>
      </c>
      <c r="J220" s="162">
        <f t="shared" si="62"/>
        <v>32.737752043308326</v>
      </c>
      <c r="K220" s="127"/>
      <c r="L220" s="140">
        <f>$A220</f>
        <v>34384</v>
      </c>
      <c r="M220" s="130" t="str">
        <f>$B220</f>
        <v>PK CT No. 4</v>
      </c>
      <c r="N220" s="130"/>
      <c r="O220" s="145">
        <f>ROUND('Polk #4'!$Q$31,0)</f>
        <v>2876498</v>
      </c>
      <c r="P220" s="130"/>
      <c r="Q220" s="145">
        <v>0</v>
      </c>
      <c r="R220" s="130"/>
      <c r="S220" s="145">
        <f>O220+Q220</f>
        <v>2876498</v>
      </c>
      <c r="T220" s="143"/>
    </row>
    <row r="221" spans="1:20" x14ac:dyDescent="0.2">
      <c r="A221" s="140">
        <v>34584</v>
      </c>
      <c r="B221" s="130" t="s">
        <v>120</v>
      </c>
      <c r="C221" s="130"/>
      <c r="D221" s="145">
        <f>ROUND('Polk #4'!$F$38,0)</f>
        <v>5563010</v>
      </c>
      <c r="E221" s="145">
        <f>ROUND($S221,0)</f>
        <v>2584906</v>
      </c>
      <c r="F221" s="148">
        <f t="shared" si="60"/>
        <v>46.465959974905672</v>
      </c>
      <c r="G221" s="145">
        <f>ROUND('Polk #4'!$N$38,0)</f>
        <v>2101033</v>
      </c>
      <c r="H221" s="148">
        <f t="shared" si="61"/>
        <v>37.767917008957383</v>
      </c>
      <c r="I221" s="145">
        <f>E221-G221</f>
        <v>483873</v>
      </c>
      <c r="J221" s="162">
        <f t="shared" si="62"/>
        <v>123.03024274249856</v>
      </c>
      <c r="K221" s="127"/>
      <c r="L221" s="140">
        <f>$A221</f>
        <v>34584</v>
      </c>
      <c r="M221" s="130" t="str">
        <f>$B221</f>
        <v>PK CT No. 4</v>
      </c>
      <c r="N221" s="130"/>
      <c r="O221" s="145">
        <f>ROUND('Polk #4'!$Q$38,0)</f>
        <v>2584906</v>
      </c>
      <c r="P221" s="130"/>
      <c r="Q221" s="145">
        <v>0</v>
      </c>
      <c r="R221" s="130"/>
      <c r="S221" s="145">
        <f>O221+Q221</f>
        <v>2584906</v>
      </c>
      <c r="T221" s="143"/>
    </row>
    <row r="222" spans="1:20" ht="15" x14ac:dyDescent="0.2">
      <c r="A222" s="140">
        <v>34684</v>
      </c>
      <c r="B222" s="168" t="s">
        <v>120</v>
      </c>
      <c r="C222" s="130"/>
      <c r="D222" s="171">
        <f>ROUND('Polk #4'!$F$45,0)</f>
        <v>0</v>
      </c>
      <c r="E222" s="172">
        <f>ROUND($S222,0)</f>
        <v>0</v>
      </c>
      <c r="F222" s="794">
        <f t="shared" si="60"/>
        <v>0</v>
      </c>
      <c r="G222" s="145">
        <f>ROUND('Polk #4'!$N$45,0)</f>
        <v>0</v>
      </c>
      <c r="H222" s="794">
        <f t="shared" si="61"/>
        <v>0</v>
      </c>
      <c r="I222" s="171">
        <f>E222-G222</f>
        <v>0</v>
      </c>
      <c r="J222" s="795">
        <f t="shared" si="62"/>
        <v>0</v>
      </c>
      <c r="K222" s="127"/>
      <c r="L222" s="140">
        <f>$A222</f>
        <v>34684</v>
      </c>
      <c r="M222" s="168" t="str">
        <f>$B222</f>
        <v>PK CT No. 4</v>
      </c>
      <c r="N222" s="130"/>
      <c r="O222" s="171">
        <f>ROUND('Polk #4'!$Q$45,0)</f>
        <v>0</v>
      </c>
      <c r="P222" s="130"/>
      <c r="Q222" s="171">
        <v>0</v>
      </c>
      <c r="R222" s="130"/>
      <c r="S222" s="171">
        <f>O222+Q222</f>
        <v>0</v>
      </c>
      <c r="T222" s="143"/>
    </row>
    <row r="223" spans="1:20" x14ac:dyDescent="0.2">
      <c r="A223" s="134"/>
      <c r="B223" s="128" t="s">
        <v>75</v>
      </c>
      <c r="C223" s="130"/>
      <c r="D223" s="173">
        <f>SUM(D218:D222)</f>
        <v>35575233</v>
      </c>
      <c r="E223" s="173">
        <f>SUM(E218:E222)</f>
        <v>7447362</v>
      </c>
      <c r="F223" s="796">
        <f t="shared" si="60"/>
        <v>20.93412009416776</v>
      </c>
      <c r="G223" s="173">
        <f>SUM(G218:G222)</f>
        <v>13272749</v>
      </c>
      <c r="H223" s="796">
        <f t="shared" si="61"/>
        <v>37.308958735421356</v>
      </c>
      <c r="I223" s="173">
        <f>SUM(I218:I222)</f>
        <v>-5825387</v>
      </c>
      <c r="J223" s="797">
        <f t="shared" si="62"/>
        <v>56.110169792256301</v>
      </c>
      <c r="K223" s="127"/>
      <c r="L223" s="134"/>
      <c r="M223" s="128" t="s">
        <v>75</v>
      </c>
      <c r="N223" s="130"/>
      <c r="O223" s="173">
        <f>SUM(O218:O222)</f>
        <v>7447362</v>
      </c>
      <c r="P223" s="130"/>
      <c r="Q223" s="173">
        <f>SUM(Q218:Q222)</f>
        <v>0</v>
      </c>
      <c r="R223" s="130"/>
      <c r="S223" s="173">
        <f>SUM(S218:S222)</f>
        <v>7447362</v>
      </c>
      <c r="T223" s="143"/>
    </row>
    <row r="224" spans="1:20" x14ac:dyDescent="0.2">
      <c r="A224" s="134"/>
      <c r="B224" s="128"/>
      <c r="C224" s="130"/>
      <c r="D224" s="173"/>
      <c r="E224" s="173"/>
      <c r="F224" s="796"/>
      <c r="G224" s="173"/>
      <c r="H224" s="796"/>
      <c r="I224" s="173"/>
      <c r="J224" s="797"/>
      <c r="K224" s="127"/>
      <c r="L224" s="134"/>
      <c r="M224" s="128"/>
      <c r="N224" s="130"/>
      <c r="O224" s="173"/>
      <c r="P224" s="130"/>
      <c r="Q224" s="173"/>
      <c r="R224" s="130"/>
      <c r="S224" s="173"/>
      <c r="T224" s="143"/>
    </row>
    <row r="225" spans="1:20" x14ac:dyDescent="0.2">
      <c r="A225" s="140">
        <v>34185</v>
      </c>
      <c r="B225" s="130" t="s">
        <v>121</v>
      </c>
      <c r="C225" s="130"/>
      <c r="D225" s="145">
        <f>ROUND('Polk #5'!$F$17,0)</f>
        <v>5746580</v>
      </c>
      <c r="E225" s="145">
        <f>ROUND($S225,0)</f>
        <v>1682958</v>
      </c>
      <c r="F225" s="148">
        <f t="shared" ref="F225:F230" si="63">IF($D225=0,0,(E225/$D225)*100)</f>
        <v>29.286253737005314</v>
      </c>
      <c r="G225" s="145">
        <f>ROUND('Polk #5'!$N$17,0)</f>
        <v>1801979</v>
      </c>
      <c r="H225" s="148">
        <f t="shared" ref="H225:H230" si="64">IF($D225=0,0,(G225/$D225)*100)</f>
        <v>31.357416063119281</v>
      </c>
      <c r="I225" s="145">
        <f>E225-G225</f>
        <v>-119021</v>
      </c>
      <c r="J225" s="162">
        <f t="shared" ref="J225:J230" si="65">IF(G225=0,0,(E225/G225)*100)</f>
        <v>93.394984070291613</v>
      </c>
      <c r="K225" s="127"/>
      <c r="L225" s="140">
        <f>$A225</f>
        <v>34185</v>
      </c>
      <c r="M225" s="130" t="str">
        <f>$B225</f>
        <v>PK CT No. 5</v>
      </c>
      <c r="N225" s="130"/>
      <c r="O225" s="145">
        <f>ROUND('Polk #5'!$Q$17,0)</f>
        <v>1682958</v>
      </c>
      <c r="P225" s="130"/>
      <c r="Q225" s="145">
        <v>0</v>
      </c>
      <c r="R225" s="130"/>
      <c r="S225" s="145">
        <f>O225+Q225</f>
        <v>1682958</v>
      </c>
      <c r="T225" s="143"/>
    </row>
    <row r="226" spans="1:20" x14ac:dyDescent="0.2">
      <c r="A226" s="140">
        <v>34285</v>
      </c>
      <c r="B226" s="130" t="s">
        <v>121</v>
      </c>
      <c r="C226" s="130"/>
      <c r="D226" s="145">
        <f>ROUND('Polk #5'!$F$24,0)</f>
        <v>2200050</v>
      </c>
      <c r="E226" s="145">
        <f>ROUND($S226,0)</f>
        <v>587735</v>
      </c>
      <c r="F226" s="148">
        <f t="shared" si="63"/>
        <v>26.714620122269949</v>
      </c>
      <c r="G226" s="145">
        <f>ROUND('Polk #5'!$N$24,0)</f>
        <v>842540</v>
      </c>
      <c r="H226" s="148">
        <f t="shared" si="64"/>
        <v>38.296402354491946</v>
      </c>
      <c r="I226" s="145">
        <f>E226-G226</f>
        <v>-254805</v>
      </c>
      <c r="J226" s="162">
        <f t="shared" si="65"/>
        <v>69.757518930851944</v>
      </c>
      <c r="K226" s="127"/>
      <c r="L226" s="140">
        <f>$A226</f>
        <v>34285</v>
      </c>
      <c r="M226" s="130" t="str">
        <f>$B226</f>
        <v>PK CT No. 5</v>
      </c>
      <c r="N226" s="130"/>
      <c r="O226" s="145">
        <f>ROUND('Polk #5'!$Q$24,0)</f>
        <v>587735</v>
      </c>
      <c r="P226" s="130"/>
      <c r="Q226" s="145">
        <v>0</v>
      </c>
      <c r="R226" s="130"/>
      <c r="S226" s="145">
        <f>O226+Q226</f>
        <v>587735</v>
      </c>
      <c r="T226" s="143"/>
    </row>
    <row r="227" spans="1:20" x14ac:dyDescent="0.2">
      <c r="A227" s="140">
        <v>34385</v>
      </c>
      <c r="B227" s="130" t="s">
        <v>121</v>
      </c>
      <c r="C227" s="130"/>
      <c r="D227" s="145">
        <f>ROUND('Polk #5'!$F$31,0)</f>
        <v>20099642</v>
      </c>
      <c r="E227" s="145">
        <f>ROUND($S227,0)</f>
        <v>2070957</v>
      </c>
      <c r="F227" s="148">
        <f t="shared" si="63"/>
        <v>10.303452170939165</v>
      </c>
      <c r="G227" s="145">
        <f>ROUND('Polk #5'!$N$31,0)</f>
        <v>8258859</v>
      </c>
      <c r="H227" s="148">
        <f t="shared" si="64"/>
        <v>41.089582590575496</v>
      </c>
      <c r="I227" s="145">
        <f>E227-G227</f>
        <v>-6187902</v>
      </c>
      <c r="J227" s="162">
        <f t="shared" si="65"/>
        <v>25.075582474528264</v>
      </c>
      <c r="K227" s="127"/>
      <c r="L227" s="140">
        <f>$A227</f>
        <v>34385</v>
      </c>
      <c r="M227" s="130" t="str">
        <f>$B227</f>
        <v>PK CT No. 5</v>
      </c>
      <c r="N227" s="130"/>
      <c r="O227" s="145">
        <f>ROUND('Polk #5'!$Q$31,0)</f>
        <v>2070957</v>
      </c>
      <c r="P227" s="130"/>
      <c r="Q227" s="145">
        <v>0</v>
      </c>
      <c r="R227" s="130"/>
      <c r="S227" s="145">
        <f>O227+Q227</f>
        <v>2070957</v>
      </c>
      <c r="T227" s="143"/>
    </row>
    <row r="228" spans="1:20" x14ac:dyDescent="0.2">
      <c r="A228" s="140">
        <v>34585</v>
      </c>
      <c r="B228" s="130" t="s">
        <v>121</v>
      </c>
      <c r="C228" s="130"/>
      <c r="D228" s="145">
        <f>ROUND('Polk #5'!$F$38,0)</f>
        <v>5465055</v>
      </c>
      <c r="E228" s="145">
        <f>ROUND($S228,0)</f>
        <v>2574765</v>
      </c>
      <c r="F228" s="148">
        <f t="shared" si="63"/>
        <v>47.1132495464364</v>
      </c>
      <c r="G228" s="145">
        <f>ROUND('Polk #5'!$N$38,0)</f>
        <v>2089163</v>
      </c>
      <c r="H228" s="148">
        <f t="shared" si="64"/>
        <v>38.227666510218107</v>
      </c>
      <c r="I228" s="145">
        <f>E228-G228</f>
        <v>485602</v>
      </c>
      <c r="J228" s="162">
        <f t="shared" si="65"/>
        <v>123.24385411765381</v>
      </c>
      <c r="K228" s="127"/>
      <c r="L228" s="140">
        <f>$A228</f>
        <v>34585</v>
      </c>
      <c r="M228" s="130" t="str">
        <f>$B228</f>
        <v>PK CT No. 5</v>
      </c>
      <c r="N228" s="130"/>
      <c r="O228" s="145">
        <f>ROUND('Polk #5'!$Q$38,0)</f>
        <v>2574765</v>
      </c>
      <c r="P228" s="130"/>
      <c r="Q228" s="145">
        <v>0</v>
      </c>
      <c r="R228" s="130"/>
      <c r="S228" s="145">
        <f>O228+Q228</f>
        <v>2574765</v>
      </c>
      <c r="T228" s="143"/>
    </row>
    <row r="229" spans="1:20" ht="15" x14ac:dyDescent="0.2">
      <c r="A229" s="140">
        <v>34685</v>
      </c>
      <c r="B229" s="168" t="s">
        <v>121</v>
      </c>
      <c r="C229" s="130"/>
      <c r="D229" s="172">
        <f>ROUND('Polk #5'!$F$45,0)</f>
        <v>0</v>
      </c>
      <c r="E229" s="172">
        <f>ROUND($S229,0)</f>
        <v>0</v>
      </c>
      <c r="F229" s="794">
        <f t="shared" si="63"/>
        <v>0</v>
      </c>
      <c r="G229" s="172">
        <f>ROUND('Polk #5'!$N$45,0)</f>
        <v>0</v>
      </c>
      <c r="H229" s="794">
        <f t="shared" si="64"/>
        <v>0</v>
      </c>
      <c r="I229" s="171">
        <f>E229-G229</f>
        <v>0</v>
      </c>
      <c r="J229" s="795">
        <f t="shared" si="65"/>
        <v>0</v>
      </c>
      <c r="K229" s="127"/>
      <c r="L229" s="140">
        <f>$A229</f>
        <v>34685</v>
      </c>
      <c r="M229" s="168" t="str">
        <f>$B229</f>
        <v>PK CT No. 5</v>
      </c>
      <c r="N229" s="130"/>
      <c r="O229" s="172">
        <f>ROUND('Polk #5'!$Q$45,0)</f>
        <v>0</v>
      </c>
      <c r="P229" s="130"/>
      <c r="Q229" s="171">
        <v>0</v>
      </c>
      <c r="R229" s="130"/>
      <c r="S229" s="171">
        <f>O229+Q229</f>
        <v>0</v>
      </c>
      <c r="T229" s="143"/>
    </row>
    <row r="230" spans="1:20" x14ac:dyDescent="0.2">
      <c r="A230" s="134"/>
      <c r="B230" s="128" t="s">
        <v>75</v>
      </c>
      <c r="C230" s="130"/>
      <c r="D230" s="173">
        <f>SUM(D225:D229)</f>
        <v>33511327</v>
      </c>
      <c r="E230" s="173">
        <f>SUM(E225:E229)</f>
        <v>6916415</v>
      </c>
      <c r="F230" s="796">
        <f t="shared" si="63"/>
        <v>20.639036466684832</v>
      </c>
      <c r="G230" s="173">
        <f>SUM(G225:G229)</f>
        <v>12992541</v>
      </c>
      <c r="H230" s="796">
        <f t="shared" si="64"/>
        <v>38.770595387046299</v>
      </c>
      <c r="I230" s="173">
        <f>SUM(I225:I229)</f>
        <v>-6076126</v>
      </c>
      <c r="J230" s="797">
        <f t="shared" si="65"/>
        <v>53.233736187555614</v>
      </c>
      <c r="K230" s="127"/>
      <c r="L230" s="134"/>
      <c r="M230" s="128" t="s">
        <v>75</v>
      </c>
      <c r="N230" s="130"/>
      <c r="O230" s="173">
        <f>SUM(O225:O229)</f>
        <v>6916415</v>
      </c>
      <c r="P230" s="130"/>
      <c r="Q230" s="173">
        <f>SUM(Q225:Q229)</f>
        <v>0</v>
      </c>
      <c r="R230" s="130"/>
      <c r="S230" s="173">
        <f>SUM(S225:S229)</f>
        <v>6916415</v>
      </c>
      <c r="T230" s="143"/>
    </row>
    <row r="231" spans="1:20" x14ac:dyDescent="0.2">
      <c r="A231" s="200"/>
      <c r="B231" s="130"/>
      <c r="C231" s="130"/>
      <c r="D231" s="145"/>
      <c r="E231" s="145"/>
      <c r="F231" s="148"/>
      <c r="G231" s="145"/>
      <c r="H231" s="148"/>
      <c r="I231" s="145"/>
      <c r="J231" s="162"/>
      <c r="K231" s="127"/>
      <c r="L231" s="200"/>
      <c r="M231" s="130"/>
      <c r="N231" s="130"/>
      <c r="O231" s="145"/>
      <c r="P231" s="130"/>
      <c r="Q231" s="145"/>
      <c r="R231" s="130"/>
      <c r="S231" s="145"/>
      <c r="T231" s="143"/>
    </row>
    <row r="232" spans="1:20" x14ac:dyDescent="0.2">
      <c r="A232" s="140">
        <v>34186</v>
      </c>
      <c r="B232" s="130" t="s">
        <v>1119</v>
      </c>
      <c r="C232" s="130"/>
      <c r="D232" s="145">
        <f>VLOOKUP('Change in Plant &amp; Reserve'!$A232,'2019 B-7'!C:P,14,FALSE)</f>
        <v>13374554.049999999</v>
      </c>
      <c r="E232" s="145">
        <f>ROUND($S232,0)</f>
        <v>2447643</v>
      </c>
      <c r="F232" s="148">
        <f t="shared" ref="F232:F237" si="66">IF($D232=0,0,(E232/$D232)*100)</f>
        <v>18.300744763897381</v>
      </c>
      <c r="G232" s="145">
        <f>E232</f>
        <v>2447643</v>
      </c>
      <c r="H232" s="148">
        <f t="shared" ref="H232:H237" si="67">IF($D232=0,0,(G232/$D232)*100)</f>
        <v>18.300744763897381</v>
      </c>
      <c r="I232" s="145">
        <f>E232-G232</f>
        <v>0</v>
      </c>
      <c r="J232" s="162">
        <f t="shared" ref="J232:J237" si="68">IF(G232=0,0,(E232/G232)*100)</f>
        <v>100</v>
      </c>
      <c r="K232" s="127"/>
      <c r="L232" s="140">
        <f>$A232</f>
        <v>34186</v>
      </c>
      <c r="M232" s="130" t="str">
        <f>$B232</f>
        <v>PK CCST for CT 2-5</v>
      </c>
      <c r="N232" s="130"/>
      <c r="O232" s="145">
        <f>VLOOKUP('Change in Plant &amp; Reserve'!$A232,'2019 B-9'!C:R,16,FALSE)</f>
        <v>2447642.5100000002</v>
      </c>
      <c r="P232" s="130"/>
      <c r="Q232" s="145">
        <v>0</v>
      </c>
      <c r="R232" s="130"/>
      <c r="S232" s="145">
        <f>O232+Q232</f>
        <v>2447642.5100000002</v>
      </c>
      <c r="T232" s="143"/>
    </row>
    <row r="233" spans="1:20" x14ac:dyDescent="0.2">
      <c r="A233" s="140">
        <v>34286</v>
      </c>
      <c r="B233" s="130" t="s">
        <v>1119</v>
      </c>
      <c r="C233" s="130"/>
      <c r="D233" s="145">
        <f>VLOOKUP('Change in Plant &amp; Reserve'!$A233,'2019 B-7'!C:P,14,FALSE)</f>
        <v>213579047.27999994</v>
      </c>
      <c r="E233" s="145">
        <f>ROUND($S233,0)</f>
        <v>17071579</v>
      </c>
      <c r="F233" s="148">
        <f t="shared" si="66"/>
        <v>7.9930963347820043</v>
      </c>
      <c r="G233" s="145">
        <f t="shared" ref="G233:G236" si="69">E233</f>
        <v>17071579</v>
      </c>
      <c r="H233" s="148">
        <f t="shared" si="67"/>
        <v>7.9930963347820043</v>
      </c>
      <c r="I233" s="145">
        <f>E233-G233</f>
        <v>0</v>
      </c>
      <c r="J233" s="162">
        <f t="shared" si="68"/>
        <v>100</v>
      </c>
      <c r="K233" s="127"/>
      <c r="L233" s="140">
        <f>$A233</f>
        <v>34286</v>
      </c>
      <c r="M233" s="130" t="str">
        <f>$B233</f>
        <v>PK CCST for CT 2-5</v>
      </c>
      <c r="N233" s="130"/>
      <c r="O233" s="145">
        <f>VLOOKUP('Change in Plant &amp; Reserve'!$A233,'2019 B-9'!C:R,16,FALSE)</f>
        <v>17071578.639999993</v>
      </c>
      <c r="P233" s="130"/>
      <c r="Q233" s="145">
        <v>0</v>
      </c>
      <c r="R233" s="130"/>
      <c r="S233" s="145">
        <f>O233+Q233</f>
        <v>17071578.639999993</v>
      </c>
      <c r="T233" s="143"/>
    </row>
    <row r="234" spans="1:20" x14ac:dyDescent="0.2">
      <c r="A234" s="140">
        <v>34386</v>
      </c>
      <c r="B234" s="130" t="s">
        <v>1119</v>
      </c>
      <c r="C234" s="130"/>
      <c r="D234" s="145">
        <f>VLOOKUP('Change in Plant &amp; Reserve'!$A234,'2019 B-7'!C:P,14,FALSE)</f>
        <v>223541175.92999995</v>
      </c>
      <c r="E234" s="145">
        <f>ROUND($S234,0)</f>
        <v>17777814</v>
      </c>
      <c r="F234" s="148">
        <f t="shared" si="66"/>
        <v>7.9528140290212006</v>
      </c>
      <c r="G234" s="145">
        <f t="shared" si="69"/>
        <v>17777814</v>
      </c>
      <c r="H234" s="148">
        <f t="shared" si="67"/>
        <v>7.9528140290212006</v>
      </c>
      <c r="I234" s="145">
        <f>E234-G234</f>
        <v>0</v>
      </c>
      <c r="J234" s="162">
        <f t="shared" si="68"/>
        <v>100</v>
      </c>
      <c r="K234" s="127"/>
      <c r="L234" s="140">
        <f>$A234</f>
        <v>34386</v>
      </c>
      <c r="M234" s="130" t="str">
        <f>$B234</f>
        <v>PK CCST for CT 2-5</v>
      </c>
      <c r="N234" s="130"/>
      <c r="O234" s="145">
        <f>VLOOKUP('Change in Plant &amp; Reserve'!$A234,'2019 B-9'!C:R,16,FALSE)</f>
        <v>17777814.090000004</v>
      </c>
      <c r="P234" s="130"/>
      <c r="Q234" s="145">
        <v>0</v>
      </c>
      <c r="R234" s="130"/>
      <c r="S234" s="145">
        <f>O234+Q234</f>
        <v>17777814.090000004</v>
      </c>
      <c r="T234" s="143"/>
    </row>
    <row r="235" spans="1:20" x14ac:dyDescent="0.2">
      <c r="A235" s="140">
        <v>34586</v>
      </c>
      <c r="B235" s="130" t="s">
        <v>1119</v>
      </c>
      <c r="C235" s="130"/>
      <c r="D235" s="145">
        <f>VLOOKUP('Change in Plant &amp; Reserve'!$A235,'2019 B-7'!C:P,14,FALSE)</f>
        <v>18335993.590000004</v>
      </c>
      <c r="E235" s="145">
        <f>ROUND($S235,0)</f>
        <v>1862512</v>
      </c>
      <c r="F235" s="148">
        <f t="shared" si="66"/>
        <v>10.157682434050194</v>
      </c>
      <c r="G235" s="145">
        <f t="shared" si="69"/>
        <v>1862512</v>
      </c>
      <c r="H235" s="148">
        <f t="shared" si="67"/>
        <v>10.157682434050194</v>
      </c>
      <c r="I235" s="145">
        <f>E235-G235</f>
        <v>0</v>
      </c>
      <c r="J235" s="162">
        <f t="shared" si="68"/>
        <v>100</v>
      </c>
      <c r="K235" s="127"/>
      <c r="L235" s="140">
        <f>$A235</f>
        <v>34586</v>
      </c>
      <c r="M235" s="130" t="str">
        <f>$B235</f>
        <v>PK CCST for CT 2-5</v>
      </c>
      <c r="N235" s="130"/>
      <c r="O235" s="145">
        <f>VLOOKUP('Change in Plant &amp; Reserve'!$A235,'2019 B-9'!C:R,16,FALSE)</f>
        <v>1862512.3300000003</v>
      </c>
      <c r="P235" s="130"/>
      <c r="Q235" s="145">
        <v>0</v>
      </c>
      <c r="R235" s="130"/>
      <c r="S235" s="145">
        <f>O235+Q235</f>
        <v>1862512.3300000003</v>
      </c>
      <c r="T235" s="143"/>
    </row>
    <row r="236" spans="1:20" ht="15" x14ac:dyDescent="0.2">
      <c r="A236" s="140">
        <v>34686</v>
      </c>
      <c r="B236" s="168" t="s">
        <v>1119</v>
      </c>
      <c r="C236" s="130"/>
      <c r="D236" s="172">
        <f>VLOOKUP('Change in Plant &amp; Reserve'!$A236,'2019 B-7'!C:P,14,FALSE)</f>
        <v>141626.41</v>
      </c>
      <c r="E236" s="172">
        <f>ROUND($S236,0)</f>
        <v>9926</v>
      </c>
      <c r="F236" s="794">
        <f t="shared" si="66"/>
        <v>7.0085798263191172</v>
      </c>
      <c r="G236" s="172">
        <f t="shared" si="69"/>
        <v>9926</v>
      </c>
      <c r="H236" s="794">
        <f t="shared" si="67"/>
        <v>7.0085798263191172</v>
      </c>
      <c r="I236" s="172">
        <f>E236-G236</f>
        <v>0</v>
      </c>
      <c r="J236" s="795">
        <f t="shared" si="68"/>
        <v>100</v>
      </c>
      <c r="K236" s="127"/>
      <c r="L236" s="140">
        <f>$A236</f>
        <v>34686</v>
      </c>
      <c r="M236" s="168" t="str">
        <f>$B236</f>
        <v>PK CCST for CT 2-5</v>
      </c>
      <c r="N236" s="130"/>
      <c r="O236" s="172">
        <f>VLOOKUP('Change in Plant &amp; Reserve'!$A236,'2019 B-9'!C:R,16,FALSE)</f>
        <v>9925.5400000000027</v>
      </c>
      <c r="P236" s="130"/>
      <c r="Q236" s="171">
        <v>0</v>
      </c>
      <c r="R236" s="130"/>
      <c r="S236" s="171">
        <f>O236+Q236</f>
        <v>9925.5400000000027</v>
      </c>
      <c r="T236" s="143"/>
    </row>
    <row r="237" spans="1:20" x14ac:dyDescent="0.2">
      <c r="A237" s="134"/>
      <c r="B237" s="128" t="s">
        <v>75</v>
      </c>
      <c r="C237" s="130"/>
      <c r="D237" s="173">
        <f>SUM(D232:D236)</f>
        <v>468972397.25999993</v>
      </c>
      <c r="E237" s="173">
        <f>SUM(E232:E236)</f>
        <v>39169474</v>
      </c>
      <c r="F237" s="796">
        <f t="shared" si="66"/>
        <v>8.3521917769254781</v>
      </c>
      <c r="G237" s="173">
        <f>SUM(G232:G236)</f>
        <v>39169474</v>
      </c>
      <c r="H237" s="796">
        <f t="shared" si="67"/>
        <v>8.3521917769254781</v>
      </c>
      <c r="I237" s="173">
        <f>SUM(I232:I236)</f>
        <v>0</v>
      </c>
      <c r="J237" s="797">
        <f t="shared" si="68"/>
        <v>100</v>
      </c>
      <c r="K237" s="127"/>
      <c r="L237" s="134"/>
      <c r="M237" s="128" t="s">
        <v>75</v>
      </c>
      <c r="N237" s="130"/>
      <c r="O237" s="173">
        <f>SUM(O232:O236)</f>
        <v>39169473.109999992</v>
      </c>
      <c r="P237" s="130"/>
      <c r="Q237" s="173">
        <f>SUM(Q232:Q236)</f>
        <v>0</v>
      </c>
      <c r="R237" s="130"/>
      <c r="S237" s="173">
        <f>SUM(S232:S236)</f>
        <v>39169473.109999992</v>
      </c>
      <c r="T237" s="143"/>
    </row>
    <row r="238" spans="1:20" x14ac:dyDescent="0.2">
      <c r="A238" s="134"/>
      <c r="B238" s="128"/>
      <c r="C238" s="130"/>
      <c r="D238" s="173"/>
      <c r="E238" s="173"/>
      <c r="F238" s="796"/>
      <c r="G238" s="173"/>
      <c r="H238" s="796"/>
      <c r="I238" s="173"/>
      <c r="J238" s="797"/>
      <c r="K238" s="127"/>
      <c r="L238" s="134"/>
      <c r="M238" s="128"/>
      <c r="N238" s="130"/>
      <c r="O238" s="173"/>
      <c r="P238" s="130"/>
      <c r="Q238" s="173"/>
      <c r="R238" s="130"/>
      <c r="S238" s="173"/>
      <c r="T238" s="143"/>
    </row>
    <row r="239" spans="1:20" x14ac:dyDescent="0.2">
      <c r="A239" s="140">
        <v>34687</v>
      </c>
      <c r="B239" s="130" t="s">
        <v>65</v>
      </c>
      <c r="C239" s="130"/>
      <c r="D239" s="145">
        <f>VLOOKUP('Change in Plant &amp; Reserve'!$A239,'2019 B-7'!C:P,14,FALSE)</f>
        <v>1206560.4700000002</v>
      </c>
      <c r="E239" s="145">
        <f>ROUND($S239,0)</f>
        <v>697965</v>
      </c>
      <c r="F239" s="148">
        <f>IF($D239=0,0,(E239/$D239)*100)</f>
        <v>57.847494373821142</v>
      </c>
      <c r="G239" s="145">
        <f>E239</f>
        <v>697965</v>
      </c>
      <c r="H239" s="148">
        <f>IF($D239=0,0,(G239/$D239)*100)</f>
        <v>57.847494373821142</v>
      </c>
      <c r="I239" s="145">
        <f>E239-G239</f>
        <v>0</v>
      </c>
      <c r="J239" s="162">
        <f>IF(G239=0,0,(E239/G239)*100)</f>
        <v>100</v>
      </c>
      <c r="K239" s="127"/>
      <c r="L239" s="140">
        <f>$A239</f>
        <v>34687</v>
      </c>
      <c r="M239" s="130" t="str">
        <f>$B239</f>
        <v>Polk Amortizable Tools</v>
      </c>
      <c r="N239" s="130"/>
      <c r="O239" s="145">
        <f>VLOOKUP('Change in Plant &amp; Reserve'!$A239,'2019 B-9'!C:R,16,FALSE)</f>
        <v>697965.27000000014</v>
      </c>
      <c r="P239" s="130"/>
      <c r="Q239" s="145">
        <v>0</v>
      </c>
      <c r="R239" s="130"/>
      <c r="S239" s="145">
        <f>O239+Q239</f>
        <v>697965.27000000014</v>
      </c>
      <c r="T239" s="143"/>
    </row>
    <row r="240" spans="1:20" x14ac:dyDescent="0.2">
      <c r="A240" s="140"/>
      <c r="B240" s="130"/>
      <c r="C240" s="130"/>
      <c r="D240" s="145"/>
      <c r="E240" s="145"/>
      <c r="F240" s="148"/>
      <c r="G240" s="145"/>
      <c r="H240" s="148"/>
      <c r="I240" s="145"/>
      <c r="J240" s="162"/>
      <c r="K240" s="127"/>
      <c r="L240" s="140"/>
      <c r="M240" s="130"/>
      <c r="N240" s="130"/>
      <c r="O240" s="145"/>
      <c r="P240" s="130"/>
      <c r="Q240" s="145"/>
      <c r="R240" s="130"/>
      <c r="S240" s="145"/>
      <c r="T240" s="143"/>
    </row>
    <row r="241" spans="1:20" x14ac:dyDescent="0.2">
      <c r="A241" s="140">
        <v>34287</v>
      </c>
      <c r="B241" s="130" t="s">
        <v>867</v>
      </c>
      <c r="C241" s="130"/>
      <c r="D241" s="145">
        <f>VLOOKUP('Change in Plant &amp; Reserve'!$A241,'2019 B-7'!C:P,14,FALSE)</f>
        <v>0</v>
      </c>
      <c r="E241" s="145">
        <f>ROUND($S241,0)</f>
        <v>0</v>
      </c>
      <c r="F241" s="148">
        <f>IF($D241=0,0,(E241/$D241)*100)</f>
        <v>0</v>
      </c>
      <c r="G241" s="145">
        <f>E241</f>
        <v>0</v>
      </c>
      <c r="H241" s="148">
        <f>IF($D241=0,0,(G241/$D241)*100)</f>
        <v>0</v>
      </c>
      <c r="I241" s="145">
        <f>E241-G241</f>
        <v>0</v>
      </c>
      <c r="J241" s="162">
        <f>IF(G241=0,0,(E241/G241)*100)</f>
        <v>0</v>
      </c>
      <c r="K241" s="127"/>
      <c r="L241" s="140">
        <f>$A241</f>
        <v>34287</v>
      </c>
      <c r="M241" s="130" t="str">
        <f>$B241</f>
        <v>Polk 1 Fuel Clause</v>
      </c>
      <c r="N241" s="130"/>
      <c r="O241" s="145">
        <f>VLOOKUP('Change in Plant &amp; Reserve'!$A241,'2019 B-9'!C:R,16,FALSE)</f>
        <v>1.3315002433955669E-8</v>
      </c>
      <c r="P241" s="130"/>
      <c r="Q241" s="145">
        <v>0</v>
      </c>
      <c r="R241" s="130"/>
      <c r="S241" s="145">
        <f>O241+Q241</f>
        <v>1.3315002433955669E-8</v>
      </c>
      <c r="T241" s="143"/>
    </row>
    <row r="242" spans="1:20" ht="13.5" thickBot="1" x14ac:dyDescent="0.25">
      <c r="A242" s="182"/>
      <c r="B242" s="182"/>
      <c r="C242" s="130"/>
      <c r="D242" s="145"/>
      <c r="E242" s="145"/>
      <c r="F242" s="183"/>
      <c r="G242" s="182"/>
      <c r="H242" s="183"/>
      <c r="I242" s="182"/>
      <c r="J242" s="184"/>
      <c r="K242" s="127"/>
      <c r="L242" s="182"/>
      <c r="M242" s="182"/>
      <c r="N242" s="130"/>
      <c r="O242" s="182"/>
      <c r="P242" s="130"/>
      <c r="Q242" s="182"/>
      <c r="R242" s="130"/>
      <c r="S242" s="145"/>
      <c r="T242" s="143"/>
    </row>
    <row r="243" spans="1:20" ht="19.5" customHeight="1" thickTop="1" thickBot="1" x14ac:dyDescent="0.25">
      <c r="A243" s="494"/>
      <c r="B243" s="384" t="s">
        <v>74</v>
      </c>
      <c r="C243" s="130"/>
      <c r="D243" s="196">
        <f>SUM(D195,D202,D209,D216,D223,D230,D237,D239,D241)</f>
        <v>1368350419.73</v>
      </c>
      <c r="E243" s="196">
        <f>SUM(E195,E202,E209,E216,E223,E230,E237,E239,E241)</f>
        <v>385148258</v>
      </c>
      <c r="F243" s="798">
        <f>IF($D243=0,0,(E243/$D243)*100)</f>
        <v>28.146902463478369</v>
      </c>
      <c r="G243" s="196">
        <f>SUM(G195,G202,G209,G216,G223,G230,G237,G239,G241)</f>
        <v>448069337</v>
      </c>
      <c r="H243" s="798">
        <f>IF($D243=0,0,(G243/$D243)*100)</f>
        <v>32.745218661781976</v>
      </c>
      <c r="I243" s="196">
        <f>SUM(I195,I202,I209,I216,I223,I230,I237,I239,I241)</f>
        <v>-62921079</v>
      </c>
      <c r="J243" s="799">
        <f>IF(G243=0,0,(E243/G243)*100)</f>
        <v>85.957289686171947</v>
      </c>
      <c r="K243" s="127"/>
      <c r="L243" s="494"/>
      <c r="M243" s="384" t="s">
        <v>74</v>
      </c>
      <c r="N243" s="130"/>
      <c r="O243" s="196">
        <f>SUM(O195,O202,O209,O216,O223,O230,O237,O239,O241)</f>
        <v>385148257.38</v>
      </c>
      <c r="P243" s="130"/>
      <c r="Q243" s="196">
        <f>SUM(Q195,Q202,Q209,Q216,Q223,Q230,Q237,Q239,Q241)</f>
        <v>0</v>
      </c>
      <c r="R243" s="130"/>
      <c r="S243" s="196">
        <f>SUM(S195,S202,S209,S216,S223,S230,S237,S239,S241)</f>
        <v>385148257.38</v>
      </c>
      <c r="T243" s="143"/>
    </row>
    <row r="244" spans="1:20" ht="13.5" thickTop="1" x14ac:dyDescent="0.2">
      <c r="A244" s="200"/>
      <c r="B244" s="130"/>
      <c r="C244" s="130"/>
      <c r="D244" s="145"/>
      <c r="E244" s="145"/>
      <c r="F244" s="148"/>
      <c r="G244" s="145"/>
      <c r="H244" s="148"/>
      <c r="I244" s="145"/>
      <c r="J244" s="162"/>
      <c r="K244" s="127"/>
      <c r="L244" s="200"/>
      <c r="M244" s="130"/>
      <c r="N244" s="130"/>
      <c r="O244" s="145"/>
      <c r="P244" s="130"/>
      <c r="Q244" s="145"/>
      <c r="R244" s="130"/>
      <c r="S244" s="145"/>
      <c r="T244" s="143"/>
    </row>
    <row r="245" spans="1:20" x14ac:dyDescent="0.2">
      <c r="A245" s="200"/>
      <c r="B245" s="202" t="s">
        <v>861</v>
      </c>
      <c r="C245" s="130"/>
      <c r="D245" s="145"/>
      <c r="E245" s="145"/>
      <c r="F245" s="148"/>
      <c r="G245" s="145"/>
      <c r="H245" s="148"/>
      <c r="I245" s="145"/>
      <c r="J245" s="162"/>
      <c r="K245" s="127"/>
      <c r="L245" s="200"/>
      <c r="M245" s="202" t="s">
        <v>861</v>
      </c>
      <c r="N245" s="130"/>
      <c r="O245" s="145"/>
      <c r="P245" s="130"/>
      <c r="Q245" s="145"/>
      <c r="R245" s="130"/>
      <c r="S245" s="145"/>
      <c r="T245" s="143"/>
    </row>
    <row r="246" spans="1:20" x14ac:dyDescent="0.2">
      <c r="A246" s="200"/>
      <c r="B246" s="130"/>
      <c r="C246" s="130"/>
      <c r="D246" s="145"/>
      <c r="E246" s="145"/>
      <c r="F246" s="148"/>
      <c r="G246" s="145"/>
      <c r="H246" s="148"/>
      <c r="I246" s="145"/>
      <c r="J246" s="162"/>
      <c r="K246" s="127"/>
      <c r="L246" s="200"/>
      <c r="M246" s="130"/>
      <c r="N246" s="130"/>
      <c r="O246" s="145"/>
      <c r="P246" s="130"/>
      <c r="Q246" s="145"/>
      <c r="R246" s="130"/>
      <c r="S246" s="145"/>
      <c r="T246" s="143"/>
    </row>
    <row r="247" spans="1:20" x14ac:dyDescent="0.2">
      <c r="A247" s="140">
        <v>34199</v>
      </c>
      <c r="B247" s="130" t="s">
        <v>851</v>
      </c>
      <c r="C247" s="130"/>
      <c r="D247" s="145">
        <f>VLOOKUP('Change in Plant &amp; Reserve'!$A247,'2019 B-7'!C:P,14,FALSE)</f>
        <v>176075355.94000003</v>
      </c>
      <c r="E247" s="145">
        <f t="shared" ref="E247:E252" si="70">ROUND($S247,0)</f>
        <v>5959130</v>
      </c>
      <c r="F247" s="148">
        <f t="shared" ref="F247:F253" si="71">IF($D247=0,0,(E247/$D247)*100)</f>
        <v>3.3844202490385147</v>
      </c>
      <c r="G247" s="145">
        <f>E247</f>
        <v>5959130</v>
      </c>
      <c r="H247" s="148">
        <f t="shared" ref="H247:H253" si="72">IF($D247=0,0,(G247/$D247)*100)</f>
        <v>3.3844202490385147</v>
      </c>
      <c r="I247" s="145">
        <f t="shared" ref="I247:I252" si="73">E247-G247</f>
        <v>0</v>
      </c>
      <c r="J247" s="162">
        <f t="shared" ref="J247:J253" si="74">IF(G247=0,0,(E247/G247)*100)</f>
        <v>100</v>
      </c>
      <c r="K247" s="127"/>
      <c r="L247" s="140">
        <f t="shared" ref="L247:L252" si="75">$A247</f>
        <v>34199</v>
      </c>
      <c r="M247" s="130" t="str">
        <f t="shared" ref="M247:M252" si="76">$B247</f>
        <v>Solar Sites</v>
      </c>
      <c r="N247" s="130"/>
      <c r="O247" s="145">
        <f>VLOOKUP('Change in Plant &amp; Reserve'!$A247,'2019 B-9'!C:R,16,FALSE)</f>
        <v>5959129.6600000001</v>
      </c>
      <c r="P247" s="130"/>
      <c r="Q247" s="145">
        <v>0</v>
      </c>
      <c r="R247" s="130"/>
      <c r="S247" s="145">
        <f t="shared" ref="S247:S252" si="77">O247+Q247</f>
        <v>5959129.6600000001</v>
      </c>
      <c r="T247" s="143"/>
    </row>
    <row r="248" spans="1:20" x14ac:dyDescent="0.2">
      <c r="A248" s="140">
        <v>34299</v>
      </c>
      <c r="B248" s="130" t="s">
        <v>851</v>
      </c>
      <c r="C248" s="130"/>
      <c r="D248" s="145">
        <v>0</v>
      </c>
      <c r="E248" s="145">
        <f t="shared" si="70"/>
        <v>0</v>
      </c>
      <c r="F248" s="148">
        <f t="shared" si="71"/>
        <v>0</v>
      </c>
      <c r="G248" s="145">
        <f>E248</f>
        <v>0</v>
      </c>
      <c r="H248" s="148">
        <f t="shared" si="72"/>
        <v>0</v>
      </c>
      <c r="I248" s="145">
        <f t="shared" si="73"/>
        <v>0</v>
      </c>
      <c r="J248" s="162">
        <f t="shared" si="74"/>
        <v>0</v>
      </c>
      <c r="K248" s="127"/>
      <c r="L248" s="140">
        <f t="shared" si="75"/>
        <v>34299</v>
      </c>
      <c r="M248" s="130" t="str">
        <f t="shared" si="76"/>
        <v>Solar Sites</v>
      </c>
      <c r="N248" s="130"/>
      <c r="O248" s="145">
        <v>0</v>
      </c>
      <c r="P248" s="130"/>
      <c r="Q248" s="145">
        <v>0</v>
      </c>
      <c r="R248" s="130"/>
      <c r="S248" s="145">
        <f t="shared" si="77"/>
        <v>0</v>
      </c>
      <c r="T248" s="143"/>
    </row>
    <row r="249" spans="1:20" x14ac:dyDescent="0.2">
      <c r="A249" s="140">
        <v>34399</v>
      </c>
      <c r="B249" s="130" t="s">
        <v>851</v>
      </c>
      <c r="C249" s="130"/>
      <c r="D249" s="145">
        <f>VLOOKUP('Change in Plant &amp; Reserve'!$A249,'2019 B-7'!C:P,14,FALSE)</f>
        <v>272856761.74000001</v>
      </c>
      <c r="E249" s="145">
        <f t="shared" si="70"/>
        <v>11221756</v>
      </c>
      <c r="F249" s="148">
        <f t="shared" si="71"/>
        <v>4.112691189486811</v>
      </c>
      <c r="G249" s="145">
        <f t="shared" ref="G249:G252" si="78">E249</f>
        <v>11221756</v>
      </c>
      <c r="H249" s="148">
        <f t="shared" si="72"/>
        <v>4.112691189486811</v>
      </c>
      <c r="I249" s="145">
        <f t="shared" si="73"/>
        <v>0</v>
      </c>
      <c r="J249" s="162">
        <f t="shared" si="74"/>
        <v>100</v>
      </c>
      <c r="K249" s="127"/>
      <c r="L249" s="140">
        <f t="shared" si="75"/>
        <v>34399</v>
      </c>
      <c r="M249" s="130" t="str">
        <f t="shared" si="76"/>
        <v>Solar Sites</v>
      </c>
      <c r="N249" s="130"/>
      <c r="O249" s="145">
        <f>VLOOKUP('Change in Plant &amp; Reserve'!$A249,'2019 B-9'!C:R,16,FALSE)</f>
        <v>11221756.060000001</v>
      </c>
      <c r="P249" s="130"/>
      <c r="Q249" s="145">
        <v>0</v>
      </c>
      <c r="R249" s="130"/>
      <c r="S249" s="145">
        <f t="shared" si="77"/>
        <v>11221756.060000001</v>
      </c>
      <c r="T249" s="143"/>
    </row>
    <row r="250" spans="1:20" x14ac:dyDescent="0.2">
      <c r="A250" s="140">
        <v>34599</v>
      </c>
      <c r="B250" s="130" t="s">
        <v>851</v>
      </c>
      <c r="C250" s="130"/>
      <c r="D250" s="145">
        <f>VLOOKUP('Change in Plant &amp; Reserve'!$A250,'2019 B-7'!C:P,14,FALSE)</f>
        <v>96257197.900000006</v>
      </c>
      <c r="E250" s="145">
        <f t="shared" si="70"/>
        <v>3766750</v>
      </c>
      <c r="F250" s="148">
        <f t="shared" si="71"/>
        <v>3.9132138501613287</v>
      </c>
      <c r="G250" s="145">
        <f t="shared" si="78"/>
        <v>3766750</v>
      </c>
      <c r="H250" s="148">
        <f t="shared" si="72"/>
        <v>3.9132138501613287</v>
      </c>
      <c r="I250" s="145">
        <f t="shared" si="73"/>
        <v>0</v>
      </c>
      <c r="J250" s="162">
        <f t="shared" si="74"/>
        <v>100</v>
      </c>
      <c r="K250" s="127"/>
      <c r="L250" s="140">
        <f t="shared" si="75"/>
        <v>34599</v>
      </c>
      <c r="M250" s="130" t="str">
        <f t="shared" si="76"/>
        <v>Solar Sites</v>
      </c>
      <c r="N250" s="130"/>
      <c r="O250" s="145">
        <f>VLOOKUP('Change in Plant &amp; Reserve'!$A250,'2019 B-9'!C:R,16,FALSE)</f>
        <v>3766749.69</v>
      </c>
      <c r="P250" s="130"/>
      <c r="Q250" s="145">
        <v>0</v>
      </c>
      <c r="R250" s="130"/>
      <c r="S250" s="145">
        <f t="shared" si="77"/>
        <v>3766749.69</v>
      </c>
      <c r="T250" s="143"/>
    </row>
    <row r="251" spans="1:20" x14ac:dyDescent="0.2">
      <c r="A251" s="140">
        <v>34699</v>
      </c>
      <c r="B251" s="130" t="s">
        <v>851</v>
      </c>
      <c r="C251" s="130"/>
      <c r="D251" s="145">
        <v>0</v>
      </c>
      <c r="E251" s="145">
        <f t="shared" si="70"/>
        <v>0</v>
      </c>
      <c r="F251" s="148">
        <f t="shared" si="71"/>
        <v>0</v>
      </c>
      <c r="G251" s="145">
        <f t="shared" si="78"/>
        <v>0</v>
      </c>
      <c r="H251" s="148">
        <f t="shared" si="72"/>
        <v>0</v>
      </c>
      <c r="I251" s="145">
        <f t="shared" si="73"/>
        <v>0</v>
      </c>
      <c r="J251" s="162">
        <f t="shared" si="74"/>
        <v>0</v>
      </c>
      <c r="K251" s="127"/>
      <c r="L251" s="140">
        <f t="shared" si="75"/>
        <v>34699</v>
      </c>
      <c r="M251" s="130" t="str">
        <f t="shared" si="76"/>
        <v>Solar Sites</v>
      </c>
      <c r="N251" s="130"/>
      <c r="O251" s="145">
        <v>0</v>
      </c>
      <c r="P251" s="130"/>
      <c r="Q251" s="145">
        <v>0</v>
      </c>
      <c r="R251" s="130"/>
      <c r="S251" s="145">
        <f t="shared" si="77"/>
        <v>0</v>
      </c>
      <c r="T251" s="143"/>
    </row>
    <row r="252" spans="1:20" ht="15" x14ac:dyDescent="0.2">
      <c r="A252" s="140">
        <v>34899</v>
      </c>
      <c r="B252" s="168" t="s">
        <v>851</v>
      </c>
      <c r="C252" s="130"/>
      <c r="D252" s="172">
        <v>0</v>
      </c>
      <c r="E252" s="172">
        <f t="shared" si="70"/>
        <v>0</v>
      </c>
      <c r="F252" s="794">
        <f t="shared" si="71"/>
        <v>0</v>
      </c>
      <c r="G252" s="172">
        <f t="shared" si="78"/>
        <v>0</v>
      </c>
      <c r="H252" s="794">
        <f t="shared" si="72"/>
        <v>0</v>
      </c>
      <c r="I252" s="172">
        <f t="shared" si="73"/>
        <v>0</v>
      </c>
      <c r="J252" s="795">
        <f t="shared" si="74"/>
        <v>0</v>
      </c>
      <c r="K252" s="127"/>
      <c r="L252" s="140">
        <f t="shared" si="75"/>
        <v>34899</v>
      </c>
      <c r="M252" s="168" t="str">
        <f t="shared" si="76"/>
        <v>Solar Sites</v>
      </c>
      <c r="N252" s="130"/>
      <c r="O252" s="172">
        <v>0</v>
      </c>
      <c r="P252" s="130"/>
      <c r="Q252" s="171">
        <v>0</v>
      </c>
      <c r="R252" s="130"/>
      <c r="S252" s="171">
        <f t="shared" si="77"/>
        <v>0</v>
      </c>
      <c r="T252" s="143"/>
    </row>
    <row r="253" spans="1:20" x14ac:dyDescent="0.2">
      <c r="A253" s="134"/>
      <c r="B253" s="128" t="s">
        <v>75</v>
      </c>
      <c r="C253" s="130"/>
      <c r="D253" s="173">
        <f>SUM(D247:D252)</f>
        <v>545189315.58000004</v>
      </c>
      <c r="E253" s="173">
        <f>SUM(E247:E252)</f>
        <v>20947636</v>
      </c>
      <c r="F253" s="796">
        <f t="shared" si="71"/>
        <v>3.8422682545997517</v>
      </c>
      <c r="G253" s="173">
        <f>SUM(G247:G252)</f>
        <v>20947636</v>
      </c>
      <c r="H253" s="796">
        <f t="shared" si="72"/>
        <v>3.8422682545997517</v>
      </c>
      <c r="I253" s="173">
        <f>SUM(I247:I252)</f>
        <v>0</v>
      </c>
      <c r="J253" s="797">
        <f t="shared" si="74"/>
        <v>100</v>
      </c>
      <c r="K253" s="127"/>
      <c r="L253" s="134"/>
      <c r="M253" s="128" t="s">
        <v>75</v>
      </c>
      <c r="N253" s="130"/>
      <c r="O253" s="173">
        <f>SUM(O247:O252)</f>
        <v>20947635.41</v>
      </c>
      <c r="P253" s="130"/>
      <c r="Q253" s="173">
        <f>SUM(Q247:Q252)</f>
        <v>0</v>
      </c>
      <c r="R253" s="130"/>
      <c r="S253" s="173">
        <f>SUM(S247:S252)</f>
        <v>20947635.41</v>
      </c>
      <c r="T253" s="143"/>
    </row>
    <row r="254" spans="1:20" ht="13.5" thickBot="1" x14ac:dyDescent="0.25">
      <c r="A254" s="182"/>
      <c r="B254" s="182"/>
      <c r="C254" s="130"/>
      <c r="D254" s="145"/>
      <c r="E254" s="145"/>
      <c r="F254" s="183"/>
      <c r="G254" s="182"/>
      <c r="H254" s="183"/>
      <c r="I254" s="182"/>
      <c r="J254" s="184"/>
      <c r="K254" s="127"/>
      <c r="L254" s="182"/>
      <c r="M254" s="182"/>
      <c r="N254" s="130"/>
      <c r="O254" s="182"/>
      <c r="P254" s="130"/>
      <c r="Q254" s="182"/>
      <c r="R254" s="130"/>
      <c r="S254" s="145"/>
      <c r="T254" s="143"/>
    </row>
    <row r="255" spans="1:20" ht="19.5" customHeight="1" thickTop="1" thickBot="1" x14ac:dyDescent="0.25">
      <c r="A255" s="494"/>
      <c r="B255" s="384" t="s">
        <v>862</v>
      </c>
      <c r="C255" s="130"/>
      <c r="D255" s="196">
        <f>D253</f>
        <v>545189315.58000004</v>
      </c>
      <c r="E255" s="196">
        <f>E253</f>
        <v>20947636</v>
      </c>
      <c r="F255" s="798">
        <f>IF($D255=0,0,(E255/$D255)*100)</f>
        <v>3.8422682545997517</v>
      </c>
      <c r="G255" s="196">
        <f>G253</f>
        <v>20947636</v>
      </c>
      <c r="H255" s="798">
        <f>IF($D255=0,0,(G255/$D255)*100)</f>
        <v>3.8422682545997517</v>
      </c>
      <c r="I255" s="196">
        <f>I253</f>
        <v>0</v>
      </c>
      <c r="J255" s="799">
        <f>IF(G255=0,0,(E255/G255)*100)</f>
        <v>100</v>
      </c>
      <c r="K255" s="127"/>
      <c r="L255" s="494"/>
      <c r="M255" s="384" t="s">
        <v>862</v>
      </c>
      <c r="N255" s="130"/>
      <c r="O255" s="196">
        <f>O253</f>
        <v>20947635.41</v>
      </c>
      <c r="P255" s="130"/>
      <c r="Q255" s="196">
        <f>Q253</f>
        <v>0</v>
      </c>
      <c r="R255" s="130"/>
      <c r="S255" s="196">
        <f>S253</f>
        <v>20947635.41</v>
      </c>
      <c r="T255" s="143"/>
    </row>
    <row r="256" spans="1:20" ht="13.5" thickTop="1" x14ac:dyDescent="0.2">
      <c r="A256" s="200"/>
      <c r="B256" s="800"/>
      <c r="C256" s="130"/>
      <c r="D256" s="145"/>
      <c r="E256" s="145"/>
      <c r="F256" s="148"/>
      <c r="G256" s="145"/>
      <c r="H256" s="148"/>
      <c r="I256" s="145"/>
      <c r="J256" s="162"/>
      <c r="K256" s="127"/>
      <c r="L256" s="200"/>
      <c r="M256" s="800"/>
      <c r="N256" s="130"/>
      <c r="O256" s="145"/>
      <c r="P256" s="130"/>
      <c r="Q256" s="145"/>
      <c r="R256" s="130"/>
      <c r="S256" s="145"/>
      <c r="T256" s="143"/>
    </row>
    <row r="257" spans="1:20" ht="13.5" thickBot="1" x14ac:dyDescent="0.25">
      <c r="A257" s="187"/>
      <c r="B257" s="807"/>
      <c r="C257" s="130"/>
      <c r="D257" s="204"/>
      <c r="E257" s="204"/>
      <c r="F257" s="189"/>
      <c r="G257" s="204"/>
      <c r="H257" s="189"/>
      <c r="I257" s="204"/>
      <c r="J257" s="190"/>
      <c r="K257" s="127"/>
      <c r="L257" s="187"/>
      <c r="M257" s="807"/>
      <c r="N257" s="130"/>
      <c r="O257" s="204"/>
      <c r="P257" s="130"/>
      <c r="Q257" s="204"/>
      <c r="R257" s="130"/>
      <c r="S257" s="204"/>
      <c r="T257" s="143"/>
    </row>
    <row r="258" spans="1:20" ht="19.5" customHeight="1" thickTop="1" thickBot="1" x14ac:dyDescent="0.25">
      <c r="A258" s="808"/>
      <c r="B258" s="802" t="s">
        <v>66</v>
      </c>
      <c r="C258" s="130"/>
      <c r="D258" s="192">
        <f>SUM(D131,D186,D243,D255)</f>
        <v>3064959319.3000002</v>
      </c>
      <c r="E258" s="192">
        <f>SUM(E131,E186,E243,E255)</f>
        <v>768082838</v>
      </c>
      <c r="F258" s="803">
        <f>IF($D258=0,0,(E258/$D258)*100)</f>
        <v>25.060131570536505</v>
      </c>
      <c r="G258" s="192">
        <f>SUM(G131,G186,G243,G255)</f>
        <v>1015834598</v>
      </c>
      <c r="H258" s="803">
        <f>IF($D258=0,0,(G258/$D258)*100)</f>
        <v>33.143493670643707</v>
      </c>
      <c r="I258" s="192">
        <f>SUM(I131,I186,I243,I255)</f>
        <v>-247751760</v>
      </c>
      <c r="J258" s="804">
        <f>IF(G258=0,0,(E258/G258)*100)</f>
        <v>75.611013792227624</v>
      </c>
      <c r="K258" s="127"/>
      <c r="L258" s="808"/>
      <c r="M258" s="802" t="s">
        <v>66</v>
      </c>
      <c r="N258" s="130"/>
      <c r="O258" s="192">
        <f>SUM(O131,O186,O243,O255)</f>
        <v>768082836.49999988</v>
      </c>
      <c r="P258" s="130"/>
      <c r="Q258" s="192">
        <f>SUM(Q131,Q186,Q243,Q255)</f>
        <v>0</v>
      </c>
      <c r="R258" s="130"/>
      <c r="S258" s="192">
        <f>SUM(S131,S186,S243,S255)</f>
        <v>768082836.49999988</v>
      </c>
      <c r="T258" s="143"/>
    </row>
    <row r="259" spans="1:20" ht="13.5" thickTop="1" x14ac:dyDescent="0.2">
      <c r="A259" s="208"/>
      <c r="B259" s="387"/>
      <c r="C259" s="130"/>
      <c r="D259" s="145"/>
      <c r="E259" s="145"/>
      <c r="F259" s="148"/>
      <c r="G259" s="145"/>
      <c r="H259" s="148"/>
      <c r="I259" s="145"/>
      <c r="J259" s="162"/>
      <c r="K259" s="127"/>
      <c r="L259" s="208"/>
      <c r="M259" s="387"/>
      <c r="N259" s="130"/>
      <c r="O259" s="145"/>
      <c r="P259" s="130"/>
      <c r="Q259" s="145"/>
      <c r="R259" s="130"/>
      <c r="S259" s="145"/>
      <c r="T259" s="143"/>
    </row>
    <row r="260" spans="1:20" x14ac:dyDescent="0.2">
      <c r="A260" s="208"/>
      <c r="B260" s="469" t="s">
        <v>1122</v>
      </c>
      <c r="C260" s="130"/>
      <c r="D260" s="145"/>
      <c r="E260" s="145"/>
      <c r="F260" s="148"/>
      <c r="G260" s="145"/>
      <c r="H260" s="148"/>
      <c r="I260" s="145"/>
      <c r="J260" s="162"/>
      <c r="K260" s="127"/>
      <c r="L260" s="208"/>
      <c r="M260" s="469" t="s">
        <v>1122</v>
      </c>
      <c r="N260" s="130"/>
      <c r="O260" s="145"/>
      <c r="P260" s="130"/>
      <c r="Q260" s="145"/>
      <c r="R260" s="130"/>
      <c r="S260" s="145"/>
      <c r="T260" s="143"/>
    </row>
    <row r="261" spans="1:20" x14ac:dyDescent="0.2">
      <c r="A261" s="208"/>
      <c r="B261" s="387"/>
      <c r="C261" s="130"/>
      <c r="D261" s="145"/>
      <c r="E261" s="145"/>
      <c r="F261" s="148"/>
      <c r="G261" s="145"/>
      <c r="H261" s="148"/>
      <c r="I261" s="145"/>
      <c r="J261" s="162"/>
      <c r="K261" s="127"/>
      <c r="L261" s="208"/>
      <c r="M261" s="387"/>
      <c r="N261" s="130"/>
      <c r="O261" s="145"/>
      <c r="P261" s="130"/>
      <c r="Q261" s="145"/>
      <c r="R261" s="130"/>
      <c r="S261" s="145"/>
      <c r="T261" s="143"/>
    </row>
    <row r="262" spans="1:20" x14ac:dyDescent="0.2">
      <c r="A262" s="140">
        <v>31700</v>
      </c>
      <c r="B262" s="130" t="s">
        <v>1123</v>
      </c>
      <c r="C262" s="130"/>
      <c r="D262" s="145">
        <f>VLOOKUP('Change in Plant &amp; Reserve'!$A262,'2019 B-7'!C:P,14,FALSE)</f>
        <v>30036948.829999991</v>
      </c>
      <c r="E262" s="145">
        <f>ROUND($S262,0)</f>
        <v>15437208</v>
      </c>
      <c r="F262" s="148">
        <f>IF($D262=0,0,(E262/$D262)*100)</f>
        <v>51.394061651767331</v>
      </c>
      <c r="G262" s="238">
        <f>E262</f>
        <v>15437208</v>
      </c>
      <c r="H262" s="148">
        <f>IF($D262=0,0,(G262/$D262)*100)</f>
        <v>51.394061651767331</v>
      </c>
      <c r="I262" s="145"/>
      <c r="J262" s="162">
        <f>IF(G262=0,0,(E262/G262)*100)</f>
        <v>100</v>
      </c>
      <c r="K262" s="127"/>
      <c r="L262" s="140">
        <f>$A262</f>
        <v>31700</v>
      </c>
      <c r="M262" s="130" t="str">
        <f>$B262</f>
        <v>Various Sites</v>
      </c>
      <c r="N262" s="130"/>
      <c r="O262" s="145">
        <f>VLOOKUP('Change in Plant &amp; Reserve'!$A262,'2019 B-9'!C:R,16,FALSE)</f>
        <v>15437207.990000002</v>
      </c>
      <c r="P262" s="130"/>
      <c r="Q262" s="145">
        <v>0</v>
      </c>
      <c r="R262" s="130"/>
      <c r="S262" s="145">
        <f>O262+Q262</f>
        <v>15437207.990000002</v>
      </c>
      <c r="T262" s="143"/>
    </row>
    <row r="263" spans="1:20" ht="15" x14ac:dyDescent="0.35">
      <c r="A263" s="140">
        <v>34700</v>
      </c>
      <c r="B263" s="168" t="s">
        <v>1123</v>
      </c>
      <c r="C263" s="130"/>
      <c r="D263" s="172">
        <f>VLOOKUP('Change in Plant &amp; Reserve'!$A263,'2019 B-7'!C:P,14,FALSE)</f>
        <v>1885797.7400000002</v>
      </c>
      <c r="E263" s="172">
        <f>ROUND($S263,0)</f>
        <v>301198</v>
      </c>
      <c r="F263" s="794">
        <f>IF($D263=0,0,(E263/$D263)*100)</f>
        <v>15.971914358111384</v>
      </c>
      <c r="G263" s="809">
        <f>E263</f>
        <v>301198</v>
      </c>
      <c r="H263" s="794">
        <f>IF($D263=0,0,(G263/$D263)*100)</f>
        <v>15.971914358111384</v>
      </c>
      <c r="I263" s="145"/>
      <c r="J263" s="795">
        <f>IF(G263=0,0,(E263/G263)*100)</f>
        <v>100</v>
      </c>
      <c r="K263" s="127"/>
      <c r="L263" s="140">
        <f>$A263</f>
        <v>34700</v>
      </c>
      <c r="M263" s="168" t="str">
        <f>$B263</f>
        <v>Various Sites</v>
      </c>
      <c r="N263" s="130"/>
      <c r="O263" s="172">
        <f>VLOOKUP('Change in Plant &amp; Reserve'!$A263,'2019 B-9'!C:R,16,FALSE)</f>
        <v>301198.40000000008</v>
      </c>
      <c r="P263" s="130"/>
      <c r="Q263" s="172">
        <v>0</v>
      </c>
      <c r="R263" s="130"/>
      <c r="S263" s="172">
        <f>O263+Q263</f>
        <v>301198.40000000008</v>
      </c>
      <c r="T263" s="143"/>
    </row>
    <row r="264" spans="1:20" x14ac:dyDescent="0.2">
      <c r="A264" s="134"/>
      <c r="B264" s="128" t="s">
        <v>75</v>
      </c>
      <c r="C264" s="130"/>
      <c r="D264" s="173">
        <f>SUM(D262:D263)</f>
        <v>31922746.569999993</v>
      </c>
      <c r="E264" s="173">
        <f>SUM(E262:E263)</f>
        <v>15738406</v>
      </c>
      <c r="F264" s="796">
        <f>IF($D264=0,0,(E264/$D264)*100)</f>
        <v>49.30154103591596</v>
      </c>
      <c r="G264" s="173">
        <f>SUM(G262:G263)</f>
        <v>15738406</v>
      </c>
      <c r="H264" s="796">
        <f>IF($D264=0,0,(G264/$D264)*100)</f>
        <v>49.30154103591596</v>
      </c>
      <c r="I264" s="173">
        <f>SUM(I262:I263)</f>
        <v>0</v>
      </c>
      <c r="J264" s="797">
        <f>IF(G264=0,0,(E264/G264)*100)</f>
        <v>100</v>
      </c>
      <c r="K264" s="127"/>
      <c r="L264" s="134"/>
      <c r="M264" s="128" t="s">
        <v>75</v>
      </c>
      <c r="N264" s="130"/>
      <c r="O264" s="173">
        <f>SUM(O262:O263)</f>
        <v>15738406.390000002</v>
      </c>
      <c r="P264" s="130"/>
      <c r="Q264" s="173">
        <f>SUM(Q262:Q263)</f>
        <v>0</v>
      </c>
      <c r="R264" s="130"/>
      <c r="S264" s="173">
        <f>SUM(S262:S263)</f>
        <v>15738406.390000002</v>
      </c>
      <c r="T264" s="143"/>
    </row>
    <row r="265" spans="1:20" ht="13.5" thickBot="1" x14ac:dyDescent="0.25">
      <c r="A265" s="182"/>
      <c r="B265" s="182"/>
      <c r="C265" s="130"/>
      <c r="D265" s="145"/>
      <c r="E265" s="145"/>
      <c r="F265" s="145"/>
      <c r="G265" s="145"/>
      <c r="H265" s="145"/>
      <c r="I265" s="145"/>
      <c r="J265" s="145"/>
      <c r="K265" s="127"/>
      <c r="L265" s="182"/>
      <c r="M265" s="182"/>
      <c r="N265" s="130"/>
      <c r="O265" s="145"/>
      <c r="P265" s="130"/>
      <c r="Q265" s="145"/>
      <c r="R265" s="130"/>
      <c r="S265" s="145"/>
      <c r="T265" s="143"/>
    </row>
    <row r="266" spans="1:20" ht="19.5" customHeight="1" thickTop="1" thickBot="1" x14ac:dyDescent="0.25">
      <c r="A266" s="494"/>
      <c r="B266" s="384" t="s">
        <v>1124</v>
      </c>
      <c r="C266" s="130"/>
      <c r="D266" s="196">
        <f>D264</f>
        <v>31922746.569999993</v>
      </c>
      <c r="E266" s="196">
        <f>E264</f>
        <v>15738406</v>
      </c>
      <c r="F266" s="798">
        <f>IF($D266=0,0,(E266/$D266)*100)</f>
        <v>49.30154103591596</v>
      </c>
      <c r="G266" s="196">
        <f>G264</f>
        <v>15738406</v>
      </c>
      <c r="H266" s="798">
        <f>IF($D266=0,0,(G266/$D266)*100)</f>
        <v>49.30154103591596</v>
      </c>
      <c r="I266" s="196">
        <f>I264</f>
        <v>0</v>
      </c>
      <c r="J266" s="799">
        <f>IF(G266=0,0,(E266/G266)*100)</f>
        <v>100</v>
      </c>
      <c r="K266" s="127"/>
      <c r="L266" s="494"/>
      <c r="M266" s="384" t="s">
        <v>1124</v>
      </c>
      <c r="N266" s="130"/>
      <c r="O266" s="196">
        <f>O264</f>
        <v>15738406.390000002</v>
      </c>
      <c r="P266" s="130"/>
      <c r="Q266" s="196">
        <f>Q264</f>
        <v>0</v>
      </c>
      <c r="R266" s="130"/>
      <c r="S266" s="196">
        <f>S264</f>
        <v>15738406.390000002</v>
      </c>
      <c r="T266" s="143"/>
    </row>
    <row r="267" spans="1:20" ht="13.5" thickTop="1" x14ac:dyDescent="0.2">
      <c r="A267" s="208"/>
      <c r="B267" s="387"/>
      <c r="C267" s="130"/>
      <c r="D267" s="145"/>
      <c r="E267" s="145"/>
      <c r="F267" s="148"/>
      <c r="G267" s="145"/>
      <c r="H267" s="148"/>
      <c r="I267" s="145"/>
      <c r="J267" s="162"/>
      <c r="K267" s="127"/>
      <c r="L267" s="208"/>
      <c r="M267" s="387"/>
      <c r="N267" s="130"/>
      <c r="O267" s="145"/>
      <c r="P267" s="130"/>
      <c r="Q267" s="145"/>
      <c r="R267" s="130"/>
      <c r="S267" s="145"/>
      <c r="T267" s="143"/>
    </row>
    <row r="268" spans="1:20" ht="13.5" thickBot="1" x14ac:dyDescent="0.25">
      <c r="A268" s="187"/>
      <c r="B268" s="807"/>
      <c r="C268" s="130"/>
      <c r="D268" s="204"/>
      <c r="E268" s="204"/>
      <c r="F268" s="189"/>
      <c r="G268" s="204"/>
      <c r="H268" s="189"/>
      <c r="I268" s="204"/>
      <c r="J268" s="190"/>
      <c r="K268" s="127"/>
      <c r="L268" s="187"/>
      <c r="M268" s="807"/>
      <c r="N268" s="130"/>
      <c r="O268" s="204"/>
      <c r="P268" s="130"/>
      <c r="Q268" s="204"/>
      <c r="R268" s="130"/>
      <c r="S268" s="204"/>
      <c r="T268" s="143"/>
    </row>
    <row r="269" spans="1:20" ht="19.5" customHeight="1" thickTop="1" thickBot="1" x14ac:dyDescent="0.25">
      <c r="A269" s="808"/>
      <c r="B269" s="802" t="s">
        <v>67</v>
      </c>
      <c r="C269" s="130"/>
      <c r="D269" s="192">
        <f>SUM(D97,D258,D266)</f>
        <v>5277215397.7999992</v>
      </c>
      <c r="E269" s="192">
        <f>SUM(E97,E258,E266)</f>
        <v>1582087285</v>
      </c>
      <c r="F269" s="803">
        <f>IF($D269=0,0,(E269/$D269)*100)</f>
        <v>29.979585174020961</v>
      </c>
      <c r="G269" s="192">
        <f>SUM(G97,G258,G266)</f>
        <v>2057714157</v>
      </c>
      <c r="H269" s="803">
        <f>IF($D269=0,0,(G269/$D269)*100)</f>
        <v>38.992423122577748</v>
      </c>
      <c r="I269" s="192">
        <f>SUM(I97,I258,I266)</f>
        <v>-475626872</v>
      </c>
      <c r="J269" s="804">
        <f>IF(G269=0,0,(E269/G269)*100)</f>
        <v>76.885668479171571</v>
      </c>
      <c r="K269" s="127"/>
      <c r="L269" s="808"/>
      <c r="M269" s="802" t="s">
        <v>67</v>
      </c>
      <c r="N269" s="130"/>
      <c r="O269" s="192">
        <f>SUM(O97,O258,O266)</f>
        <v>1582087283.8300002</v>
      </c>
      <c r="P269" s="130"/>
      <c r="Q269" s="192">
        <f>SUM(Q97,Q258)</f>
        <v>0</v>
      </c>
      <c r="R269" s="130"/>
      <c r="S269" s="192">
        <f>SUM(S97,S258,S266)</f>
        <v>1582087283.8300002</v>
      </c>
      <c r="T269" s="143"/>
    </row>
    <row r="270" spans="1:20" ht="13.5" thickTop="1" x14ac:dyDescent="0.2">
      <c r="A270" s="127"/>
      <c r="B270" s="127"/>
      <c r="C270" s="127"/>
      <c r="D270" s="143"/>
      <c r="E270" s="143"/>
      <c r="F270" s="143"/>
      <c r="G270" s="143"/>
      <c r="H270" s="143"/>
      <c r="I270" s="143"/>
      <c r="J270" s="143"/>
      <c r="K270" s="127"/>
      <c r="L270" s="127"/>
      <c r="M270" s="127"/>
      <c r="N270" s="127"/>
      <c r="O270" s="143"/>
      <c r="P270" s="143"/>
      <c r="Q270" s="143"/>
      <c r="R270" s="143"/>
      <c r="S270" s="143"/>
      <c r="T270" s="143"/>
    </row>
    <row r="271" spans="1:20" x14ac:dyDescent="0.2">
      <c r="A271" s="130"/>
      <c r="B271" s="361" t="s">
        <v>1125</v>
      </c>
      <c r="C271" s="130"/>
      <c r="D271" s="145">
        <f>'2019 B-7'!AI18+'2019 B-7'!P462+'2019 B-7'!P463</f>
        <v>5277215390.9399996</v>
      </c>
      <c r="E271" s="145">
        <f>$S271</f>
        <v>1582087288.8</v>
      </c>
      <c r="F271" s="212"/>
      <c r="G271" s="145"/>
      <c r="H271" s="212"/>
      <c r="I271" s="145">
        <f>SUM(G269,I269)-E269</f>
        <v>0</v>
      </c>
      <c r="J271" s="212"/>
      <c r="K271" s="127"/>
      <c r="L271" s="130"/>
      <c r="M271" s="361" t="s">
        <v>1125</v>
      </c>
      <c r="N271" s="130"/>
      <c r="O271" s="145">
        <f>'2019 B-9'!AM18+'2019 B-9'!R462+'2019 B-9'!R463</f>
        <v>1582087288.8</v>
      </c>
      <c r="P271" s="145"/>
      <c r="Q271" s="145">
        <v>0</v>
      </c>
      <c r="R271" s="211"/>
      <c r="S271" s="145">
        <f>$O271+$Q271</f>
        <v>1582087288.8</v>
      </c>
      <c r="T271" s="143"/>
    </row>
    <row r="272" spans="1:20" x14ac:dyDescent="0.2">
      <c r="A272" s="143"/>
      <c r="B272" s="810" t="s">
        <v>69</v>
      </c>
      <c r="C272" s="130"/>
      <c r="D272" s="145">
        <f>D271-D269</f>
        <v>-6.8599996566772461</v>
      </c>
      <c r="E272" s="145">
        <f>E271-E269</f>
        <v>3.7999999523162842</v>
      </c>
      <c r="F272" s="143"/>
      <c r="G272" s="145"/>
      <c r="H272" s="143"/>
      <c r="I272" s="214"/>
      <c r="J272" s="143"/>
      <c r="K272" s="127"/>
      <c r="L272" s="143"/>
      <c r="M272" s="810" t="s">
        <v>69</v>
      </c>
      <c r="N272" s="130"/>
      <c r="O272" s="145">
        <f>O271-O269</f>
        <v>4.9699997901916504</v>
      </c>
      <c r="P272" s="145"/>
      <c r="Q272" s="145">
        <f>Q271-Q269</f>
        <v>0</v>
      </c>
      <c r="R272" s="211"/>
      <c r="S272" s="145">
        <f>S271-S269</f>
        <v>4.9699997901916504</v>
      </c>
      <c r="T272" s="143"/>
    </row>
    <row r="273" spans="1:20" x14ac:dyDescent="0.2">
      <c r="A273" s="127"/>
      <c r="B273" s="127"/>
      <c r="C273" s="127"/>
      <c r="D273" s="143"/>
      <c r="E273" s="143"/>
      <c r="F273" s="143"/>
      <c r="G273" s="143"/>
      <c r="H273" s="143"/>
      <c r="I273" s="143"/>
      <c r="J273" s="143"/>
      <c r="K273" s="127"/>
      <c r="L273" s="127"/>
      <c r="M273" s="127"/>
      <c r="N273" s="127"/>
      <c r="O273" s="143"/>
      <c r="P273" s="143"/>
      <c r="Q273" s="143"/>
      <c r="R273" s="143"/>
      <c r="S273" s="143"/>
      <c r="T273" s="143"/>
    </row>
    <row r="274" spans="1:20" x14ac:dyDescent="0.2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</row>
    <row r="275" spans="1:20" x14ac:dyDescent="0.2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</row>
    <row r="276" spans="1:20" x14ac:dyDescent="0.2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</row>
    <row r="277" spans="1:20" x14ac:dyDescent="0.2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3"/>
      <c r="S277" s="223"/>
      <c r="T277" s="223"/>
    </row>
    <row r="278" spans="1:20" x14ac:dyDescent="0.2">
      <c r="A278" s="223"/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</row>
    <row r="279" spans="1:20" x14ac:dyDescent="0.2">
      <c r="A279" s="223"/>
      <c r="B279" s="223"/>
      <c r="C279" s="223"/>
      <c r="D279" s="223"/>
      <c r="E279" s="223"/>
      <c r="F279" s="223"/>
      <c r="G279" s="223"/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223"/>
      <c r="S279" s="223"/>
      <c r="T279" s="223"/>
    </row>
    <row r="280" spans="1:20" x14ac:dyDescent="0.2">
      <c r="A280" s="223"/>
      <c r="B280" s="223"/>
      <c r="C280" s="223"/>
      <c r="D280" s="223"/>
      <c r="E280" s="223"/>
      <c r="F280" s="223"/>
      <c r="G280" s="223"/>
      <c r="H280" s="223"/>
      <c r="I280" s="223"/>
      <c r="J280" s="223"/>
      <c r="K280" s="223"/>
      <c r="L280" s="223"/>
      <c r="M280" s="223"/>
      <c r="N280" s="223"/>
      <c r="O280" s="223"/>
      <c r="P280" s="223"/>
      <c r="Q280" s="223"/>
      <c r="R280" s="223"/>
      <c r="S280" s="223"/>
      <c r="T280" s="223"/>
    </row>
  </sheetData>
  <printOptions horizontalCentered="1"/>
  <pageMargins left="0.5" right="0.5" top="0.5" bottom="0.5" header="0.3" footer="0.3"/>
  <pageSetup scale="59" fitToHeight="4" orientation="portrait" blackAndWhite="1" r:id="rId1"/>
  <rowBreaks count="6" manualBreakCount="6">
    <brk id="82" max="9" man="1"/>
    <brk id="82" min="11" max="18" man="1"/>
    <brk id="147" max="9" man="1"/>
    <brk id="147" min="11" max="18" man="1"/>
    <brk id="216" max="9" man="1"/>
    <brk id="216" min="11" max="18" man="1"/>
  </rowBreaks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</sheetPr>
  <dimension ref="A1:M375"/>
  <sheetViews>
    <sheetView view="pageBreakPreview" zoomScaleNormal="100" zoomScaleSheetLayoutView="100" workbookViewId="0">
      <pane xSplit="2" ySplit="12" topLeftCell="E254" activePane="bottomRight" state="frozen"/>
      <selection activeCell="F20" sqref="F20"/>
      <selection pane="topRight" activeCell="F20" sqref="F20"/>
      <selection pane="bottomLeft" activeCell="F20" sqref="F20"/>
      <selection pane="bottomRight" activeCell="J275" sqref="J275"/>
    </sheetView>
  </sheetViews>
  <sheetFormatPr defaultRowHeight="12.75" x14ac:dyDescent="0.2"/>
  <cols>
    <col min="1" max="1" width="9.85546875" style="67" customWidth="1"/>
    <col min="2" max="2" width="26.85546875" style="63" customWidth="1"/>
    <col min="3" max="3" width="2.42578125" style="63" customWidth="1"/>
    <col min="4" max="4" width="14.7109375" style="63" bestFit="1" customWidth="1"/>
    <col min="5" max="5" width="14.7109375" style="65" bestFit="1" customWidth="1"/>
    <col min="6" max="6" width="2.42578125" style="63" customWidth="1"/>
    <col min="7" max="7" width="6.85546875" style="63" bestFit="1" customWidth="1"/>
    <col min="8" max="8" width="13" style="63" bestFit="1" customWidth="1"/>
    <col min="9" max="9" width="2.42578125" style="63" customWidth="1"/>
    <col min="10" max="10" width="10.140625" style="63" customWidth="1"/>
    <col min="11" max="11" width="13" style="63" bestFit="1" customWidth="1"/>
    <col min="12" max="12" width="14.28515625" style="63" customWidth="1"/>
    <col min="13" max="13" width="3.5703125" style="63" customWidth="1"/>
    <col min="14" max="16384" width="9.140625" style="76"/>
  </cols>
  <sheetData>
    <row r="1" spans="1:13" ht="15.75" x14ac:dyDescent="0.2">
      <c r="A1" s="219" t="s">
        <v>0</v>
      </c>
      <c r="B1" s="784"/>
      <c r="C1" s="220"/>
      <c r="D1" s="784"/>
      <c r="E1" s="811"/>
      <c r="F1" s="220"/>
      <c r="G1" s="784"/>
      <c r="H1" s="812"/>
      <c r="I1" s="220"/>
      <c r="J1" s="812"/>
      <c r="K1" s="812"/>
      <c r="L1" s="812"/>
      <c r="M1" s="785"/>
    </row>
    <row r="2" spans="1:13" ht="15.75" x14ac:dyDescent="0.2">
      <c r="A2" s="217" t="str">
        <f>'Plant &amp; Reserve'!$A$2</f>
        <v>2019 Annual Depreciation Analysis -  Rate Review</v>
      </c>
      <c r="B2" s="813"/>
      <c r="C2" s="221"/>
      <c r="D2" s="813"/>
      <c r="E2" s="811"/>
      <c r="F2" s="221"/>
      <c r="G2" s="813"/>
      <c r="H2" s="813"/>
      <c r="I2" s="221"/>
      <c r="J2" s="813"/>
      <c r="K2" s="813"/>
      <c r="L2" s="813"/>
      <c r="M2" s="785"/>
    </row>
    <row r="3" spans="1:13" ht="15.75" x14ac:dyDescent="0.2">
      <c r="A3" s="219" t="s">
        <v>1158</v>
      </c>
      <c r="B3" s="813"/>
      <c r="C3" s="221"/>
      <c r="D3" s="813"/>
      <c r="E3" s="811"/>
      <c r="F3" s="221"/>
      <c r="G3" s="813"/>
      <c r="H3" s="813"/>
      <c r="I3" s="221"/>
      <c r="J3" s="813"/>
      <c r="K3" s="813"/>
      <c r="L3" s="813"/>
      <c r="M3" s="785"/>
    </row>
    <row r="4" spans="1:13" ht="15.75" x14ac:dyDescent="0.2">
      <c r="A4" s="219" t="s">
        <v>1161</v>
      </c>
      <c r="B4" s="813"/>
      <c r="C4" s="221"/>
      <c r="D4" s="813"/>
      <c r="E4" s="811"/>
      <c r="F4" s="221"/>
      <c r="G4" s="813"/>
      <c r="H4" s="813"/>
      <c r="I4" s="221"/>
      <c r="J4" s="813"/>
      <c r="K4" s="813"/>
      <c r="L4" s="813"/>
      <c r="M4" s="785"/>
    </row>
    <row r="5" spans="1:13" x14ac:dyDescent="0.2">
      <c r="A5" s="814"/>
      <c r="B5" s="490"/>
      <c r="C5" s="490"/>
      <c r="D5" s="789"/>
      <c r="E5" s="815"/>
      <c r="F5" s="490"/>
      <c r="G5" s="490"/>
      <c r="H5" s="789"/>
      <c r="I5" s="490"/>
      <c r="J5" s="490"/>
      <c r="K5" s="490"/>
      <c r="L5" s="490"/>
      <c r="M5" s="816"/>
    </row>
    <row r="6" spans="1:13" ht="13.5" thickBot="1" x14ac:dyDescent="0.25">
      <c r="A6" s="814"/>
      <c r="B6" s="128"/>
      <c r="C6" s="128"/>
      <c r="D6" s="776" t="s">
        <v>1150</v>
      </c>
      <c r="E6" s="776"/>
      <c r="F6" s="776"/>
      <c r="G6" s="776"/>
      <c r="H6" s="776"/>
      <c r="I6" s="817"/>
      <c r="J6" s="496" t="str">
        <f>'Proposed Rates'!$N6</f>
        <v>Analysis of Rates - As of 12/31/2019</v>
      </c>
      <c r="K6" s="818"/>
      <c r="L6" s="818"/>
      <c r="M6" s="816"/>
    </row>
    <row r="7" spans="1:13" x14ac:dyDescent="0.2">
      <c r="A7" s="814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816"/>
    </row>
    <row r="8" spans="1:13" x14ac:dyDescent="0.2">
      <c r="A8" s="814"/>
      <c r="B8" s="128"/>
      <c r="C8" s="128"/>
      <c r="D8" s="789"/>
      <c r="E8" s="815"/>
      <c r="F8" s="128"/>
      <c r="G8" s="490"/>
      <c r="H8" s="128"/>
      <c r="I8" s="128"/>
      <c r="J8" s="819"/>
      <c r="K8" s="819"/>
      <c r="L8" s="819"/>
      <c r="M8" s="816"/>
    </row>
    <row r="9" spans="1:13" x14ac:dyDescent="0.2">
      <c r="A9" s="814"/>
      <c r="B9" s="128"/>
      <c r="C9" s="128"/>
      <c r="D9" s="789"/>
      <c r="E9" s="777" t="s">
        <v>122</v>
      </c>
      <c r="F9" s="128"/>
      <c r="G9" s="490"/>
      <c r="H9" s="820" t="s">
        <v>38</v>
      </c>
      <c r="I9" s="128"/>
      <c r="J9" s="819"/>
      <c r="K9" s="819"/>
      <c r="L9" s="819"/>
      <c r="M9" s="816"/>
    </row>
    <row r="10" spans="1:13" x14ac:dyDescent="0.2">
      <c r="A10" s="814"/>
      <c r="B10" s="128"/>
      <c r="C10" s="128"/>
      <c r="D10" s="128" t="s">
        <v>40</v>
      </c>
      <c r="E10" s="790" t="s">
        <v>41</v>
      </c>
      <c r="F10" s="128"/>
      <c r="G10" s="132" t="s">
        <v>39</v>
      </c>
      <c r="H10" s="820" t="s">
        <v>42</v>
      </c>
      <c r="I10" s="128"/>
      <c r="J10" s="132" t="s">
        <v>39</v>
      </c>
      <c r="K10" s="778" t="s">
        <v>49</v>
      </c>
      <c r="L10" s="820" t="s">
        <v>43</v>
      </c>
      <c r="M10" s="816"/>
    </row>
    <row r="11" spans="1:13" x14ac:dyDescent="0.2">
      <c r="A11" s="128" t="s">
        <v>44</v>
      </c>
      <c r="B11" s="128"/>
      <c r="C11" s="128"/>
      <c r="D11" s="128" t="s">
        <v>92</v>
      </c>
      <c r="E11" s="821" t="s">
        <v>9</v>
      </c>
      <c r="F11" s="128"/>
      <c r="G11" s="132" t="s">
        <v>47</v>
      </c>
      <c r="H11" s="820" t="s">
        <v>40</v>
      </c>
      <c r="I11" s="128"/>
      <c r="J11" s="132" t="s">
        <v>47</v>
      </c>
      <c r="K11" s="778" t="s">
        <v>6</v>
      </c>
      <c r="L11" s="820" t="s">
        <v>49</v>
      </c>
      <c r="M11" s="816"/>
    </row>
    <row r="12" spans="1:13" ht="13.5" thickBot="1" x14ac:dyDescent="0.25">
      <c r="A12" s="529" t="s">
        <v>52</v>
      </c>
      <c r="B12" s="529" t="s">
        <v>53</v>
      </c>
      <c r="C12" s="128"/>
      <c r="D12" s="534">
        <f>'Change in Plant &amp; Reserve'!$G12</f>
        <v>43830</v>
      </c>
      <c r="E12" s="534">
        <f>'Change in Plant &amp; Reserve'!$G12</f>
        <v>43830</v>
      </c>
      <c r="F12" s="128"/>
      <c r="G12" s="793" t="s">
        <v>24</v>
      </c>
      <c r="H12" s="529" t="s">
        <v>48</v>
      </c>
      <c r="I12" s="128"/>
      <c r="J12" s="793" t="s">
        <v>24</v>
      </c>
      <c r="K12" s="822" t="s">
        <v>38</v>
      </c>
      <c r="L12" s="823" t="s">
        <v>55</v>
      </c>
      <c r="M12" s="816"/>
    </row>
    <row r="13" spans="1:13" ht="13.5" thickTop="1" x14ac:dyDescent="0.2">
      <c r="A13" s="128"/>
      <c r="B13" s="128"/>
      <c r="C13" s="128"/>
      <c r="D13" s="128" t="s">
        <v>16</v>
      </c>
      <c r="E13" s="821" t="s">
        <v>16</v>
      </c>
      <c r="F13" s="128"/>
      <c r="G13" s="128" t="s">
        <v>57</v>
      </c>
      <c r="H13" s="128" t="s">
        <v>16</v>
      </c>
      <c r="I13" s="128"/>
      <c r="J13" s="128" t="s">
        <v>57</v>
      </c>
      <c r="K13" s="778" t="s">
        <v>16</v>
      </c>
      <c r="L13" s="128" t="s">
        <v>16</v>
      </c>
      <c r="M13" s="816"/>
    </row>
    <row r="14" spans="1:13" x14ac:dyDescent="0.2">
      <c r="A14" s="130"/>
      <c r="B14" s="130"/>
      <c r="C14" s="130"/>
      <c r="D14" s="130"/>
      <c r="E14" s="141"/>
      <c r="F14" s="130"/>
      <c r="G14" s="130"/>
      <c r="H14" s="130"/>
      <c r="I14" s="130"/>
      <c r="J14" s="130"/>
      <c r="K14" s="142"/>
      <c r="L14" s="130"/>
      <c r="M14" s="127"/>
    </row>
    <row r="15" spans="1:13" x14ac:dyDescent="0.2">
      <c r="A15" s="130"/>
      <c r="B15" s="144" t="s">
        <v>58</v>
      </c>
      <c r="C15" s="130"/>
      <c r="D15" s="145"/>
      <c r="E15" s="145"/>
      <c r="F15" s="130"/>
      <c r="G15" s="138"/>
      <c r="H15" s="145"/>
      <c r="I15" s="145"/>
      <c r="J15" s="145"/>
      <c r="K15" s="145"/>
      <c r="L15" s="145"/>
      <c r="M15" s="146"/>
    </row>
    <row r="16" spans="1:13" x14ac:dyDescent="0.2">
      <c r="A16" s="130"/>
      <c r="B16" s="150"/>
      <c r="C16" s="130"/>
      <c r="D16" s="145"/>
      <c r="E16" s="145"/>
      <c r="F16" s="130"/>
      <c r="G16" s="138"/>
      <c r="H16" s="145"/>
      <c r="I16" s="130"/>
      <c r="J16" s="138"/>
      <c r="K16" s="145"/>
      <c r="L16" s="145"/>
      <c r="M16" s="146"/>
    </row>
    <row r="17" spans="1:13" x14ac:dyDescent="0.2">
      <c r="A17" s="130"/>
      <c r="B17" s="144" t="s">
        <v>59</v>
      </c>
      <c r="C17" s="130"/>
      <c r="D17" s="145"/>
      <c r="E17" s="145"/>
      <c r="F17" s="130"/>
      <c r="G17" s="138"/>
      <c r="H17" s="145"/>
      <c r="I17" s="130"/>
      <c r="J17" s="138"/>
      <c r="K17" s="145"/>
      <c r="L17" s="145"/>
      <c r="M17" s="146"/>
    </row>
    <row r="18" spans="1:13" x14ac:dyDescent="0.2">
      <c r="A18" s="130"/>
      <c r="B18" s="130"/>
      <c r="C18" s="130"/>
      <c r="D18" s="145"/>
      <c r="E18" s="145" t="s">
        <v>60</v>
      </c>
      <c r="F18" s="130"/>
      <c r="G18" s="138"/>
      <c r="H18" s="145"/>
      <c r="I18" s="130"/>
      <c r="J18" s="138"/>
      <c r="K18" s="145"/>
      <c r="L18" s="145"/>
      <c r="M18" s="146"/>
    </row>
    <row r="19" spans="1:13" x14ac:dyDescent="0.2">
      <c r="A19" s="140">
        <f>'Plant &amp; Reserve'!$A19</f>
        <v>31140</v>
      </c>
      <c r="B19" s="130" t="str">
        <f>'Plant &amp; Reserve'!$B19</f>
        <v>BB Common</v>
      </c>
      <c r="C19" s="130"/>
      <c r="D19" s="145">
        <f>'Plant &amp; Reserve'!$D19</f>
        <v>224241620</v>
      </c>
      <c r="E19" s="145">
        <f>'Plant &amp; Reserve'!$E19</f>
        <v>57749555</v>
      </c>
      <c r="F19" s="130"/>
      <c r="G19" s="138">
        <f>'Proposed Rates'!$I19</f>
        <v>2.9</v>
      </c>
      <c r="H19" s="145">
        <f>ROUND(($D19*G19)/100,0)</f>
        <v>6503007</v>
      </c>
      <c r="I19" s="130"/>
      <c r="J19" s="138">
        <f>'Proposed Rates'!$V19</f>
        <v>3.2</v>
      </c>
      <c r="K19" s="145">
        <f>ROUND(($D19*J19)/100,0)</f>
        <v>7175732</v>
      </c>
      <c r="L19" s="145">
        <f>K19-H19</f>
        <v>672725</v>
      </c>
      <c r="M19" s="161"/>
    </row>
    <row r="20" spans="1:13" x14ac:dyDescent="0.2">
      <c r="A20" s="140">
        <f>'Plant &amp; Reserve'!$A20</f>
        <v>31240</v>
      </c>
      <c r="B20" s="130" t="str">
        <f>'Plant &amp; Reserve'!$B20</f>
        <v>BB Common</v>
      </c>
      <c r="C20" s="130"/>
      <c r="D20" s="145">
        <f>'Plant &amp; Reserve'!$D20</f>
        <v>182427706</v>
      </c>
      <c r="E20" s="145">
        <f>'Plant &amp; Reserve'!$E20</f>
        <v>7802043</v>
      </c>
      <c r="F20" s="130"/>
      <c r="G20" s="138">
        <f>'Proposed Rates'!$I20</f>
        <v>3.4</v>
      </c>
      <c r="H20" s="145">
        <f>ROUND(($D20*G20)/100,0)</f>
        <v>6202542</v>
      </c>
      <c r="I20" s="130"/>
      <c r="J20" s="138">
        <f>'Proposed Rates'!$V20</f>
        <v>4.5999999999999996</v>
      </c>
      <c r="K20" s="145">
        <f t="shared" ref="K20:K23" si="0">ROUND(($D20*J20)/100,0)</f>
        <v>8391674</v>
      </c>
      <c r="L20" s="145">
        <f>K20-H20</f>
        <v>2189132</v>
      </c>
      <c r="M20" s="161"/>
    </row>
    <row r="21" spans="1:13" x14ac:dyDescent="0.2">
      <c r="A21" s="140">
        <f>'Plant &amp; Reserve'!$A21</f>
        <v>31440</v>
      </c>
      <c r="B21" s="130" t="str">
        <f>'Plant &amp; Reserve'!$B21</f>
        <v>BB Common</v>
      </c>
      <c r="C21" s="130"/>
      <c r="D21" s="145">
        <f>'Plant &amp; Reserve'!$D21</f>
        <v>8810869</v>
      </c>
      <c r="E21" s="145">
        <f>'Plant &amp; Reserve'!$E21</f>
        <v>2697279</v>
      </c>
      <c r="F21" s="130"/>
      <c r="G21" s="138">
        <f>'Proposed Rates'!$I21</f>
        <v>2.2999999999999998</v>
      </c>
      <c r="H21" s="145">
        <f>ROUND(($D21*G21)/100,0)</f>
        <v>202650</v>
      </c>
      <c r="I21" s="130"/>
      <c r="J21" s="138">
        <f>'Proposed Rates'!$V21</f>
        <v>3.1</v>
      </c>
      <c r="K21" s="145">
        <f t="shared" si="0"/>
        <v>273137</v>
      </c>
      <c r="L21" s="145">
        <f>K21-H21</f>
        <v>70487</v>
      </c>
      <c r="M21" s="161"/>
    </row>
    <row r="22" spans="1:13" x14ac:dyDescent="0.2">
      <c r="A22" s="140">
        <f>'Plant &amp; Reserve'!$A22</f>
        <v>31540</v>
      </c>
      <c r="B22" s="130" t="str">
        <f>'Plant &amp; Reserve'!$B22</f>
        <v>BB Common</v>
      </c>
      <c r="C22" s="130"/>
      <c r="D22" s="145">
        <f>'Plant &amp; Reserve'!$D22</f>
        <v>43317292</v>
      </c>
      <c r="E22" s="145">
        <f>'Plant &amp; Reserve'!$E22</f>
        <v>12249101</v>
      </c>
      <c r="F22" s="130"/>
      <c r="G22" s="138">
        <f>'Proposed Rates'!$I22</f>
        <v>3.7</v>
      </c>
      <c r="H22" s="145">
        <f>ROUND(($D22*G22)/100,0)</f>
        <v>1602740</v>
      </c>
      <c r="I22" s="130"/>
      <c r="J22" s="138">
        <f>'Proposed Rates'!$V22</f>
        <v>3.5</v>
      </c>
      <c r="K22" s="145">
        <f t="shared" si="0"/>
        <v>1516105</v>
      </c>
      <c r="L22" s="145">
        <f>K22-H22</f>
        <v>-86635</v>
      </c>
      <c r="M22" s="161"/>
    </row>
    <row r="23" spans="1:13" ht="15" x14ac:dyDescent="0.2">
      <c r="A23" s="140">
        <f>'Plant &amp; Reserve'!$A23</f>
        <v>31640</v>
      </c>
      <c r="B23" s="168" t="str">
        <f>'Plant &amp; Reserve'!$B23</f>
        <v>BB Common</v>
      </c>
      <c r="C23" s="130"/>
      <c r="D23" s="171">
        <f>'Plant &amp; Reserve'!$D23</f>
        <v>24865518</v>
      </c>
      <c r="E23" s="171">
        <f>'Plant &amp; Reserve'!$E23</f>
        <v>7544101</v>
      </c>
      <c r="F23" s="130"/>
      <c r="G23" s="170">
        <f>'Proposed Rates'!$I23</f>
        <v>4.2</v>
      </c>
      <c r="H23" s="172">
        <f>ROUND(($D23*G23)/100,0)</f>
        <v>1044352</v>
      </c>
      <c r="I23" s="130"/>
      <c r="J23" s="170">
        <f>'Proposed Rates'!$V23</f>
        <v>3.3</v>
      </c>
      <c r="K23" s="171">
        <f t="shared" si="0"/>
        <v>820562</v>
      </c>
      <c r="L23" s="171">
        <f>K23-H23</f>
        <v>-223790</v>
      </c>
      <c r="M23" s="161"/>
    </row>
    <row r="24" spans="1:13" x14ac:dyDescent="0.2">
      <c r="A24" s="134"/>
      <c r="B24" s="128" t="s">
        <v>75</v>
      </c>
      <c r="C24" s="130"/>
      <c r="D24" s="173">
        <f>SUM(D19:D23)</f>
        <v>483663005</v>
      </c>
      <c r="E24" s="173">
        <f>SUM(E19:E23)</f>
        <v>88042079</v>
      </c>
      <c r="F24" s="130"/>
      <c r="G24" s="177">
        <f>'Proposed Rates'!$I24</f>
        <v>3</v>
      </c>
      <c r="H24" s="173">
        <f>SUM(H19:H23)</f>
        <v>15555291</v>
      </c>
      <c r="I24" s="130"/>
      <c r="J24" s="177">
        <f>'Proposed Rates'!$V24</f>
        <v>3.7</v>
      </c>
      <c r="K24" s="173">
        <f>SUM(K19:K23)</f>
        <v>18177210</v>
      </c>
      <c r="L24" s="173">
        <f>SUM(L19:L23)</f>
        <v>2621919</v>
      </c>
      <c r="M24" s="161"/>
    </row>
    <row r="25" spans="1:13" x14ac:dyDescent="0.2">
      <c r="A25" s="140"/>
      <c r="B25" s="130"/>
      <c r="C25" s="130"/>
      <c r="D25" s="145"/>
      <c r="E25" s="145"/>
      <c r="F25" s="130"/>
      <c r="G25" s="138"/>
      <c r="H25" s="155"/>
      <c r="I25" s="130"/>
      <c r="J25" s="824"/>
      <c r="K25" s="145"/>
      <c r="L25" s="145"/>
      <c r="M25" s="146"/>
    </row>
    <row r="26" spans="1:13" x14ac:dyDescent="0.2">
      <c r="A26" s="140">
        <f>'Plant &amp; Reserve'!$A26</f>
        <v>31141</v>
      </c>
      <c r="B26" s="130" t="str">
        <f>'Plant &amp; Reserve'!$B26</f>
        <v>BB Unit  No. 1</v>
      </c>
      <c r="C26" s="130"/>
      <c r="D26" s="145">
        <f>'Plant &amp; Reserve'!$D26</f>
        <v>7287126</v>
      </c>
      <c r="E26" s="145">
        <f>'Plant &amp; Reserve'!$E26</f>
        <v>4372602</v>
      </c>
      <c r="F26" s="130"/>
      <c r="G26" s="138">
        <f>'Proposed Rates'!$I26</f>
        <v>2</v>
      </c>
      <c r="H26" s="145">
        <f>ROUND(($D26*G26)/100,0)</f>
        <v>145743</v>
      </c>
      <c r="I26" s="130"/>
      <c r="J26" s="138">
        <f>'Proposed Rates'!$V26</f>
        <v>2.8</v>
      </c>
      <c r="K26" s="145">
        <f>ROUND(($D26*J26)/100,0)</f>
        <v>204040</v>
      </c>
      <c r="L26" s="145">
        <f>K26-H26</f>
        <v>58297</v>
      </c>
      <c r="M26" s="161"/>
    </row>
    <row r="27" spans="1:13" x14ac:dyDescent="0.2">
      <c r="A27" s="140">
        <f>'Plant &amp; Reserve'!$A27</f>
        <v>31241</v>
      </c>
      <c r="B27" s="130" t="str">
        <f>'Plant &amp; Reserve'!$B27</f>
        <v>BB Unit  No. 1</v>
      </c>
      <c r="C27" s="130"/>
      <c r="D27" s="145">
        <f>'Plant &amp; Reserve'!$D27</f>
        <v>103010917</v>
      </c>
      <c r="E27" s="145">
        <f>'Plant &amp; Reserve'!$E27</f>
        <v>32899782</v>
      </c>
      <c r="F27" s="130"/>
      <c r="G27" s="138">
        <f>'Proposed Rates'!$I27</f>
        <v>4</v>
      </c>
      <c r="H27" s="145">
        <f>ROUND(($D27*G27)/100,0)</f>
        <v>4120437</v>
      </c>
      <c r="I27" s="130"/>
      <c r="J27" s="138">
        <f>'Proposed Rates'!$V27</f>
        <v>5.2</v>
      </c>
      <c r="K27" s="145">
        <f t="shared" ref="K27:K30" si="1">ROUND(($D27*J27)/100,0)</f>
        <v>5356568</v>
      </c>
      <c r="L27" s="145">
        <f>K27-H27</f>
        <v>1236131</v>
      </c>
      <c r="M27" s="161"/>
    </row>
    <row r="28" spans="1:13" x14ac:dyDescent="0.2">
      <c r="A28" s="140">
        <f>'Plant &amp; Reserve'!$A28</f>
        <v>31441</v>
      </c>
      <c r="B28" s="130" t="str">
        <f>'Plant &amp; Reserve'!$B28</f>
        <v>BB Unit  No. 1</v>
      </c>
      <c r="C28" s="130"/>
      <c r="D28" s="145">
        <f>'Plant &amp; Reserve'!$D28</f>
        <v>50483741</v>
      </c>
      <c r="E28" s="145">
        <f>'Plant &amp; Reserve'!$E28</f>
        <v>14981107</v>
      </c>
      <c r="F28" s="130"/>
      <c r="G28" s="138">
        <f>'Proposed Rates'!$I28</f>
        <v>3.5</v>
      </c>
      <c r="H28" s="145">
        <f t="shared" ref="H28:H30" si="2">ROUND(($D28*G28)/100,0)</f>
        <v>1766931</v>
      </c>
      <c r="I28" s="130"/>
      <c r="J28" s="138">
        <f>'Proposed Rates'!$V28</f>
        <v>5.8</v>
      </c>
      <c r="K28" s="145">
        <f t="shared" si="1"/>
        <v>2928057</v>
      </c>
      <c r="L28" s="145">
        <f>K28-H28</f>
        <v>1161126</v>
      </c>
      <c r="M28" s="161"/>
    </row>
    <row r="29" spans="1:13" x14ac:dyDescent="0.2">
      <c r="A29" s="140">
        <f>'Plant &amp; Reserve'!$A29</f>
        <v>31541</v>
      </c>
      <c r="B29" s="130" t="str">
        <f>'Plant &amp; Reserve'!$B29</f>
        <v>BB Unit  No. 1</v>
      </c>
      <c r="C29" s="130"/>
      <c r="D29" s="145">
        <f>'Plant &amp; Reserve'!$D29</f>
        <v>17018634</v>
      </c>
      <c r="E29" s="145">
        <f>'Plant &amp; Reserve'!$E29</f>
        <v>7874214</v>
      </c>
      <c r="F29" s="130"/>
      <c r="G29" s="138">
        <f>'Proposed Rates'!$I29</f>
        <v>3.5</v>
      </c>
      <c r="H29" s="145">
        <f t="shared" si="2"/>
        <v>595652</v>
      </c>
      <c r="I29" s="130"/>
      <c r="J29" s="138">
        <f>'Proposed Rates'!$V29</f>
        <v>4.4000000000000004</v>
      </c>
      <c r="K29" s="145">
        <f t="shared" si="1"/>
        <v>748820</v>
      </c>
      <c r="L29" s="145">
        <f>K29-H29</f>
        <v>153168</v>
      </c>
      <c r="M29" s="161"/>
    </row>
    <row r="30" spans="1:13" ht="15" x14ac:dyDescent="0.2">
      <c r="A30" s="140">
        <f>'Plant &amp; Reserve'!$A30</f>
        <v>31641</v>
      </c>
      <c r="B30" s="168" t="str">
        <f>'Plant &amp; Reserve'!$B30</f>
        <v>BB Unit  No. 1</v>
      </c>
      <c r="C30" s="130"/>
      <c r="D30" s="171">
        <f>'Plant &amp; Reserve'!$D30</f>
        <v>969784</v>
      </c>
      <c r="E30" s="171">
        <f>'Plant &amp; Reserve'!$E30</f>
        <v>505230</v>
      </c>
      <c r="F30" s="130"/>
      <c r="G30" s="170">
        <f>'Proposed Rates'!$I30</f>
        <v>2.9</v>
      </c>
      <c r="H30" s="172">
        <f t="shared" si="2"/>
        <v>28124</v>
      </c>
      <c r="I30" s="130"/>
      <c r="J30" s="170">
        <f>'Proposed Rates'!$V30</f>
        <v>3.6</v>
      </c>
      <c r="K30" s="171">
        <f t="shared" si="1"/>
        <v>34912</v>
      </c>
      <c r="L30" s="171">
        <f>K30-H30</f>
        <v>6788</v>
      </c>
      <c r="M30" s="161"/>
    </row>
    <row r="31" spans="1:13" x14ac:dyDescent="0.2">
      <c r="A31" s="134"/>
      <c r="B31" s="128" t="s">
        <v>75</v>
      </c>
      <c r="C31" s="130"/>
      <c r="D31" s="173">
        <f>SUM(D26:D30)</f>
        <v>178770202</v>
      </c>
      <c r="E31" s="173">
        <f>SUM(E26:E30)</f>
        <v>60632935</v>
      </c>
      <c r="F31" s="130"/>
      <c r="G31" s="177">
        <f>'Proposed Rates'!$I31</f>
        <v>3.7</v>
      </c>
      <c r="H31" s="173">
        <f>SUM(H26:H30)</f>
        <v>6656887</v>
      </c>
      <c r="I31" s="130"/>
      <c r="J31" s="177">
        <f>'Proposed Rates'!$V31</f>
        <v>5.2</v>
      </c>
      <c r="K31" s="173">
        <f>SUM(K26:K30)</f>
        <v>9272397</v>
      </c>
      <c r="L31" s="173">
        <f>SUM(L26:L30)</f>
        <v>2615510</v>
      </c>
      <c r="M31" s="161"/>
    </row>
    <row r="32" spans="1:13" x14ac:dyDescent="0.2">
      <c r="A32" s="140"/>
      <c r="B32" s="130"/>
      <c r="C32" s="130"/>
      <c r="D32" s="145"/>
      <c r="E32" s="145"/>
      <c r="F32" s="130"/>
      <c r="G32" s="138" t="s">
        <v>60</v>
      </c>
      <c r="H32" s="825"/>
      <c r="I32" s="130"/>
      <c r="J32" s="825"/>
      <c r="K32" s="825"/>
      <c r="L32" s="145"/>
      <c r="M32" s="146"/>
    </row>
    <row r="33" spans="1:13" x14ac:dyDescent="0.2">
      <c r="A33" s="140">
        <f>'Plant &amp; Reserve'!$A33</f>
        <v>31142</v>
      </c>
      <c r="B33" s="130" t="str">
        <f>'Plant &amp; Reserve'!$B33</f>
        <v>BB Unit  No. 2</v>
      </c>
      <c r="C33" s="130"/>
      <c r="D33" s="145">
        <f>'Plant &amp; Reserve'!$D33</f>
        <v>7047810</v>
      </c>
      <c r="E33" s="145">
        <f>'Plant &amp; Reserve'!$E33</f>
        <v>3899544</v>
      </c>
      <c r="F33" s="130"/>
      <c r="G33" s="138">
        <f>'Proposed Rates'!$I33</f>
        <v>2</v>
      </c>
      <c r="H33" s="145">
        <f>ROUND(($D33*G33)/100,0)</f>
        <v>140956</v>
      </c>
      <c r="I33" s="130"/>
      <c r="J33" s="138">
        <f>'Proposed Rates'!$V33</f>
        <v>2.6</v>
      </c>
      <c r="K33" s="145">
        <f>ROUND(($D33*J33)/100,0)</f>
        <v>183243</v>
      </c>
      <c r="L33" s="145">
        <f>K33-H33</f>
        <v>42287</v>
      </c>
      <c r="M33" s="161"/>
    </row>
    <row r="34" spans="1:13" x14ac:dyDescent="0.2">
      <c r="A34" s="140">
        <f>'Plant &amp; Reserve'!$A34</f>
        <v>31242</v>
      </c>
      <c r="B34" s="130" t="str">
        <f>'Plant &amp; Reserve'!$B34</f>
        <v>BB Unit  No. 2</v>
      </c>
      <c r="C34" s="130"/>
      <c r="D34" s="145">
        <f>'Plant &amp; Reserve'!$D34</f>
        <v>86094075</v>
      </c>
      <c r="E34" s="145">
        <f>'Plant &amp; Reserve'!$E34</f>
        <v>28513715</v>
      </c>
      <c r="F34" s="130"/>
      <c r="G34" s="138">
        <f>'Proposed Rates'!$I34</f>
        <v>3.7</v>
      </c>
      <c r="H34" s="145">
        <f t="shared" ref="H34:H37" si="3">ROUND(($D34*G34)/100,0)</f>
        <v>3185481</v>
      </c>
      <c r="I34" s="130"/>
      <c r="J34" s="138">
        <f>'Proposed Rates'!$V34</f>
        <v>4.3</v>
      </c>
      <c r="K34" s="145">
        <f t="shared" ref="K34:K37" si="4">ROUND(($D34*J34)/100,0)</f>
        <v>3702045</v>
      </c>
      <c r="L34" s="145">
        <f>K34-H34</f>
        <v>516564</v>
      </c>
      <c r="M34" s="161"/>
    </row>
    <row r="35" spans="1:13" x14ac:dyDescent="0.2">
      <c r="A35" s="140">
        <f>'Plant &amp; Reserve'!$A35</f>
        <v>31442</v>
      </c>
      <c r="B35" s="130" t="str">
        <f>'Plant &amp; Reserve'!$B35</f>
        <v>BB Unit  No. 2</v>
      </c>
      <c r="C35" s="130"/>
      <c r="D35" s="145">
        <f>'Plant &amp; Reserve'!$D35</f>
        <v>50791176</v>
      </c>
      <c r="E35" s="145">
        <f>'Plant &amp; Reserve'!$E35</f>
        <v>23173471</v>
      </c>
      <c r="F35" s="130"/>
      <c r="G35" s="138">
        <f>'Proposed Rates'!$I35</f>
        <v>3.8</v>
      </c>
      <c r="H35" s="145">
        <f t="shared" si="3"/>
        <v>1930065</v>
      </c>
      <c r="I35" s="130"/>
      <c r="J35" s="138">
        <f>'Proposed Rates'!$V35</f>
        <v>4.0999999999999996</v>
      </c>
      <c r="K35" s="145">
        <f t="shared" si="4"/>
        <v>2082438</v>
      </c>
      <c r="L35" s="145">
        <f>K35-H35</f>
        <v>152373</v>
      </c>
      <c r="M35" s="161"/>
    </row>
    <row r="36" spans="1:13" x14ac:dyDescent="0.2">
      <c r="A36" s="140">
        <f>'Plant &amp; Reserve'!$A36</f>
        <v>31542</v>
      </c>
      <c r="B36" s="130" t="str">
        <f>'Plant &amp; Reserve'!$B36</f>
        <v>BB Unit  No. 2</v>
      </c>
      <c r="C36" s="130"/>
      <c r="D36" s="145">
        <f>'Plant &amp; Reserve'!$D36</f>
        <v>18870058</v>
      </c>
      <c r="E36" s="145">
        <f>'Plant &amp; Reserve'!$E36</f>
        <v>6995820</v>
      </c>
      <c r="F36" s="130"/>
      <c r="G36" s="138">
        <f>'Proposed Rates'!$I36</f>
        <v>3.3</v>
      </c>
      <c r="H36" s="145">
        <f t="shared" si="3"/>
        <v>622712</v>
      </c>
      <c r="I36" s="130"/>
      <c r="J36" s="138">
        <f>'Proposed Rates'!$V36</f>
        <v>5</v>
      </c>
      <c r="K36" s="145">
        <f t="shared" si="4"/>
        <v>943503</v>
      </c>
      <c r="L36" s="145">
        <f>K36-H36</f>
        <v>320791</v>
      </c>
      <c r="M36" s="161"/>
    </row>
    <row r="37" spans="1:13" ht="15" x14ac:dyDescent="0.2">
      <c r="A37" s="140">
        <f>'Plant &amp; Reserve'!$A37</f>
        <v>31642</v>
      </c>
      <c r="B37" s="168" t="str">
        <f>'Plant &amp; Reserve'!$B37</f>
        <v>BB Unit  No. 2</v>
      </c>
      <c r="C37" s="130"/>
      <c r="D37" s="171">
        <f>'Plant &amp; Reserve'!$D37</f>
        <v>546950</v>
      </c>
      <c r="E37" s="171">
        <f>'Plant &amp; Reserve'!$E37</f>
        <v>469004</v>
      </c>
      <c r="F37" s="130"/>
      <c r="G37" s="170">
        <f>'Proposed Rates'!$I37</f>
        <v>3</v>
      </c>
      <c r="H37" s="172">
        <f t="shared" si="3"/>
        <v>16409</v>
      </c>
      <c r="I37" s="130"/>
      <c r="J37" s="170">
        <f>'Proposed Rates'!$V37</f>
        <v>1.4</v>
      </c>
      <c r="K37" s="171">
        <f t="shared" si="4"/>
        <v>7657</v>
      </c>
      <c r="L37" s="171">
        <f>K37-H37</f>
        <v>-8752</v>
      </c>
      <c r="M37" s="161"/>
    </row>
    <row r="38" spans="1:13" x14ac:dyDescent="0.2">
      <c r="A38" s="134"/>
      <c r="B38" s="128" t="s">
        <v>75</v>
      </c>
      <c r="C38" s="130"/>
      <c r="D38" s="173">
        <f>SUM(D33:D37)</f>
        <v>163350069</v>
      </c>
      <c r="E38" s="173">
        <f>SUM(E33:E37)</f>
        <v>63051554</v>
      </c>
      <c r="F38" s="130"/>
      <c r="G38" s="177">
        <f>'Proposed Rates'!$I38</f>
        <v>3.5</v>
      </c>
      <c r="H38" s="173">
        <f>SUM(H33:H37)</f>
        <v>5895623</v>
      </c>
      <c r="I38" s="130"/>
      <c r="J38" s="177">
        <f>'Proposed Rates'!$V38</f>
        <v>4.2</v>
      </c>
      <c r="K38" s="173">
        <f>SUM(K33:K37)</f>
        <v>6918886</v>
      </c>
      <c r="L38" s="173">
        <f>SUM(L33:L37)</f>
        <v>1023263</v>
      </c>
      <c r="M38" s="161"/>
    </row>
    <row r="39" spans="1:13" x14ac:dyDescent="0.2">
      <c r="A39" s="140"/>
      <c r="B39" s="130"/>
      <c r="C39" s="130"/>
      <c r="D39" s="145"/>
      <c r="E39" s="145"/>
      <c r="F39" s="130"/>
      <c r="G39" s="138" t="s">
        <v>60</v>
      </c>
      <c r="H39" s="145"/>
      <c r="I39" s="130"/>
      <c r="J39" s="138"/>
      <c r="K39" s="145"/>
      <c r="L39" s="145"/>
      <c r="M39" s="146"/>
    </row>
    <row r="40" spans="1:13" x14ac:dyDescent="0.2">
      <c r="A40" s="140">
        <f>'Plant &amp; Reserve'!$A40</f>
        <v>31143</v>
      </c>
      <c r="B40" s="130" t="str">
        <f>'Plant &amp; Reserve'!$B40</f>
        <v>BB Unit  No. 3</v>
      </c>
      <c r="C40" s="130"/>
      <c r="D40" s="145">
        <f>'Plant &amp; Reserve'!$D40</f>
        <v>15325678</v>
      </c>
      <c r="E40" s="145">
        <f>'Plant &amp; Reserve'!$E40</f>
        <v>10046181</v>
      </c>
      <c r="F40" s="130"/>
      <c r="G40" s="138">
        <f>'Proposed Rates'!$I40</f>
        <v>1.8</v>
      </c>
      <c r="H40" s="145">
        <f>ROUND(($D40*G40)/100,0)</f>
        <v>275862</v>
      </c>
      <c r="I40" s="130"/>
      <c r="J40" s="138">
        <f>'Proposed Rates'!$V40</f>
        <v>1.7</v>
      </c>
      <c r="K40" s="145">
        <f>ROUND(($D40*J40)/100,0)</f>
        <v>260537</v>
      </c>
      <c r="L40" s="145">
        <f>K40-H40</f>
        <v>-15325</v>
      </c>
      <c r="M40" s="161"/>
    </row>
    <row r="41" spans="1:13" x14ac:dyDescent="0.2">
      <c r="A41" s="140">
        <f>'Plant &amp; Reserve'!$A41</f>
        <v>31243</v>
      </c>
      <c r="B41" s="130" t="str">
        <f>'Plant &amp; Reserve'!$B41</f>
        <v>BB Unit  No. 3</v>
      </c>
      <c r="C41" s="130"/>
      <c r="D41" s="145">
        <f>'Plant &amp; Reserve'!$D41</f>
        <v>161974329</v>
      </c>
      <c r="E41" s="145">
        <f>'Plant &amp; Reserve'!$E41</f>
        <v>57370340</v>
      </c>
      <c r="F41" s="130"/>
      <c r="G41" s="138">
        <f>'Proposed Rates'!$I41</f>
        <v>3.5</v>
      </c>
      <c r="H41" s="145">
        <f t="shared" ref="H41:H44" si="5">ROUND(($D41*G41)/100,0)</f>
        <v>5669102</v>
      </c>
      <c r="I41" s="130"/>
      <c r="J41" s="138">
        <f>'Proposed Rates'!$V41</f>
        <v>3.6</v>
      </c>
      <c r="K41" s="145">
        <f t="shared" ref="K41:K44" si="6">ROUND(($D41*J41)/100,0)</f>
        <v>5831076</v>
      </c>
      <c r="L41" s="145">
        <f>K41-H41</f>
        <v>161974</v>
      </c>
      <c r="M41" s="161"/>
    </row>
    <row r="42" spans="1:13" x14ac:dyDescent="0.2">
      <c r="A42" s="140">
        <f>'Plant &amp; Reserve'!$A42</f>
        <v>31443</v>
      </c>
      <c r="B42" s="130" t="str">
        <f>'Plant &amp; Reserve'!$B42</f>
        <v>BB Unit  No. 3</v>
      </c>
      <c r="C42" s="130"/>
      <c r="D42" s="145">
        <f>'Plant &amp; Reserve'!$D42</f>
        <v>51936423</v>
      </c>
      <c r="E42" s="145">
        <f>'Plant &amp; Reserve'!$E42</f>
        <v>22630224</v>
      </c>
      <c r="F42" s="130"/>
      <c r="G42" s="138">
        <f>'Proposed Rates'!$I42</f>
        <v>3.2</v>
      </c>
      <c r="H42" s="145">
        <f t="shared" si="5"/>
        <v>1661966</v>
      </c>
      <c r="I42" s="130"/>
      <c r="J42" s="138">
        <f>'Proposed Rates'!$V42</f>
        <v>3.8</v>
      </c>
      <c r="K42" s="145">
        <f t="shared" si="6"/>
        <v>1973584</v>
      </c>
      <c r="L42" s="145">
        <f>K42-H42</f>
        <v>311618</v>
      </c>
      <c r="M42" s="161"/>
    </row>
    <row r="43" spans="1:13" x14ac:dyDescent="0.2">
      <c r="A43" s="140">
        <f>'Plant &amp; Reserve'!$A43</f>
        <v>31543</v>
      </c>
      <c r="B43" s="130" t="str">
        <f>'Plant &amp; Reserve'!$B43</f>
        <v>BB Unit  No. 3</v>
      </c>
      <c r="C43" s="130"/>
      <c r="D43" s="145">
        <f>'Plant &amp; Reserve'!$D43</f>
        <v>24874085</v>
      </c>
      <c r="E43" s="145">
        <f>'Plant &amp; Reserve'!$E43</f>
        <v>14670556</v>
      </c>
      <c r="F43" s="130"/>
      <c r="G43" s="138">
        <f>'Proposed Rates'!$I43</f>
        <v>3.6</v>
      </c>
      <c r="H43" s="145">
        <f t="shared" si="5"/>
        <v>895467</v>
      </c>
      <c r="I43" s="130"/>
      <c r="J43" s="138">
        <f>'Proposed Rates'!$V43</f>
        <v>3.3</v>
      </c>
      <c r="K43" s="145">
        <f t="shared" si="6"/>
        <v>820845</v>
      </c>
      <c r="L43" s="145">
        <f>K43-H43</f>
        <v>-74622</v>
      </c>
      <c r="M43" s="161"/>
    </row>
    <row r="44" spans="1:13" ht="15" x14ac:dyDescent="0.2">
      <c r="A44" s="140">
        <f>'Plant &amp; Reserve'!$A44</f>
        <v>31643</v>
      </c>
      <c r="B44" s="168" t="str">
        <f>'Plant &amp; Reserve'!$B44</f>
        <v>BB Unit  No. 3</v>
      </c>
      <c r="C44" s="130"/>
      <c r="D44" s="171">
        <f>'Plant &amp; Reserve'!$D44</f>
        <v>1988253</v>
      </c>
      <c r="E44" s="171">
        <f>'Plant &amp; Reserve'!$E44</f>
        <v>841326</v>
      </c>
      <c r="F44" s="130"/>
      <c r="G44" s="170">
        <f>'Proposed Rates'!$I44</f>
        <v>3</v>
      </c>
      <c r="H44" s="172">
        <f t="shared" si="5"/>
        <v>59648</v>
      </c>
      <c r="I44" s="130"/>
      <c r="J44" s="170">
        <f>'Proposed Rates'!$V44</f>
        <v>3.6</v>
      </c>
      <c r="K44" s="171">
        <f t="shared" si="6"/>
        <v>71577</v>
      </c>
      <c r="L44" s="171">
        <f>K44-H44</f>
        <v>11929</v>
      </c>
      <c r="M44" s="161"/>
    </row>
    <row r="45" spans="1:13" x14ac:dyDescent="0.2">
      <c r="A45" s="134"/>
      <c r="B45" s="128" t="s">
        <v>75</v>
      </c>
      <c r="C45" s="130"/>
      <c r="D45" s="173">
        <f>SUM(D40:D44)</f>
        <v>256098768</v>
      </c>
      <c r="E45" s="173">
        <f>SUM(E40:E44)</f>
        <v>105558627</v>
      </c>
      <c r="F45" s="130"/>
      <c r="G45" s="177">
        <f>'Proposed Rates'!$I45</f>
        <v>3.4</v>
      </c>
      <c r="H45" s="173">
        <f>SUM(H40:H44)</f>
        <v>8562045</v>
      </c>
      <c r="I45" s="130"/>
      <c r="J45" s="177">
        <f>'Proposed Rates'!$V45</f>
        <v>3.5</v>
      </c>
      <c r="K45" s="173">
        <f>SUM(K40:K44)</f>
        <v>8957619</v>
      </c>
      <c r="L45" s="173">
        <f>SUM(L40:L44)</f>
        <v>395574</v>
      </c>
      <c r="M45" s="161"/>
    </row>
    <row r="46" spans="1:13" x14ac:dyDescent="0.2">
      <c r="A46" s="140"/>
      <c r="B46" s="130"/>
      <c r="C46" s="130"/>
      <c r="D46" s="145"/>
      <c r="E46" s="145"/>
      <c r="F46" s="130"/>
      <c r="G46" s="138" t="s">
        <v>60</v>
      </c>
      <c r="H46" s="145"/>
      <c r="I46" s="130"/>
      <c r="J46" s="138"/>
      <c r="K46" s="145"/>
      <c r="L46" s="145"/>
      <c r="M46" s="146"/>
    </row>
    <row r="47" spans="1:13" x14ac:dyDescent="0.2">
      <c r="A47" s="140">
        <f>'Plant &amp; Reserve'!$A47</f>
        <v>31144</v>
      </c>
      <c r="B47" s="130" t="str">
        <f>'Plant &amp; Reserve'!$B47</f>
        <v>BB Unit  No. 4</v>
      </c>
      <c r="C47" s="130"/>
      <c r="D47" s="145">
        <f>'Plant &amp; Reserve'!$D47</f>
        <v>63363346</v>
      </c>
      <c r="E47" s="145">
        <f>'Plant &amp; Reserve'!$E47</f>
        <v>35084564</v>
      </c>
      <c r="F47" s="130"/>
      <c r="G47" s="138">
        <f>'Proposed Rates'!$I47</f>
        <v>1.8</v>
      </c>
      <c r="H47" s="145">
        <f>ROUND(($D47*G47)/100,0)</f>
        <v>1140540</v>
      </c>
      <c r="I47" s="130"/>
      <c r="J47" s="138">
        <f>'Proposed Rates'!$V47</f>
        <v>1.9</v>
      </c>
      <c r="K47" s="145">
        <f>ROUND(($D47*J47)/100,0)</f>
        <v>1203904</v>
      </c>
      <c r="L47" s="145">
        <f>K47-H47</f>
        <v>63364</v>
      </c>
      <c r="M47" s="161"/>
    </row>
    <row r="48" spans="1:13" x14ac:dyDescent="0.2">
      <c r="A48" s="140">
        <f>'Plant &amp; Reserve'!$A48</f>
        <v>31244</v>
      </c>
      <c r="B48" s="130" t="str">
        <f>'Plant &amp; Reserve'!$B48</f>
        <v>BB Unit  No. 4</v>
      </c>
      <c r="C48" s="130"/>
      <c r="D48" s="145">
        <f>'Plant &amp; Reserve'!$D48</f>
        <v>256349257</v>
      </c>
      <c r="E48" s="145">
        <f>'Plant &amp; Reserve'!$E48</f>
        <v>107883134</v>
      </c>
      <c r="F48" s="130"/>
      <c r="G48" s="138">
        <f>'Proposed Rates'!$I48</f>
        <v>3</v>
      </c>
      <c r="H48" s="145">
        <f t="shared" ref="H48:H51" si="7">ROUND(($D48*G48)/100,0)</f>
        <v>7690478</v>
      </c>
      <c r="I48" s="130"/>
      <c r="J48" s="138">
        <f>'Proposed Rates'!$V48</f>
        <v>3.3</v>
      </c>
      <c r="K48" s="145">
        <f t="shared" ref="K48:K51" si="8">ROUND(($D48*J48)/100,0)</f>
        <v>8459525</v>
      </c>
      <c r="L48" s="145">
        <f>K48-H48</f>
        <v>769047</v>
      </c>
      <c r="M48" s="161"/>
    </row>
    <row r="49" spans="1:13" x14ac:dyDescent="0.2">
      <c r="A49" s="140">
        <f>'Plant &amp; Reserve'!$A49</f>
        <v>31444</v>
      </c>
      <c r="B49" s="130" t="str">
        <f>'Plant &amp; Reserve'!$B49</f>
        <v>BB Unit  No. 4</v>
      </c>
      <c r="C49" s="130"/>
      <c r="D49" s="145">
        <f>'Plant &amp; Reserve'!$D49</f>
        <v>97781085</v>
      </c>
      <c r="E49" s="145">
        <f>'Plant &amp; Reserve'!$E49</f>
        <v>46820220</v>
      </c>
      <c r="F49" s="130"/>
      <c r="G49" s="138">
        <f>'Proposed Rates'!$I49</f>
        <v>2.8</v>
      </c>
      <c r="H49" s="145">
        <f t="shared" si="7"/>
        <v>2737870</v>
      </c>
      <c r="I49" s="130"/>
      <c r="J49" s="138">
        <f>'Proposed Rates'!$V49</f>
        <v>3.2</v>
      </c>
      <c r="K49" s="145">
        <f t="shared" si="8"/>
        <v>3128995</v>
      </c>
      <c r="L49" s="145">
        <f>K49-H49</f>
        <v>391125</v>
      </c>
      <c r="M49" s="161"/>
    </row>
    <row r="50" spans="1:13" x14ac:dyDescent="0.2">
      <c r="A50" s="140">
        <f>'Plant &amp; Reserve'!$A50</f>
        <v>31544</v>
      </c>
      <c r="B50" s="130" t="str">
        <f>'Plant &amp; Reserve'!$B50</f>
        <v>BB Unit  No. 4</v>
      </c>
      <c r="C50" s="130"/>
      <c r="D50" s="145">
        <f>'Plant &amp; Reserve'!$D50</f>
        <v>44729060</v>
      </c>
      <c r="E50" s="145">
        <f>'Plant &amp; Reserve'!$E50</f>
        <v>27972672</v>
      </c>
      <c r="F50" s="130"/>
      <c r="G50" s="138">
        <f>'Proposed Rates'!$I50</f>
        <v>3.2</v>
      </c>
      <c r="H50" s="145">
        <f t="shared" si="7"/>
        <v>1431330</v>
      </c>
      <c r="I50" s="130"/>
      <c r="J50" s="138">
        <f>'Proposed Rates'!$V50</f>
        <v>2.9</v>
      </c>
      <c r="K50" s="145">
        <f t="shared" si="8"/>
        <v>1297143</v>
      </c>
      <c r="L50" s="145">
        <f>K50-H50</f>
        <v>-134187</v>
      </c>
      <c r="M50" s="161"/>
    </row>
    <row r="51" spans="1:13" ht="15" x14ac:dyDescent="0.2">
      <c r="A51" s="140">
        <f>'Plant &amp; Reserve'!$A51</f>
        <v>31644</v>
      </c>
      <c r="B51" s="168" t="str">
        <f>'Plant &amp; Reserve'!$B51</f>
        <v>BB Unit  No. 4</v>
      </c>
      <c r="C51" s="130"/>
      <c r="D51" s="171">
        <f>'Plant &amp; Reserve'!$D51</f>
        <v>5865812</v>
      </c>
      <c r="E51" s="171">
        <f>'Plant &amp; Reserve'!$E51</f>
        <v>3789636</v>
      </c>
      <c r="F51" s="130"/>
      <c r="G51" s="170">
        <f>'Proposed Rates'!$I51</f>
        <v>2.5</v>
      </c>
      <c r="H51" s="172">
        <f t="shared" si="7"/>
        <v>146645</v>
      </c>
      <c r="I51" s="130"/>
      <c r="J51" s="170">
        <f>'Proposed Rates'!$V51</f>
        <v>1.8</v>
      </c>
      <c r="K51" s="171">
        <f t="shared" si="8"/>
        <v>105585</v>
      </c>
      <c r="L51" s="171">
        <f>K51-H51</f>
        <v>-41060</v>
      </c>
      <c r="M51" s="161"/>
    </row>
    <row r="52" spans="1:13" x14ac:dyDescent="0.2">
      <c r="A52" s="134"/>
      <c r="B52" s="128" t="s">
        <v>75</v>
      </c>
      <c r="C52" s="130"/>
      <c r="D52" s="173">
        <f>SUM(D47:D51)</f>
        <v>468088560</v>
      </c>
      <c r="E52" s="173">
        <f>SUM(E47:E51)</f>
        <v>221550226</v>
      </c>
      <c r="F52" s="130"/>
      <c r="G52" s="177">
        <f>'Proposed Rates'!$I52</f>
        <v>2.8</v>
      </c>
      <c r="H52" s="173">
        <f>SUM(H47:H51)</f>
        <v>13146863</v>
      </c>
      <c r="I52" s="130"/>
      <c r="J52" s="177">
        <f>'Proposed Rates'!$V52</f>
        <v>3</v>
      </c>
      <c r="K52" s="173">
        <f>SUM(K47:K51)</f>
        <v>14195152</v>
      </c>
      <c r="L52" s="173">
        <f>SUM(L47:L51)</f>
        <v>1048289</v>
      </c>
      <c r="M52" s="161"/>
    </row>
    <row r="53" spans="1:13" x14ac:dyDescent="0.2">
      <c r="A53" s="140"/>
      <c r="B53" s="130"/>
      <c r="C53" s="130"/>
      <c r="D53" s="145"/>
      <c r="E53" s="145"/>
      <c r="F53" s="130"/>
      <c r="G53" s="138" t="s">
        <v>60</v>
      </c>
      <c r="H53" s="145"/>
      <c r="I53" s="130"/>
      <c r="J53" s="138"/>
      <c r="K53" s="145"/>
      <c r="L53" s="145"/>
      <c r="M53" s="146"/>
    </row>
    <row r="54" spans="1:13" x14ac:dyDescent="0.2">
      <c r="A54" s="140">
        <f>'Plant &amp; Reserve'!$A54</f>
        <v>31146</v>
      </c>
      <c r="B54" s="130" t="str">
        <f>'Plant &amp; Reserve'!$B54</f>
        <v>No. 1 &amp; 2  FGD System</v>
      </c>
      <c r="C54" s="130"/>
      <c r="D54" s="145">
        <f>'Plant &amp; Reserve'!$D54</f>
        <v>12704432</v>
      </c>
      <c r="E54" s="145">
        <f>'Plant &amp; Reserve'!$E54</f>
        <v>6963736</v>
      </c>
      <c r="F54" s="130"/>
      <c r="G54" s="138">
        <f>'Proposed Rates'!$I54</f>
        <v>2.9</v>
      </c>
      <c r="H54" s="145">
        <f t="shared" ref="H54:H57" si="9">ROUND(($D54*G54)/100,0)</f>
        <v>368429</v>
      </c>
      <c r="I54" s="130"/>
      <c r="J54" s="138">
        <f>'Proposed Rates'!$V54</f>
        <v>2.9</v>
      </c>
      <c r="K54" s="145">
        <f t="shared" ref="K54:K57" si="10">ROUND(($D54*J54)/100,0)</f>
        <v>368429</v>
      </c>
      <c r="L54" s="145">
        <f>K54-H54</f>
        <v>0</v>
      </c>
      <c r="M54" s="161"/>
    </row>
    <row r="55" spans="1:13" x14ac:dyDescent="0.2">
      <c r="A55" s="140">
        <f>'Plant &amp; Reserve'!$A55</f>
        <v>31246</v>
      </c>
      <c r="B55" s="130" t="str">
        <f>'Plant &amp; Reserve'!$B55</f>
        <v>No. 1 &amp; 2  FGD System</v>
      </c>
      <c r="C55" s="130"/>
      <c r="D55" s="145">
        <f>'Plant &amp; Reserve'!$D55</f>
        <v>54859777</v>
      </c>
      <c r="E55" s="145">
        <f>'Plant &amp; Reserve'!$E55</f>
        <v>17563767</v>
      </c>
      <c r="F55" s="130"/>
      <c r="G55" s="138">
        <f>'Proposed Rates'!$I55</f>
        <v>3.3</v>
      </c>
      <c r="H55" s="145">
        <f t="shared" si="9"/>
        <v>1810373</v>
      </c>
      <c r="I55" s="130"/>
      <c r="J55" s="138">
        <f>'Proposed Rates'!$V55</f>
        <v>4.3</v>
      </c>
      <c r="K55" s="145">
        <f t="shared" si="10"/>
        <v>2358970</v>
      </c>
      <c r="L55" s="145">
        <f>K55-H55</f>
        <v>548597</v>
      </c>
      <c r="M55" s="161"/>
    </row>
    <row r="56" spans="1:13" x14ac:dyDescent="0.2">
      <c r="A56" s="140">
        <f>'Plant &amp; Reserve'!$A56</f>
        <v>31546</v>
      </c>
      <c r="B56" s="130" t="str">
        <f>'Plant &amp; Reserve'!$B56</f>
        <v>No. 1 &amp; 2  FGD System</v>
      </c>
      <c r="C56" s="130"/>
      <c r="D56" s="145">
        <f>'Plant &amp; Reserve'!$D56</f>
        <v>9765956</v>
      </c>
      <c r="E56" s="145">
        <f>'Plant &amp; Reserve'!$E56</f>
        <v>4472632</v>
      </c>
      <c r="F56" s="130"/>
      <c r="G56" s="138">
        <f>'Proposed Rates'!$I56</f>
        <v>3.5</v>
      </c>
      <c r="H56" s="145">
        <f t="shared" si="9"/>
        <v>341808</v>
      </c>
      <c r="I56" s="130"/>
      <c r="J56" s="138">
        <f>'Proposed Rates'!$V56</f>
        <v>3.5</v>
      </c>
      <c r="K56" s="145">
        <f t="shared" si="10"/>
        <v>341808</v>
      </c>
      <c r="L56" s="145">
        <f>K56-H56</f>
        <v>0</v>
      </c>
      <c r="M56" s="161"/>
    </row>
    <row r="57" spans="1:13" ht="15" x14ac:dyDescent="0.2">
      <c r="A57" s="140">
        <f>'Plant &amp; Reserve'!$A57</f>
        <v>31646</v>
      </c>
      <c r="B57" s="168" t="str">
        <f>'Plant &amp; Reserve'!$B57</f>
        <v>No. 1 &amp; 2  FGD System</v>
      </c>
      <c r="C57" s="130"/>
      <c r="D57" s="171">
        <f>'Plant &amp; Reserve'!$D57</f>
        <v>1725496</v>
      </c>
      <c r="E57" s="171">
        <f>'Plant &amp; Reserve'!$E57</f>
        <v>940785</v>
      </c>
      <c r="F57" s="130"/>
      <c r="G57" s="170">
        <f>'Proposed Rates'!$I57</f>
        <v>2.9</v>
      </c>
      <c r="H57" s="172">
        <f t="shared" si="9"/>
        <v>50039</v>
      </c>
      <c r="I57" s="130"/>
      <c r="J57" s="170">
        <f>'Proposed Rates'!$V57</f>
        <v>2.7</v>
      </c>
      <c r="K57" s="171">
        <f t="shared" si="10"/>
        <v>46588</v>
      </c>
      <c r="L57" s="171">
        <f>K57-H57</f>
        <v>-3451</v>
      </c>
      <c r="M57" s="161"/>
    </row>
    <row r="58" spans="1:13" x14ac:dyDescent="0.2">
      <c r="A58" s="134"/>
      <c r="B58" s="128" t="s">
        <v>75</v>
      </c>
      <c r="C58" s="130"/>
      <c r="D58" s="173">
        <f>SUM(D53:D57)</f>
        <v>79055661</v>
      </c>
      <c r="E58" s="173">
        <f>SUM(E53:E57)</f>
        <v>29940920</v>
      </c>
      <c r="F58" s="130"/>
      <c r="G58" s="177">
        <f>'Proposed Rates'!$I58</f>
        <v>3.2</v>
      </c>
      <c r="H58" s="173">
        <f>SUM(H53:H57)</f>
        <v>2570649</v>
      </c>
      <c r="I58" s="130"/>
      <c r="J58" s="177">
        <f>'Proposed Rates'!$V58</f>
        <v>3.9</v>
      </c>
      <c r="K58" s="173">
        <f>SUM(K53:K57)</f>
        <v>3115795</v>
      </c>
      <c r="L58" s="173">
        <f>SUM(L53:L57)</f>
        <v>545146</v>
      </c>
      <c r="M58" s="161"/>
    </row>
    <row r="59" spans="1:13" x14ac:dyDescent="0.2">
      <c r="A59" s="140"/>
      <c r="B59" s="130"/>
      <c r="C59" s="130"/>
      <c r="D59" s="145"/>
      <c r="E59" s="145"/>
      <c r="F59" s="130"/>
      <c r="G59" s="138"/>
      <c r="H59" s="145"/>
      <c r="I59" s="130"/>
      <c r="J59" s="138"/>
      <c r="K59" s="145"/>
      <c r="L59" s="145"/>
      <c r="M59" s="146"/>
    </row>
    <row r="60" spans="1:13" x14ac:dyDescent="0.2">
      <c r="A60" s="140">
        <f>'Plant &amp; Reserve'!$A60</f>
        <v>31145</v>
      </c>
      <c r="B60" s="130" t="str">
        <f>'Plant &amp; Reserve'!$B60</f>
        <v>No. 3 &amp; 4  FGD System</v>
      </c>
      <c r="C60" s="130"/>
      <c r="D60" s="145">
        <f>'Plant &amp; Reserve'!$D60</f>
        <v>23911919</v>
      </c>
      <c r="E60" s="145">
        <f>'Plant &amp; Reserve'!$E60</f>
        <v>12429312</v>
      </c>
      <c r="F60" s="130"/>
      <c r="G60" s="138">
        <f>'Proposed Rates'!$I60</f>
        <v>2</v>
      </c>
      <c r="H60" s="145">
        <f t="shared" ref="H60:H63" si="11">ROUND(($D60*G60)/100,0)</f>
        <v>478238</v>
      </c>
      <c r="I60" s="130"/>
      <c r="J60" s="138">
        <f>'Proposed Rates'!$V60</f>
        <v>2.1</v>
      </c>
      <c r="K60" s="145">
        <f t="shared" ref="K60:K63" si="12">ROUND(($D60*J60)/100,0)</f>
        <v>502150</v>
      </c>
      <c r="L60" s="145">
        <f>K60-H60</f>
        <v>23912</v>
      </c>
      <c r="M60" s="161"/>
    </row>
    <row r="61" spans="1:13" x14ac:dyDescent="0.2">
      <c r="A61" s="140">
        <f>'Plant &amp; Reserve'!$A61</f>
        <v>31245</v>
      </c>
      <c r="B61" s="130" t="str">
        <f>'Plant &amp; Reserve'!$B61</f>
        <v>No. 3 &amp; 4  FGD System</v>
      </c>
      <c r="C61" s="130"/>
      <c r="D61" s="145">
        <f>'Plant &amp; Reserve'!$D61</f>
        <v>159201062</v>
      </c>
      <c r="E61" s="145">
        <f>'Plant &amp; Reserve'!$E61</f>
        <v>59943108</v>
      </c>
      <c r="F61" s="130"/>
      <c r="G61" s="138">
        <f>'Proposed Rates'!$I61</f>
        <v>2.5</v>
      </c>
      <c r="H61" s="145">
        <f t="shared" si="11"/>
        <v>3980027</v>
      </c>
      <c r="I61" s="130"/>
      <c r="J61" s="138">
        <f>'Proposed Rates'!$V61</f>
        <v>3.1</v>
      </c>
      <c r="K61" s="145">
        <f t="shared" si="12"/>
        <v>4935233</v>
      </c>
      <c r="L61" s="145">
        <f>K61-H61</f>
        <v>955206</v>
      </c>
      <c r="M61" s="161"/>
    </row>
    <row r="62" spans="1:13" x14ac:dyDescent="0.2">
      <c r="A62" s="140">
        <f>'Plant &amp; Reserve'!$A62</f>
        <v>31545</v>
      </c>
      <c r="B62" s="130" t="str">
        <f>'Plant &amp; Reserve'!$B62</f>
        <v>No. 3 &amp; 4  FGD System</v>
      </c>
      <c r="C62" s="130"/>
      <c r="D62" s="145">
        <f>'Plant &amp; Reserve'!$D62</f>
        <v>26927794</v>
      </c>
      <c r="E62" s="145">
        <f>'Plant &amp; Reserve'!$E62</f>
        <v>15730990</v>
      </c>
      <c r="F62" s="130"/>
      <c r="G62" s="138">
        <f>'Proposed Rates'!$I62</f>
        <v>3.1</v>
      </c>
      <c r="H62" s="145">
        <f t="shared" si="11"/>
        <v>834762</v>
      </c>
      <c r="I62" s="130"/>
      <c r="J62" s="138">
        <f>'Proposed Rates'!$V62</f>
        <v>2.4</v>
      </c>
      <c r="K62" s="145">
        <f t="shared" si="12"/>
        <v>646267</v>
      </c>
      <c r="L62" s="145">
        <f>K62-H62</f>
        <v>-188495</v>
      </c>
      <c r="M62" s="161"/>
    </row>
    <row r="63" spans="1:13" ht="15" x14ac:dyDescent="0.2">
      <c r="A63" s="140">
        <f>'Plant &amp; Reserve'!$A63</f>
        <v>31645</v>
      </c>
      <c r="B63" s="168" t="str">
        <f>'Plant &amp; Reserve'!$B63</f>
        <v>No. 3 &amp; 4  FGD System</v>
      </c>
      <c r="C63" s="130"/>
      <c r="D63" s="171">
        <f>'Plant &amp; Reserve'!$D63</f>
        <v>689414</v>
      </c>
      <c r="E63" s="171">
        <f>'Plant &amp; Reserve'!$E63</f>
        <v>611169</v>
      </c>
      <c r="F63" s="130"/>
      <c r="G63" s="170">
        <f>'Proposed Rates'!$I63</f>
        <v>3.2</v>
      </c>
      <c r="H63" s="172">
        <f t="shared" si="11"/>
        <v>22061</v>
      </c>
      <c r="I63" s="130"/>
      <c r="J63" s="170">
        <f>'Proposed Rates'!$V63</f>
        <v>0.6</v>
      </c>
      <c r="K63" s="171">
        <f t="shared" si="12"/>
        <v>4136</v>
      </c>
      <c r="L63" s="171">
        <f>K63-H63</f>
        <v>-17925</v>
      </c>
      <c r="M63" s="161"/>
    </row>
    <row r="64" spans="1:13" x14ac:dyDescent="0.2">
      <c r="A64" s="134"/>
      <c r="B64" s="128" t="s">
        <v>75</v>
      </c>
      <c r="C64" s="130"/>
      <c r="D64" s="173">
        <f>SUM(D59:D63)</f>
        <v>210730189</v>
      </c>
      <c r="E64" s="173">
        <f>SUM(E59:E63)</f>
        <v>88714579</v>
      </c>
      <c r="F64" s="130"/>
      <c r="G64" s="177">
        <f>'Proposed Rates'!$I64</f>
        <v>2.6</v>
      </c>
      <c r="H64" s="173">
        <f>SUM(H59:H63)</f>
        <v>5315088</v>
      </c>
      <c r="I64" s="130"/>
      <c r="J64" s="177">
        <f>'Proposed Rates'!$V64</f>
        <v>2.9</v>
      </c>
      <c r="K64" s="173">
        <f>SUM(K59:K63)</f>
        <v>6087786</v>
      </c>
      <c r="L64" s="173">
        <f>SUM(L59:L63)</f>
        <v>772698</v>
      </c>
      <c r="M64" s="161"/>
    </row>
    <row r="65" spans="1:13" x14ac:dyDescent="0.2">
      <c r="A65" s="140"/>
      <c r="B65" s="130"/>
      <c r="C65" s="130"/>
      <c r="D65" s="145"/>
      <c r="E65" s="145"/>
      <c r="F65" s="130"/>
      <c r="G65" s="138"/>
      <c r="H65" s="145"/>
      <c r="I65" s="130"/>
      <c r="J65" s="138"/>
      <c r="K65" s="145"/>
      <c r="L65" s="145"/>
      <c r="M65" s="146"/>
    </row>
    <row r="66" spans="1:13" x14ac:dyDescent="0.2">
      <c r="A66" s="140">
        <f>'Plant &amp; Reserve'!$A66</f>
        <v>31151</v>
      </c>
      <c r="B66" s="130" t="str">
        <f>'Plant &amp; Reserve'!$B66</f>
        <v>No. 1 SCR System</v>
      </c>
      <c r="C66" s="130"/>
      <c r="D66" s="145">
        <f>'Plant &amp; Reserve'!$D66</f>
        <v>23136623</v>
      </c>
      <c r="E66" s="145">
        <f>'Plant &amp; Reserve'!$E66</f>
        <v>9010952</v>
      </c>
      <c r="F66" s="130"/>
      <c r="G66" s="138">
        <f>'Proposed Rates'!$I66</f>
        <v>4.0999999999999996</v>
      </c>
      <c r="H66" s="145">
        <f t="shared" ref="H66:H69" si="13">ROUND(($D66*G66)/100,0)</f>
        <v>948602</v>
      </c>
      <c r="I66" s="130"/>
      <c r="J66" s="138">
        <f>'Proposed Rates'!$V66</f>
        <v>4</v>
      </c>
      <c r="K66" s="145">
        <f t="shared" ref="K66:K69" si="14">ROUND(($D66*J66)/100,0)</f>
        <v>925465</v>
      </c>
      <c r="L66" s="145">
        <f>K66-H66</f>
        <v>-23137</v>
      </c>
      <c r="M66" s="161"/>
    </row>
    <row r="67" spans="1:13" x14ac:dyDescent="0.2">
      <c r="A67" s="140">
        <f>'Plant &amp; Reserve'!$A67</f>
        <v>31251</v>
      </c>
      <c r="B67" s="130" t="str">
        <f>'Plant &amp; Reserve'!$B67</f>
        <v>No. 1 SCR System</v>
      </c>
      <c r="C67" s="130"/>
      <c r="D67" s="145">
        <f>'Plant &amp; Reserve'!$D67</f>
        <v>46985093</v>
      </c>
      <c r="E67" s="145">
        <f>'Plant &amp; Reserve'!$E67</f>
        <v>20192629</v>
      </c>
      <c r="F67" s="130"/>
      <c r="G67" s="138">
        <f>'Proposed Rates'!$I67</f>
        <v>4.3</v>
      </c>
      <c r="H67" s="145">
        <f t="shared" si="13"/>
        <v>2020359</v>
      </c>
      <c r="I67" s="130"/>
      <c r="J67" s="138">
        <f>'Proposed Rates'!$V67</f>
        <v>4.3</v>
      </c>
      <c r="K67" s="145">
        <f t="shared" si="14"/>
        <v>2020359</v>
      </c>
      <c r="L67" s="145">
        <f>K67-H67</f>
        <v>0</v>
      </c>
      <c r="M67" s="161"/>
    </row>
    <row r="68" spans="1:13" x14ac:dyDescent="0.2">
      <c r="A68" s="140">
        <f>'Plant &amp; Reserve'!$A68</f>
        <v>31551</v>
      </c>
      <c r="B68" s="130" t="str">
        <f>'Plant &amp; Reserve'!$B68</f>
        <v>No. 1 SCR System</v>
      </c>
      <c r="C68" s="130"/>
      <c r="D68" s="145">
        <f>'Plant &amp; Reserve'!$D68</f>
        <v>14576031</v>
      </c>
      <c r="E68" s="145">
        <f>'Plant &amp; Reserve'!$E68</f>
        <v>6626055</v>
      </c>
      <c r="F68" s="130"/>
      <c r="G68" s="138">
        <f>'Proposed Rates'!$I68</f>
        <v>4.8</v>
      </c>
      <c r="H68" s="145">
        <f t="shared" si="13"/>
        <v>699649</v>
      </c>
      <c r="I68" s="130"/>
      <c r="J68" s="138">
        <f>'Proposed Rates'!$V68</f>
        <v>4</v>
      </c>
      <c r="K68" s="145">
        <f t="shared" si="14"/>
        <v>583041</v>
      </c>
      <c r="L68" s="145">
        <f>K68-H68</f>
        <v>-116608</v>
      </c>
      <c r="M68" s="161"/>
    </row>
    <row r="69" spans="1:13" ht="15" x14ac:dyDescent="0.2">
      <c r="A69" s="140">
        <f>'Plant &amp; Reserve'!$A69</f>
        <v>31651</v>
      </c>
      <c r="B69" s="168" t="str">
        <f>'Plant &amp; Reserve'!$B69</f>
        <v>No. 1 SCR System</v>
      </c>
      <c r="C69" s="130"/>
      <c r="D69" s="171">
        <f>'Plant &amp; Reserve'!$D69</f>
        <v>879815</v>
      </c>
      <c r="E69" s="171">
        <f>'Plant &amp; Reserve'!$E69</f>
        <v>347892</v>
      </c>
      <c r="F69" s="130"/>
      <c r="G69" s="170">
        <f>'Proposed Rates'!$I69</f>
        <v>4.0999999999999996</v>
      </c>
      <c r="H69" s="172">
        <f t="shared" si="13"/>
        <v>36072</v>
      </c>
      <c r="I69" s="130"/>
      <c r="J69" s="170">
        <f>'Proposed Rates'!$V69</f>
        <v>4</v>
      </c>
      <c r="K69" s="171">
        <f t="shared" si="14"/>
        <v>35193</v>
      </c>
      <c r="L69" s="171">
        <f>K69-H69</f>
        <v>-879</v>
      </c>
      <c r="M69" s="161"/>
    </row>
    <row r="70" spans="1:13" x14ac:dyDescent="0.2">
      <c r="A70" s="140"/>
      <c r="B70" s="128" t="s">
        <v>75</v>
      </c>
      <c r="C70" s="130"/>
      <c r="D70" s="173">
        <f>SUM(D65:D69)</f>
        <v>85577562</v>
      </c>
      <c r="E70" s="173">
        <f>SUM(E65:E69)</f>
        <v>36177528</v>
      </c>
      <c r="F70" s="130"/>
      <c r="G70" s="177">
        <f>'Proposed Rates'!$I70</f>
        <v>4.3</v>
      </c>
      <c r="H70" s="173">
        <f>SUM(H65:H69)</f>
        <v>3704682</v>
      </c>
      <c r="I70" s="130"/>
      <c r="J70" s="177">
        <f>'Proposed Rates'!$V70</f>
        <v>4.0999999999999996</v>
      </c>
      <c r="K70" s="173">
        <f>SUM(K65:K69)</f>
        <v>3564058</v>
      </c>
      <c r="L70" s="173">
        <f>SUM(L65:L69)</f>
        <v>-140624</v>
      </c>
      <c r="M70" s="161"/>
    </row>
    <row r="71" spans="1:13" x14ac:dyDescent="0.2">
      <c r="A71" s="140"/>
      <c r="B71" s="130"/>
      <c r="C71" s="130"/>
      <c r="D71" s="145"/>
      <c r="E71" s="145"/>
      <c r="F71" s="130"/>
      <c r="G71" s="138"/>
      <c r="H71" s="145"/>
      <c r="I71" s="130"/>
      <c r="J71" s="138"/>
      <c r="K71" s="145"/>
      <c r="L71" s="145"/>
      <c r="M71" s="146"/>
    </row>
    <row r="72" spans="1:13" x14ac:dyDescent="0.2">
      <c r="A72" s="140">
        <f>'Plant &amp; Reserve'!$A72</f>
        <v>31152</v>
      </c>
      <c r="B72" s="130" t="str">
        <f>'Plant &amp; Reserve'!$B72</f>
        <v>No. 2 SCR System</v>
      </c>
      <c r="C72" s="130"/>
      <c r="D72" s="145">
        <f>'Plant &amp; Reserve'!$D72</f>
        <v>25208869</v>
      </c>
      <c r="E72" s="145">
        <f>'Plant &amp; Reserve'!$E72</f>
        <v>9263616</v>
      </c>
      <c r="F72" s="130"/>
      <c r="G72" s="138">
        <f>'Proposed Rates'!$I72</f>
        <v>3.5</v>
      </c>
      <c r="H72" s="145">
        <f t="shared" ref="H72:H75" si="15">ROUND(($D72*G72)/100,0)</f>
        <v>882310</v>
      </c>
      <c r="I72" s="130"/>
      <c r="J72" s="138">
        <f>'Proposed Rates'!$V72</f>
        <v>3.5</v>
      </c>
      <c r="K72" s="145">
        <f t="shared" ref="K72:K75" si="16">ROUND(($D72*J72)/100,0)</f>
        <v>882310</v>
      </c>
      <c r="L72" s="145">
        <f>K72-H72</f>
        <v>0</v>
      </c>
      <c r="M72" s="161"/>
    </row>
    <row r="73" spans="1:13" x14ac:dyDescent="0.2">
      <c r="A73" s="140">
        <f>'Plant &amp; Reserve'!$A73</f>
        <v>31252</v>
      </c>
      <c r="B73" s="130" t="str">
        <f>'Plant &amp; Reserve'!$B73</f>
        <v>No. 2 SCR System</v>
      </c>
      <c r="C73" s="130"/>
      <c r="D73" s="145">
        <f>'Plant &amp; Reserve'!$D73</f>
        <v>51260287</v>
      </c>
      <c r="E73" s="145">
        <f>'Plant &amp; Reserve'!$E73</f>
        <v>18330971</v>
      </c>
      <c r="F73" s="130"/>
      <c r="G73" s="138">
        <f>'Proposed Rates'!$I73</f>
        <v>4</v>
      </c>
      <c r="H73" s="145">
        <f t="shared" si="15"/>
        <v>2050411</v>
      </c>
      <c r="I73" s="130"/>
      <c r="J73" s="138">
        <f>'Proposed Rates'!$V73</f>
        <v>4.2</v>
      </c>
      <c r="K73" s="145">
        <f t="shared" si="16"/>
        <v>2152932</v>
      </c>
      <c r="L73" s="145">
        <f>K73-H73</f>
        <v>102521</v>
      </c>
      <c r="M73" s="161"/>
    </row>
    <row r="74" spans="1:13" x14ac:dyDescent="0.2">
      <c r="A74" s="140">
        <f>'Plant &amp; Reserve'!$A74</f>
        <v>31552</v>
      </c>
      <c r="B74" s="130" t="str">
        <f>'Plant &amp; Reserve'!$B74</f>
        <v>No. 2 SCR System</v>
      </c>
      <c r="C74" s="130"/>
      <c r="D74" s="145">
        <f>'Plant &amp; Reserve'!$D74</f>
        <v>15951073</v>
      </c>
      <c r="E74" s="145">
        <f>'Plant &amp; Reserve'!$E74</f>
        <v>6776734</v>
      </c>
      <c r="F74" s="130"/>
      <c r="G74" s="138">
        <f>'Proposed Rates'!$I74</f>
        <v>4.0999999999999996</v>
      </c>
      <c r="H74" s="145">
        <f t="shared" si="15"/>
        <v>653994</v>
      </c>
      <c r="I74" s="130"/>
      <c r="J74" s="138">
        <f>'Proposed Rates'!$V74</f>
        <v>3.7</v>
      </c>
      <c r="K74" s="145">
        <f t="shared" si="16"/>
        <v>590190</v>
      </c>
      <c r="L74" s="145">
        <f>K74-H74</f>
        <v>-63804</v>
      </c>
      <c r="M74" s="161"/>
    </row>
    <row r="75" spans="1:13" ht="15" x14ac:dyDescent="0.2">
      <c r="A75" s="140">
        <f>'Plant &amp; Reserve'!$A75</f>
        <v>31652</v>
      </c>
      <c r="B75" s="168" t="str">
        <f>'Plant &amp; Reserve'!$B75</f>
        <v>No. 2 SCR System</v>
      </c>
      <c r="C75" s="130"/>
      <c r="D75" s="171">
        <f>'Plant &amp; Reserve'!$D75</f>
        <v>958616</v>
      </c>
      <c r="E75" s="171">
        <f>'Plant &amp; Reserve'!$E75</f>
        <v>371463</v>
      </c>
      <c r="F75" s="130"/>
      <c r="G75" s="170">
        <f>'Proposed Rates'!$I75</f>
        <v>3.7</v>
      </c>
      <c r="H75" s="172">
        <f t="shared" si="15"/>
        <v>35469</v>
      </c>
      <c r="I75" s="130"/>
      <c r="J75" s="170">
        <f>'Proposed Rates'!$V75</f>
        <v>3.4</v>
      </c>
      <c r="K75" s="171">
        <f t="shared" si="16"/>
        <v>32593</v>
      </c>
      <c r="L75" s="171">
        <f>K75-H75</f>
        <v>-2876</v>
      </c>
      <c r="M75" s="161"/>
    </row>
    <row r="76" spans="1:13" x14ac:dyDescent="0.2">
      <c r="A76" s="140"/>
      <c r="B76" s="128" t="s">
        <v>75</v>
      </c>
      <c r="C76" s="130"/>
      <c r="D76" s="173">
        <f>SUM(D71:D75)</f>
        <v>93378845</v>
      </c>
      <c r="E76" s="173">
        <f>SUM(E71:E75)</f>
        <v>34742784</v>
      </c>
      <c r="F76" s="130"/>
      <c r="G76" s="177">
        <f>'Proposed Rates'!$I76</f>
        <v>3.9</v>
      </c>
      <c r="H76" s="173">
        <f>SUM(H71:H75)</f>
        <v>3622184</v>
      </c>
      <c r="I76" s="130"/>
      <c r="J76" s="177">
        <f>'Proposed Rates'!$V76</f>
        <v>3.8</v>
      </c>
      <c r="K76" s="173">
        <f>SUM(K71:K75)</f>
        <v>3658025</v>
      </c>
      <c r="L76" s="173">
        <f>SUM(L71:L75)</f>
        <v>35841</v>
      </c>
      <c r="M76" s="161"/>
    </row>
    <row r="77" spans="1:13" x14ac:dyDescent="0.2">
      <c r="A77" s="140"/>
      <c r="B77" s="130"/>
      <c r="C77" s="130"/>
      <c r="D77" s="145"/>
      <c r="E77" s="145"/>
      <c r="F77" s="130"/>
      <c r="G77" s="138"/>
      <c r="H77" s="145"/>
      <c r="I77" s="130"/>
      <c r="J77" s="138"/>
      <c r="K77" s="145"/>
      <c r="L77" s="145"/>
      <c r="M77" s="146"/>
    </row>
    <row r="78" spans="1:13" x14ac:dyDescent="0.2">
      <c r="A78" s="140">
        <f>'Plant &amp; Reserve'!$A78</f>
        <v>31153</v>
      </c>
      <c r="B78" s="130" t="str">
        <f>'Plant &amp; Reserve'!$B78</f>
        <v>No. 3 SCR System</v>
      </c>
      <c r="C78" s="130"/>
      <c r="D78" s="145">
        <f>'Plant &amp; Reserve'!$D78</f>
        <v>21689422</v>
      </c>
      <c r="E78" s="145">
        <f>'Plant &amp; Reserve'!$E78</f>
        <v>7727825</v>
      </c>
      <c r="F78" s="130"/>
      <c r="G78" s="138">
        <f>'Proposed Rates'!$I78</f>
        <v>3.1</v>
      </c>
      <c r="H78" s="145">
        <f t="shared" ref="H78:H81" si="17">ROUND(($D78*G78)/100,0)</f>
        <v>672372</v>
      </c>
      <c r="I78" s="130"/>
      <c r="J78" s="138">
        <f>'Proposed Rates'!$V78</f>
        <v>3.1</v>
      </c>
      <c r="K78" s="145">
        <f t="shared" ref="K78:K81" si="18">ROUND(($D78*J78)/100,0)</f>
        <v>672372</v>
      </c>
      <c r="L78" s="145">
        <f>K78-H78</f>
        <v>0</v>
      </c>
      <c r="M78" s="161"/>
    </row>
    <row r="79" spans="1:13" x14ac:dyDescent="0.2">
      <c r="A79" s="140">
        <f>'Plant &amp; Reserve'!$A79</f>
        <v>31253</v>
      </c>
      <c r="B79" s="130" t="str">
        <f>'Plant &amp; Reserve'!$B79</f>
        <v>No. 3 SCR System</v>
      </c>
      <c r="C79" s="130"/>
      <c r="D79" s="145">
        <f>'Plant &amp; Reserve'!$D79</f>
        <v>44040159</v>
      </c>
      <c r="E79" s="145">
        <f>'Plant &amp; Reserve'!$E79</f>
        <v>17922908</v>
      </c>
      <c r="F79" s="130"/>
      <c r="G79" s="138">
        <f>'Proposed Rates'!$I79</f>
        <v>3.9</v>
      </c>
      <c r="H79" s="145">
        <f t="shared" si="17"/>
        <v>1717566</v>
      </c>
      <c r="I79" s="130"/>
      <c r="J79" s="138">
        <f>'Proposed Rates'!$V79</f>
        <v>3.5</v>
      </c>
      <c r="K79" s="145">
        <f t="shared" si="18"/>
        <v>1541406</v>
      </c>
      <c r="L79" s="145">
        <f>K79-H79</f>
        <v>-176160</v>
      </c>
      <c r="M79" s="161"/>
    </row>
    <row r="80" spans="1:13" x14ac:dyDescent="0.2">
      <c r="A80" s="140">
        <f>'Plant &amp; Reserve'!$A80</f>
        <v>31553</v>
      </c>
      <c r="B80" s="130" t="str">
        <f>'Plant &amp; Reserve'!$B80</f>
        <v>No. 3 SCR System</v>
      </c>
      <c r="C80" s="130"/>
      <c r="D80" s="145">
        <f>'Plant &amp; Reserve'!$D80</f>
        <v>13761422</v>
      </c>
      <c r="E80" s="145">
        <f>'Plant &amp; Reserve'!$E80</f>
        <v>6245604</v>
      </c>
      <c r="F80" s="130"/>
      <c r="G80" s="138">
        <f>'Proposed Rates'!$I80</f>
        <v>4</v>
      </c>
      <c r="H80" s="145">
        <f t="shared" si="17"/>
        <v>550457</v>
      </c>
      <c r="I80" s="130"/>
      <c r="J80" s="138">
        <f>'Proposed Rates'!$V80</f>
        <v>3.2</v>
      </c>
      <c r="K80" s="145">
        <f t="shared" si="18"/>
        <v>440366</v>
      </c>
      <c r="L80" s="145">
        <f>K80-H80</f>
        <v>-110091</v>
      </c>
      <c r="M80" s="161"/>
    </row>
    <row r="81" spans="1:13" ht="15" x14ac:dyDescent="0.2">
      <c r="A81" s="140">
        <f>'Plant &amp; Reserve'!$A81</f>
        <v>31653</v>
      </c>
      <c r="B81" s="168" t="str">
        <f>'Plant &amp; Reserve'!$B81</f>
        <v>No. 3 SCR System</v>
      </c>
      <c r="C81" s="130"/>
      <c r="D81" s="171">
        <f>'Plant &amp; Reserve'!$D81</f>
        <v>824684</v>
      </c>
      <c r="E81" s="171">
        <f>'Plant &amp; Reserve'!$E81</f>
        <v>323345</v>
      </c>
      <c r="F81" s="130"/>
      <c r="G81" s="170">
        <f>'Proposed Rates'!$I81</f>
        <v>3.4</v>
      </c>
      <c r="H81" s="172">
        <f t="shared" si="17"/>
        <v>28039</v>
      </c>
      <c r="I81" s="130"/>
      <c r="J81" s="170">
        <f>'Proposed Rates'!$V81</f>
        <v>2.9</v>
      </c>
      <c r="K81" s="171">
        <f t="shared" si="18"/>
        <v>23916</v>
      </c>
      <c r="L81" s="171">
        <f>K81-H81</f>
        <v>-4123</v>
      </c>
      <c r="M81" s="161"/>
    </row>
    <row r="82" spans="1:13" x14ac:dyDescent="0.2">
      <c r="A82" s="140"/>
      <c r="B82" s="128" t="s">
        <v>75</v>
      </c>
      <c r="C82" s="130"/>
      <c r="D82" s="173">
        <f>SUM(D77:D81)</f>
        <v>80315687</v>
      </c>
      <c r="E82" s="173">
        <f>SUM(E77:E81)</f>
        <v>32219682</v>
      </c>
      <c r="F82" s="130"/>
      <c r="G82" s="177">
        <f>'Proposed Rates'!$I82</f>
        <v>3.6</v>
      </c>
      <c r="H82" s="173">
        <f>SUM(H77:H81)</f>
        <v>2968434</v>
      </c>
      <c r="I82" s="130"/>
      <c r="J82" s="177">
        <f>'Proposed Rates'!$V82</f>
        <v>3.3</v>
      </c>
      <c r="K82" s="173">
        <f>SUM(K77:K81)</f>
        <v>2678060</v>
      </c>
      <c r="L82" s="173">
        <f>SUM(L77:L81)</f>
        <v>-290374</v>
      </c>
      <c r="M82" s="161"/>
    </row>
    <row r="83" spans="1:13" x14ac:dyDescent="0.2">
      <c r="A83" s="140"/>
      <c r="B83" s="130"/>
      <c r="C83" s="130"/>
      <c r="D83" s="145"/>
      <c r="E83" s="145"/>
      <c r="F83" s="130"/>
      <c r="G83" s="138"/>
      <c r="H83" s="145"/>
      <c r="I83" s="130"/>
      <c r="J83" s="138"/>
      <c r="K83" s="145"/>
      <c r="L83" s="145"/>
      <c r="M83" s="146"/>
    </row>
    <row r="84" spans="1:13" x14ac:dyDescent="0.2">
      <c r="A84" s="140">
        <f>'Plant &amp; Reserve'!$A84</f>
        <v>31154</v>
      </c>
      <c r="B84" s="130" t="str">
        <f>'Plant &amp; Reserve'!$B84</f>
        <v>No. 4 SCR System</v>
      </c>
      <c r="C84" s="130"/>
      <c r="D84" s="145">
        <f>'Plant &amp; Reserve'!$D84</f>
        <v>16857250</v>
      </c>
      <c r="E84" s="145">
        <f>'Plant &amp; Reserve'!$E84</f>
        <v>5065029</v>
      </c>
      <c r="F84" s="130"/>
      <c r="G84" s="138">
        <f>'Proposed Rates'!$I84</f>
        <v>2.4</v>
      </c>
      <c r="H84" s="145">
        <f t="shared" ref="H84:H87" si="19">ROUND(($D84*G84)/100,0)</f>
        <v>404574</v>
      </c>
      <c r="I84" s="130"/>
      <c r="J84" s="138">
        <f>'Proposed Rates'!$V84</f>
        <v>2.8</v>
      </c>
      <c r="K84" s="145">
        <f t="shared" ref="K84:K87" si="20">ROUND(($D84*J84)/100,0)</f>
        <v>472003</v>
      </c>
      <c r="L84" s="145">
        <f>K84-H84</f>
        <v>67429</v>
      </c>
      <c r="M84" s="161"/>
    </row>
    <row r="85" spans="1:13" x14ac:dyDescent="0.2">
      <c r="A85" s="140">
        <f>'Plant &amp; Reserve'!$A85</f>
        <v>31254</v>
      </c>
      <c r="B85" s="130" t="str">
        <f>'Plant &amp; Reserve'!$B85</f>
        <v>No. 4 SCR System</v>
      </c>
      <c r="C85" s="130"/>
      <c r="D85" s="145">
        <f>'Plant &amp; Reserve'!$D85</f>
        <v>30373191</v>
      </c>
      <c r="E85" s="145">
        <f>'Plant &amp; Reserve'!$E85</f>
        <v>8103249</v>
      </c>
      <c r="F85" s="130"/>
      <c r="G85" s="138">
        <f>'Proposed Rates'!$I85</f>
        <v>3.8</v>
      </c>
      <c r="H85" s="145">
        <f t="shared" si="19"/>
        <v>1154181</v>
      </c>
      <c r="I85" s="130"/>
      <c r="J85" s="138">
        <f>'Proposed Rates'!$V85</f>
        <v>3.6</v>
      </c>
      <c r="K85" s="145">
        <f t="shared" si="20"/>
        <v>1093435</v>
      </c>
      <c r="L85" s="145">
        <f>K85-H85</f>
        <v>-60746</v>
      </c>
      <c r="M85" s="161"/>
    </row>
    <row r="86" spans="1:13" x14ac:dyDescent="0.2">
      <c r="A86" s="140">
        <f>'Plant &amp; Reserve'!$A86</f>
        <v>31554</v>
      </c>
      <c r="B86" s="130" t="str">
        <f>'Plant &amp; Reserve'!$B86</f>
        <v>No. 4 SCR System</v>
      </c>
      <c r="C86" s="130"/>
      <c r="D86" s="145">
        <f>'Plant &amp; Reserve'!$D86</f>
        <v>10642027</v>
      </c>
      <c r="E86" s="145">
        <f>'Plant &amp; Reserve'!$E86</f>
        <v>5196277</v>
      </c>
      <c r="F86" s="130"/>
      <c r="G86" s="138">
        <f>'Proposed Rates'!$I86</f>
        <v>3.9</v>
      </c>
      <c r="H86" s="145">
        <f t="shared" si="19"/>
        <v>415039</v>
      </c>
      <c r="I86" s="130"/>
      <c r="J86" s="138">
        <f>'Proposed Rates'!$V86</f>
        <v>2.8</v>
      </c>
      <c r="K86" s="145">
        <f t="shared" si="20"/>
        <v>297977</v>
      </c>
      <c r="L86" s="145">
        <f>K86-H86</f>
        <v>-117062</v>
      </c>
      <c r="M86" s="161"/>
    </row>
    <row r="87" spans="1:13" ht="15" x14ac:dyDescent="0.2">
      <c r="A87" s="140">
        <f>'Plant &amp; Reserve'!$A87</f>
        <v>31654</v>
      </c>
      <c r="B87" s="168" t="str">
        <f>'Plant &amp; Reserve'!$B87</f>
        <v>No. 4 SCR System</v>
      </c>
      <c r="C87" s="130"/>
      <c r="D87" s="171">
        <f>'Plant &amp; Reserve'!$D87</f>
        <v>687934</v>
      </c>
      <c r="E87" s="171">
        <f>'Plant &amp; Reserve'!$E87</f>
        <v>282593</v>
      </c>
      <c r="F87" s="130"/>
      <c r="G87" s="170">
        <f>'Proposed Rates'!$I87</f>
        <v>3.3</v>
      </c>
      <c r="H87" s="172">
        <f t="shared" si="19"/>
        <v>22702</v>
      </c>
      <c r="I87" s="130"/>
      <c r="J87" s="170">
        <f>'Proposed Rates'!$V87</f>
        <v>2.4</v>
      </c>
      <c r="K87" s="171">
        <f t="shared" si="20"/>
        <v>16510</v>
      </c>
      <c r="L87" s="171">
        <f>K87-H87</f>
        <v>-6192</v>
      </c>
      <c r="M87" s="161"/>
    </row>
    <row r="88" spans="1:13" x14ac:dyDescent="0.2">
      <c r="A88" s="140"/>
      <c r="B88" s="128" t="s">
        <v>75</v>
      </c>
      <c r="C88" s="130"/>
      <c r="D88" s="173">
        <f>SUM(D83:D87)</f>
        <v>58560402</v>
      </c>
      <c r="E88" s="173">
        <f>SUM(E83:E87)</f>
        <v>18647148</v>
      </c>
      <c r="F88" s="130"/>
      <c r="G88" s="177">
        <f>'Proposed Rates'!$I88</f>
        <v>3.3</v>
      </c>
      <c r="H88" s="173">
        <f>SUM(H83:H87)</f>
        <v>1996496</v>
      </c>
      <c r="I88" s="130"/>
      <c r="J88" s="177">
        <f>'Proposed Rates'!$V88</f>
        <v>3.2</v>
      </c>
      <c r="K88" s="173">
        <f>SUM(K83:K87)</f>
        <v>1879925</v>
      </c>
      <c r="L88" s="173">
        <f>SUM(L83:L87)</f>
        <v>-116571</v>
      </c>
      <c r="M88" s="161"/>
    </row>
    <row r="89" spans="1:13" x14ac:dyDescent="0.2">
      <c r="A89" s="140"/>
      <c r="B89" s="130"/>
      <c r="C89" s="130"/>
      <c r="D89" s="145"/>
      <c r="E89" s="145"/>
      <c r="F89" s="130"/>
      <c r="G89" s="138"/>
      <c r="H89" s="145"/>
      <c r="I89" s="130"/>
      <c r="J89" s="138"/>
      <c r="K89" s="145"/>
      <c r="L89" s="145"/>
      <c r="M89" s="146"/>
    </row>
    <row r="90" spans="1:13" x14ac:dyDescent="0.2">
      <c r="A90" s="140">
        <f>'Plant &amp; Reserve'!$A90</f>
        <v>31647</v>
      </c>
      <c r="B90" s="130" t="str">
        <f>'Plant &amp; Reserve'!$B90</f>
        <v>Big Bend Amortizable Tools</v>
      </c>
      <c r="C90" s="130"/>
      <c r="D90" s="145">
        <f>'Plant &amp; Reserve'!$D90</f>
        <v>1304313.1999999997</v>
      </c>
      <c r="E90" s="145">
        <f>'Plant &amp; Reserve'!$E90</f>
        <v>828679</v>
      </c>
      <c r="F90" s="130"/>
      <c r="G90" s="138">
        <f>'Proposed Rates'!$I90</f>
        <v>14.3</v>
      </c>
      <c r="H90" s="145">
        <f t="shared" ref="H90" si="21">ROUND(($D90*G90)/100,0)</f>
        <v>186517</v>
      </c>
      <c r="I90" s="130"/>
      <c r="J90" s="138">
        <f>'Proposed Rates'!$V90</f>
        <v>14.3</v>
      </c>
      <c r="K90" s="145">
        <f t="shared" ref="K90" si="22">ROUND(($D90*J90)/100,0)</f>
        <v>186517</v>
      </c>
      <c r="L90" s="145">
        <f>K90-H90</f>
        <v>0</v>
      </c>
      <c r="M90" s="161"/>
    </row>
    <row r="91" spans="1:13" x14ac:dyDescent="0.2">
      <c r="A91" s="134"/>
      <c r="B91" s="130"/>
      <c r="C91" s="130"/>
      <c r="D91" s="145"/>
      <c r="E91" s="145"/>
      <c r="F91" s="130"/>
      <c r="G91" s="138"/>
      <c r="H91" s="145"/>
      <c r="I91" s="130"/>
      <c r="J91" s="130"/>
      <c r="K91" s="130"/>
      <c r="L91" s="130"/>
      <c r="M91" s="161"/>
    </row>
    <row r="92" spans="1:13" x14ac:dyDescent="0.2">
      <c r="A92" s="140">
        <f>'Plant &amp; Reserve'!$A92</f>
        <v>31247</v>
      </c>
      <c r="B92" s="130" t="str">
        <f>'Plant &amp; Reserve'!$B92</f>
        <v>Big Bend Fuel Clause</v>
      </c>
      <c r="C92" s="130"/>
      <c r="D92" s="145">
        <f>'Plant &amp; Reserve'!$D92</f>
        <v>21440068.73</v>
      </c>
      <c r="E92" s="145">
        <f>'Plant &amp; Reserve'!$E92</f>
        <v>18159300</v>
      </c>
      <c r="F92" s="130"/>
      <c r="G92" s="138">
        <f>'Proposed Rates'!$I92</f>
        <v>20</v>
      </c>
      <c r="H92" s="145">
        <f t="shared" ref="H92" si="23">ROUND(($D92*G92)/100,0)</f>
        <v>4288014</v>
      </c>
      <c r="I92" s="130"/>
      <c r="J92" s="138">
        <f>'Proposed Rates'!$V92</f>
        <v>20</v>
      </c>
      <c r="K92" s="145">
        <f t="shared" ref="K92" si="24">ROUND(($D92*J92)/100,0)</f>
        <v>4288014</v>
      </c>
      <c r="L92" s="145">
        <f>K92-H92</f>
        <v>0</v>
      </c>
      <c r="M92" s="161"/>
    </row>
    <row r="93" spans="1:13" ht="13.5" thickBot="1" x14ac:dyDescent="0.25">
      <c r="A93" s="493"/>
      <c r="B93" s="493"/>
      <c r="C93" s="130"/>
      <c r="D93" s="182"/>
      <c r="E93" s="182"/>
      <c r="F93" s="130"/>
      <c r="G93" s="493"/>
      <c r="H93" s="493"/>
      <c r="I93" s="130"/>
      <c r="J93" s="493"/>
      <c r="K93" s="493"/>
      <c r="L93" s="493"/>
      <c r="M93" s="146"/>
    </row>
    <row r="94" spans="1:13" ht="19.5" customHeight="1" thickTop="1" thickBot="1" x14ac:dyDescent="0.25">
      <c r="A94" s="494"/>
      <c r="B94" s="384"/>
      <c r="C94" s="130"/>
      <c r="D94" s="186">
        <f>SUM(D24,D31,D38,D45,D52,D64,D58,D70,D76,D82,D88,D90,D92)</f>
        <v>2180333331.9299998</v>
      </c>
      <c r="E94" s="186">
        <f>SUM(E24,E31,E38,E45,E52,E64,E58,E70,E76,E82,E88,E90,E92)</f>
        <v>798266041</v>
      </c>
      <c r="F94" s="130"/>
      <c r="G94" s="826">
        <f>IF($D94=0,0,H94/$D94*100)</f>
        <v>3.4154765195503987</v>
      </c>
      <c r="H94" s="186">
        <f>SUM(H24,H31,H38,H45,H52,H64,H58,H70,H76,H82,H88,H90,H92)</f>
        <v>74468773</v>
      </c>
      <c r="I94" s="130"/>
      <c r="J94" s="826">
        <f>IF($D94=0,0,K94/$D94*100)</f>
        <v>3.8058145873753988</v>
      </c>
      <c r="K94" s="186">
        <f>SUM(K24,K31,K38,K45,K52,K64,K58,K70,K76,K82,K88,K90,K92)</f>
        <v>82979444</v>
      </c>
      <c r="L94" s="186">
        <f>SUM(L24,L31,L38,L45,L52,L64,L58,L70,L76,L82,L88,L90,L92)</f>
        <v>8510671</v>
      </c>
      <c r="M94" s="146"/>
    </row>
    <row r="95" spans="1:13" ht="13.5" thickTop="1" x14ac:dyDescent="0.2">
      <c r="A95" s="140"/>
      <c r="B95" s="800"/>
      <c r="C95" s="130"/>
      <c r="D95" s="145"/>
      <c r="E95" s="145"/>
      <c r="F95" s="130"/>
      <c r="G95" s="138"/>
      <c r="H95" s="145"/>
      <c r="I95" s="130"/>
      <c r="J95" s="138"/>
      <c r="K95" s="145"/>
      <c r="L95" s="145"/>
      <c r="M95" s="146"/>
    </row>
    <row r="96" spans="1:13" ht="13.5" thickBot="1" x14ac:dyDescent="0.25">
      <c r="A96" s="187"/>
      <c r="B96" s="801"/>
      <c r="C96" s="130"/>
      <c r="D96" s="188"/>
      <c r="E96" s="188"/>
      <c r="F96" s="130"/>
      <c r="G96" s="188"/>
      <c r="H96" s="188"/>
      <c r="I96" s="130"/>
      <c r="J96" s="188"/>
      <c r="K96" s="188"/>
      <c r="L96" s="188"/>
      <c r="M96" s="146"/>
    </row>
    <row r="97" spans="1:13" ht="19.5" customHeight="1" thickTop="1" thickBot="1" x14ac:dyDescent="0.25">
      <c r="A97" s="802"/>
      <c r="B97" s="802"/>
      <c r="C97" s="130"/>
      <c r="D97" s="192">
        <f>D94</f>
        <v>2180333331.9299998</v>
      </c>
      <c r="E97" s="192">
        <f>E94</f>
        <v>798266041</v>
      </c>
      <c r="F97" s="130"/>
      <c r="G97" s="827">
        <f>IF($D97=0,0,H97/$D97*100)</f>
        <v>3.4154765195503987</v>
      </c>
      <c r="H97" s="192">
        <f>H94</f>
        <v>74468773</v>
      </c>
      <c r="I97" s="130"/>
      <c r="J97" s="827">
        <f>IF($D97=0,0,K97/$D97*100)</f>
        <v>3.8058145873753988</v>
      </c>
      <c r="K97" s="192">
        <f>K94</f>
        <v>82979444</v>
      </c>
      <c r="L97" s="192">
        <f>L94</f>
        <v>8510671</v>
      </c>
      <c r="M97" s="146"/>
    </row>
    <row r="98" spans="1:13" ht="13.5" thickTop="1" x14ac:dyDescent="0.2">
      <c r="A98" s="140"/>
      <c r="B98" s="130"/>
      <c r="C98" s="130"/>
      <c r="D98" s="145"/>
      <c r="E98" s="145"/>
      <c r="F98" s="130"/>
      <c r="G98" s="138"/>
      <c r="H98" s="145"/>
      <c r="I98" s="130"/>
      <c r="J98" s="138"/>
      <c r="K98" s="145"/>
      <c r="L98" s="145"/>
      <c r="M98" s="146"/>
    </row>
    <row r="99" spans="1:13" x14ac:dyDescent="0.2">
      <c r="A99" s="140"/>
      <c r="B99" s="144" t="s">
        <v>63</v>
      </c>
      <c r="C99" s="130"/>
      <c r="D99" s="145"/>
      <c r="E99" s="145"/>
      <c r="F99" s="130"/>
      <c r="G99" s="138" t="s">
        <v>60</v>
      </c>
      <c r="H99" s="145"/>
      <c r="I99" s="130"/>
      <c r="J99" s="138"/>
      <c r="K99" s="145"/>
      <c r="L99" s="145"/>
      <c r="M99" s="146"/>
    </row>
    <row r="100" spans="1:13" x14ac:dyDescent="0.2">
      <c r="A100" s="140"/>
      <c r="B100" s="130"/>
      <c r="C100" s="130"/>
      <c r="D100" s="145"/>
      <c r="E100" s="145"/>
      <c r="F100" s="130"/>
      <c r="G100" s="138" t="s">
        <v>60</v>
      </c>
      <c r="H100" s="145"/>
      <c r="I100" s="130"/>
      <c r="J100" s="138"/>
      <c r="K100" s="145"/>
      <c r="L100" s="145"/>
      <c r="M100" s="146"/>
    </row>
    <row r="101" spans="1:13" x14ac:dyDescent="0.2">
      <c r="A101" s="140"/>
      <c r="B101" s="144" t="s">
        <v>59</v>
      </c>
      <c r="C101" s="130"/>
      <c r="D101" s="145"/>
      <c r="E101" s="145"/>
      <c r="F101" s="130"/>
      <c r="G101" s="138"/>
      <c r="H101" s="145"/>
      <c r="I101" s="130"/>
      <c r="J101" s="138"/>
      <c r="K101" s="145"/>
      <c r="L101" s="145"/>
      <c r="M101" s="146"/>
    </row>
    <row r="102" spans="1:13" x14ac:dyDescent="0.2">
      <c r="A102" s="140"/>
      <c r="B102" s="130"/>
      <c r="C102" s="130"/>
      <c r="D102" s="145"/>
      <c r="E102" s="145"/>
      <c r="F102" s="130"/>
      <c r="G102" s="138"/>
      <c r="H102" s="145"/>
      <c r="I102" s="130"/>
      <c r="J102" s="138"/>
      <c r="K102" s="145"/>
      <c r="L102" s="145"/>
      <c r="M102" s="146"/>
    </row>
    <row r="103" spans="1:13" x14ac:dyDescent="0.2">
      <c r="A103" s="140">
        <f>'Plant &amp; Reserve'!$A103</f>
        <v>34144</v>
      </c>
      <c r="B103" s="130" t="str">
        <f>'Plant &amp; Reserve'!$B103</f>
        <v>BB CT No. 4</v>
      </c>
      <c r="C103" s="130"/>
      <c r="D103" s="145">
        <f>'Plant &amp; Reserve'!$D103</f>
        <v>3311083</v>
      </c>
      <c r="E103" s="145">
        <f>'Plant &amp; Reserve'!$E103</f>
        <v>519031</v>
      </c>
      <c r="F103" s="130"/>
      <c r="G103" s="138">
        <f>'Proposed Rates'!$I103</f>
        <v>2.6</v>
      </c>
      <c r="H103" s="145">
        <f t="shared" ref="H103:H107" si="25">ROUND(($D103*G103)/100,0)</f>
        <v>86088</v>
      </c>
      <c r="I103" s="130"/>
      <c r="J103" s="138">
        <f>'Proposed Rates'!$V103</f>
        <v>3.6</v>
      </c>
      <c r="K103" s="145">
        <f t="shared" ref="K103:K107" si="26">ROUND(($D103*J103)/100,0)</f>
        <v>119199</v>
      </c>
      <c r="L103" s="145">
        <f>K103-H103</f>
        <v>33111</v>
      </c>
      <c r="M103" s="161"/>
    </row>
    <row r="104" spans="1:13" x14ac:dyDescent="0.2">
      <c r="A104" s="140">
        <f>'Plant &amp; Reserve'!$A104</f>
        <v>34244</v>
      </c>
      <c r="B104" s="130" t="str">
        <f>'Plant &amp; Reserve'!$B104</f>
        <v>BB CT No. 4</v>
      </c>
      <c r="C104" s="130"/>
      <c r="D104" s="145">
        <f>'Plant &amp; Reserve'!$D104</f>
        <v>2353181</v>
      </c>
      <c r="E104" s="145">
        <f>'Plant &amp; Reserve'!$E104</f>
        <v>666345</v>
      </c>
      <c r="F104" s="130"/>
      <c r="G104" s="138">
        <f>'Proposed Rates'!$I104</f>
        <v>3.6</v>
      </c>
      <c r="H104" s="145">
        <f t="shared" si="25"/>
        <v>84715</v>
      </c>
      <c r="I104" s="130"/>
      <c r="J104" s="138">
        <f>'Proposed Rates'!$V104</f>
        <v>2.6</v>
      </c>
      <c r="K104" s="145">
        <f t="shared" si="26"/>
        <v>61183</v>
      </c>
      <c r="L104" s="145">
        <f>K104-H104</f>
        <v>-23532</v>
      </c>
      <c r="M104" s="161"/>
    </row>
    <row r="105" spans="1:13" x14ac:dyDescent="0.2">
      <c r="A105" s="140">
        <f>'Plant &amp; Reserve'!$A105</f>
        <v>34344</v>
      </c>
      <c r="B105" s="130" t="str">
        <f>'Plant &amp; Reserve'!$B105</f>
        <v>BB CT No. 4</v>
      </c>
      <c r="C105" s="130"/>
      <c r="D105" s="145">
        <f>'Plant &amp; Reserve'!$D105</f>
        <v>19748806</v>
      </c>
      <c r="E105" s="145">
        <f>'Plant &amp; Reserve'!$E105</f>
        <v>8162526</v>
      </c>
      <c r="F105" s="130"/>
      <c r="G105" s="138">
        <f>'Proposed Rates'!$I105</f>
        <v>4</v>
      </c>
      <c r="H105" s="145">
        <f t="shared" si="25"/>
        <v>789952</v>
      </c>
      <c r="I105" s="130"/>
      <c r="J105" s="138">
        <f>'Proposed Rates'!$V105</f>
        <v>3.1</v>
      </c>
      <c r="K105" s="145">
        <f t="shared" si="26"/>
        <v>612213</v>
      </c>
      <c r="L105" s="145">
        <f>K105-H105</f>
        <v>-177739</v>
      </c>
      <c r="M105" s="161"/>
    </row>
    <row r="106" spans="1:13" x14ac:dyDescent="0.2">
      <c r="A106" s="140">
        <f>'Plant &amp; Reserve'!$A106</f>
        <v>34544</v>
      </c>
      <c r="B106" s="130" t="str">
        <f>'Plant &amp; Reserve'!$B106</f>
        <v>BB CT No. 4</v>
      </c>
      <c r="C106" s="130"/>
      <c r="D106" s="145">
        <f>'Plant &amp; Reserve'!$D106</f>
        <v>14918401</v>
      </c>
      <c r="E106" s="145">
        <f>'Plant &amp; Reserve'!$E106</f>
        <v>5227799</v>
      </c>
      <c r="F106" s="130"/>
      <c r="G106" s="138">
        <f>'Proposed Rates'!$I106</f>
        <v>4</v>
      </c>
      <c r="H106" s="145">
        <f t="shared" si="25"/>
        <v>596736</v>
      </c>
      <c r="I106" s="130"/>
      <c r="J106" s="138">
        <f>'Proposed Rates'!$V106</f>
        <v>2.8</v>
      </c>
      <c r="K106" s="145">
        <f t="shared" si="26"/>
        <v>417715</v>
      </c>
      <c r="L106" s="145">
        <f>K106-H106</f>
        <v>-179021</v>
      </c>
      <c r="M106" s="161"/>
    </row>
    <row r="107" spans="1:13" ht="15" x14ac:dyDescent="0.2">
      <c r="A107" s="140">
        <f>'Plant &amp; Reserve'!$A107</f>
        <v>34644</v>
      </c>
      <c r="B107" s="168" t="str">
        <f>'Plant &amp; Reserve'!$B107</f>
        <v>BB CT No. 4</v>
      </c>
      <c r="C107" s="130"/>
      <c r="D107" s="171">
        <f>'Plant &amp; Reserve'!$D107</f>
        <v>510665</v>
      </c>
      <c r="E107" s="171">
        <f>'Plant &amp; Reserve'!$E107</f>
        <v>167706</v>
      </c>
      <c r="F107" s="130"/>
      <c r="G107" s="170">
        <f>'Proposed Rates'!$I107</f>
        <v>4</v>
      </c>
      <c r="H107" s="172">
        <f t="shared" si="25"/>
        <v>20427</v>
      </c>
      <c r="I107" s="130"/>
      <c r="J107" s="170">
        <f>'Proposed Rates'!$V107</f>
        <v>2.9</v>
      </c>
      <c r="K107" s="171">
        <f t="shared" si="26"/>
        <v>14809</v>
      </c>
      <c r="L107" s="171">
        <f>K107-H107</f>
        <v>-5618</v>
      </c>
      <c r="M107" s="161"/>
    </row>
    <row r="108" spans="1:13" x14ac:dyDescent="0.2">
      <c r="A108" s="134"/>
      <c r="B108" s="128" t="s">
        <v>75</v>
      </c>
      <c r="C108" s="130"/>
      <c r="D108" s="173">
        <f>SUM(D103:D107)</f>
        <v>40842136</v>
      </c>
      <c r="E108" s="173">
        <f>SUM(E103:E107)</f>
        <v>14743407</v>
      </c>
      <c r="F108" s="130"/>
      <c r="G108" s="177">
        <f>'Proposed Rates'!$I108</f>
        <v>3</v>
      </c>
      <c r="H108" s="173">
        <f>SUM(H103:H107)</f>
        <v>1577918</v>
      </c>
      <c r="I108" s="130"/>
      <c r="J108" s="177">
        <f>'Proposed Rates'!$V108</f>
        <v>3</v>
      </c>
      <c r="K108" s="173">
        <f>SUM(K103:K107)</f>
        <v>1225119</v>
      </c>
      <c r="L108" s="173">
        <f>SUM(L103:L107)</f>
        <v>-352799</v>
      </c>
      <c r="M108" s="161"/>
    </row>
    <row r="109" spans="1:13" x14ac:dyDescent="0.2">
      <c r="A109" s="140"/>
      <c r="B109" s="130"/>
      <c r="C109" s="130"/>
      <c r="D109" s="145"/>
      <c r="E109" s="145"/>
      <c r="F109" s="130"/>
      <c r="G109" s="138"/>
      <c r="H109" s="145"/>
      <c r="I109" s="130"/>
      <c r="J109" s="138"/>
      <c r="K109" s="145"/>
      <c r="L109" s="145"/>
      <c r="M109" s="146"/>
    </row>
    <row r="110" spans="1:13" x14ac:dyDescent="0.2">
      <c r="A110" s="140">
        <f>'Plant &amp; Reserve'!$A110</f>
        <v>34145</v>
      </c>
      <c r="B110" s="130" t="str">
        <f>'Plant &amp; Reserve'!$B110</f>
        <v>BB CT No. 5</v>
      </c>
      <c r="C110" s="130"/>
      <c r="D110" s="145">
        <f>'Plant &amp; Reserve'!$D110</f>
        <v>0</v>
      </c>
      <c r="E110" s="145">
        <f>'Plant &amp; Reserve'!$E110</f>
        <v>0</v>
      </c>
      <c r="F110" s="130"/>
      <c r="G110" s="138">
        <f>'Proposed Rates'!$I110</f>
        <v>0</v>
      </c>
      <c r="H110" s="145">
        <f t="shared" ref="H110:H114" si="27">ROUND(($D110*G110)/100,0)</f>
        <v>0</v>
      </c>
      <c r="I110" s="130"/>
      <c r="J110" s="138">
        <f>'Proposed Rates'!$V110</f>
        <v>2.9</v>
      </c>
      <c r="K110" s="145">
        <f t="shared" ref="K110:K114" si="28">ROUND(($D110*J110)/100,0)</f>
        <v>0</v>
      </c>
      <c r="L110" s="145">
        <f>K110-H110</f>
        <v>0</v>
      </c>
      <c r="M110" s="161"/>
    </row>
    <row r="111" spans="1:13" x14ac:dyDescent="0.2">
      <c r="A111" s="140">
        <f>'Plant &amp; Reserve'!$A111</f>
        <v>34245</v>
      </c>
      <c r="B111" s="130" t="str">
        <f>'Plant &amp; Reserve'!$B111</f>
        <v>BB CT No. 5</v>
      </c>
      <c r="C111" s="130"/>
      <c r="D111" s="145">
        <f>'Plant &amp; Reserve'!$D111</f>
        <v>0</v>
      </c>
      <c r="E111" s="145">
        <f>'Plant &amp; Reserve'!$E111</f>
        <v>0</v>
      </c>
      <c r="F111" s="130"/>
      <c r="G111" s="138">
        <f>'Proposed Rates'!$I111</f>
        <v>0</v>
      </c>
      <c r="H111" s="145">
        <f t="shared" si="27"/>
        <v>0</v>
      </c>
      <c r="I111" s="130"/>
      <c r="J111" s="138">
        <f>'Proposed Rates'!$V111</f>
        <v>2.9</v>
      </c>
      <c r="K111" s="145">
        <f t="shared" si="28"/>
        <v>0</v>
      </c>
      <c r="L111" s="145">
        <f>K111-H111</f>
        <v>0</v>
      </c>
      <c r="M111" s="161"/>
    </row>
    <row r="112" spans="1:13" x14ac:dyDescent="0.2">
      <c r="A112" s="140">
        <f>'Plant &amp; Reserve'!$A112</f>
        <v>34345</v>
      </c>
      <c r="B112" s="130" t="str">
        <f>'Plant &amp; Reserve'!$B112</f>
        <v>BB CT No. 5</v>
      </c>
      <c r="C112" s="130"/>
      <c r="D112" s="145">
        <f>'Plant &amp; Reserve'!$D112</f>
        <v>0</v>
      </c>
      <c r="E112" s="145">
        <f>'Plant &amp; Reserve'!$E112</f>
        <v>0</v>
      </c>
      <c r="F112" s="130"/>
      <c r="G112" s="138">
        <f>'Proposed Rates'!$I112</f>
        <v>0</v>
      </c>
      <c r="H112" s="145">
        <f t="shared" si="27"/>
        <v>0</v>
      </c>
      <c r="I112" s="130"/>
      <c r="J112" s="138">
        <f>'Proposed Rates'!$V112</f>
        <v>2.9</v>
      </c>
      <c r="K112" s="145">
        <f t="shared" si="28"/>
        <v>0</v>
      </c>
      <c r="L112" s="145">
        <f>K112-H112</f>
        <v>0</v>
      </c>
      <c r="M112" s="161"/>
    </row>
    <row r="113" spans="1:13" x14ac:dyDescent="0.2">
      <c r="A113" s="140">
        <f>'Plant &amp; Reserve'!$A113</f>
        <v>34545</v>
      </c>
      <c r="B113" s="130" t="str">
        <f>'Plant &amp; Reserve'!$B113</f>
        <v>BB CT No. 5</v>
      </c>
      <c r="C113" s="130"/>
      <c r="D113" s="145">
        <f>'Plant &amp; Reserve'!$D113</f>
        <v>0</v>
      </c>
      <c r="E113" s="145">
        <f>'Plant &amp; Reserve'!$E113</f>
        <v>0</v>
      </c>
      <c r="F113" s="130"/>
      <c r="G113" s="138">
        <f>'Proposed Rates'!$I113</f>
        <v>0</v>
      </c>
      <c r="H113" s="145">
        <f t="shared" si="27"/>
        <v>0</v>
      </c>
      <c r="I113" s="130"/>
      <c r="J113" s="138">
        <f>'Proposed Rates'!$V113</f>
        <v>2.9</v>
      </c>
      <c r="K113" s="145">
        <f t="shared" si="28"/>
        <v>0</v>
      </c>
      <c r="L113" s="145">
        <f>K113-H113</f>
        <v>0</v>
      </c>
      <c r="M113" s="161"/>
    </row>
    <row r="114" spans="1:13" ht="15" x14ac:dyDescent="0.2">
      <c r="A114" s="140">
        <f>'Plant &amp; Reserve'!$A114</f>
        <v>34645</v>
      </c>
      <c r="B114" s="168" t="str">
        <f>'Plant &amp; Reserve'!$B114</f>
        <v>BB CT No. 5</v>
      </c>
      <c r="C114" s="130"/>
      <c r="D114" s="171">
        <f>'Plant &amp; Reserve'!$D114</f>
        <v>0</v>
      </c>
      <c r="E114" s="171">
        <f>'Plant &amp; Reserve'!$E114</f>
        <v>0</v>
      </c>
      <c r="F114" s="130"/>
      <c r="G114" s="170">
        <f>'Proposed Rates'!$I114</f>
        <v>0</v>
      </c>
      <c r="H114" s="172">
        <f t="shared" si="27"/>
        <v>0</v>
      </c>
      <c r="I114" s="130"/>
      <c r="J114" s="170">
        <f>'Proposed Rates'!$V114</f>
        <v>2.9</v>
      </c>
      <c r="K114" s="171">
        <f t="shared" si="28"/>
        <v>0</v>
      </c>
      <c r="L114" s="171">
        <f>K114-H114</f>
        <v>0</v>
      </c>
      <c r="M114" s="161"/>
    </row>
    <row r="115" spans="1:13" x14ac:dyDescent="0.2">
      <c r="A115" s="134"/>
      <c r="B115" s="128" t="s">
        <v>75</v>
      </c>
      <c r="C115" s="130"/>
      <c r="D115" s="173">
        <f>SUM(D110:D114)</f>
        <v>0</v>
      </c>
      <c r="E115" s="173">
        <f>SUM(E110:E114)</f>
        <v>0</v>
      </c>
      <c r="F115" s="130"/>
      <c r="G115" s="177">
        <f>'Proposed Rates'!$I115</f>
        <v>0</v>
      </c>
      <c r="H115" s="173">
        <f>SUM(H110:H114)</f>
        <v>0</v>
      </c>
      <c r="I115" s="130"/>
      <c r="J115" s="177">
        <f>'Proposed Rates'!$V115</f>
        <v>2.9</v>
      </c>
      <c r="K115" s="173">
        <f>SUM(K110:K114)</f>
        <v>0</v>
      </c>
      <c r="L115" s="173">
        <f>SUM(L110:L114)</f>
        <v>0</v>
      </c>
      <c r="M115" s="161"/>
    </row>
    <row r="116" spans="1:13" x14ac:dyDescent="0.2">
      <c r="A116" s="140"/>
      <c r="B116" s="130"/>
      <c r="C116" s="130"/>
      <c r="D116" s="145"/>
      <c r="E116" s="145"/>
      <c r="F116" s="130"/>
      <c r="G116" s="138"/>
      <c r="H116" s="145"/>
      <c r="I116" s="130"/>
      <c r="J116" s="138"/>
      <c r="K116" s="145"/>
      <c r="L116" s="145"/>
      <c r="M116" s="146"/>
    </row>
    <row r="117" spans="1:13" x14ac:dyDescent="0.2">
      <c r="A117" s="140">
        <f>'Plant &amp; Reserve'!$A117</f>
        <v>34146</v>
      </c>
      <c r="B117" s="130" t="str">
        <f>'Plant &amp; Reserve'!$B117</f>
        <v>BB CT No. 6</v>
      </c>
      <c r="C117" s="130"/>
      <c r="D117" s="145">
        <f>'Plant &amp; Reserve'!$D117</f>
        <v>0</v>
      </c>
      <c r="E117" s="145">
        <f>'Plant &amp; Reserve'!$E117</f>
        <v>0</v>
      </c>
      <c r="F117" s="130"/>
      <c r="G117" s="138">
        <f>'Proposed Rates'!$I117</f>
        <v>0</v>
      </c>
      <c r="H117" s="145">
        <f t="shared" ref="H117:H121" si="29">ROUND(($D117*G117)/100,0)</f>
        <v>0</v>
      </c>
      <c r="I117" s="130"/>
      <c r="J117" s="138">
        <f>'Proposed Rates'!$V117</f>
        <v>2.9</v>
      </c>
      <c r="K117" s="145">
        <f t="shared" ref="K117:K121" si="30">ROUND(($D117*J117)/100,0)</f>
        <v>0</v>
      </c>
      <c r="L117" s="145">
        <f>K117-H117</f>
        <v>0</v>
      </c>
      <c r="M117" s="161"/>
    </row>
    <row r="118" spans="1:13" x14ac:dyDescent="0.2">
      <c r="A118" s="140">
        <f>'Plant &amp; Reserve'!$A118</f>
        <v>34246</v>
      </c>
      <c r="B118" s="130" t="str">
        <f>'Plant &amp; Reserve'!$B118</f>
        <v>BB CT No. 6</v>
      </c>
      <c r="C118" s="130"/>
      <c r="D118" s="145">
        <f>'Plant &amp; Reserve'!$D118</f>
        <v>0</v>
      </c>
      <c r="E118" s="145">
        <f>'Plant &amp; Reserve'!$E118</f>
        <v>0</v>
      </c>
      <c r="F118" s="130"/>
      <c r="G118" s="138">
        <f>'Proposed Rates'!$I118</f>
        <v>0</v>
      </c>
      <c r="H118" s="145">
        <f t="shared" si="29"/>
        <v>0</v>
      </c>
      <c r="I118" s="130"/>
      <c r="J118" s="138">
        <f>'Proposed Rates'!$V118</f>
        <v>2.9</v>
      </c>
      <c r="K118" s="145">
        <f t="shared" si="30"/>
        <v>0</v>
      </c>
      <c r="L118" s="145">
        <f>K118-H118</f>
        <v>0</v>
      </c>
      <c r="M118" s="161"/>
    </row>
    <row r="119" spans="1:13" x14ac:dyDescent="0.2">
      <c r="A119" s="140">
        <f>'Plant &amp; Reserve'!$A119</f>
        <v>34346</v>
      </c>
      <c r="B119" s="130" t="str">
        <f>'Plant &amp; Reserve'!$B119</f>
        <v>BB CT No. 6</v>
      </c>
      <c r="C119" s="130"/>
      <c r="D119" s="145">
        <f>'Plant &amp; Reserve'!$D119</f>
        <v>0</v>
      </c>
      <c r="E119" s="145">
        <f>'Plant &amp; Reserve'!$E119</f>
        <v>0</v>
      </c>
      <c r="F119" s="130"/>
      <c r="G119" s="138">
        <f>'Proposed Rates'!$I119</f>
        <v>0</v>
      </c>
      <c r="H119" s="145">
        <f t="shared" si="29"/>
        <v>0</v>
      </c>
      <c r="I119" s="130"/>
      <c r="J119" s="138">
        <f>'Proposed Rates'!$V119</f>
        <v>2.9</v>
      </c>
      <c r="K119" s="145">
        <f t="shared" si="30"/>
        <v>0</v>
      </c>
      <c r="L119" s="145">
        <f>K119-H119</f>
        <v>0</v>
      </c>
      <c r="M119" s="161"/>
    </row>
    <row r="120" spans="1:13" x14ac:dyDescent="0.2">
      <c r="A120" s="140">
        <f>'Plant &amp; Reserve'!$A120</f>
        <v>34546</v>
      </c>
      <c r="B120" s="130" t="str">
        <f>'Plant &amp; Reserve'!$B120</f>
        <v>BB CT No. 6</v>
      </c>
      <c r="C120" s="130"/>
      <c r="D120" s="145">
        <f>'Plant &amp; Reserve'!$D120</f>
        <v>0</v>
      </c>
      <c r="E120" s="145">
        <f>'Plant &amp; Reserve'!$E120</f>
        <v>0</v>
      </c>
      <c r="F120" s="130"/>
      <c r="G120" s="138">
        <f>'Proposed Rates'!$I120</f>
        <v>0</v>
      </c>
      <c r="H120" s="145">
        <f t="shared" si="29"/>
        <v>0</v>
      </c>
      <c r="I120" s="130"/>
      <c r="J120" s="138">
        <f>'Proposed Rates'!$V120</f>
        <v>2.9</v>
      </c>
      <c r="K120" s="145">
        <f t="shared" si="30"/>
        <v>0</v>
      </c>
      <c r="L120" s="145">
        <f>K120-H120</f>
        <v>0</v>
      </c>
      <c r="M120" s="161"/>
    </row>
    <row r="121" spans="1:13" ht="15" x14ac:dyDescent="0.2">
      <c r="A121" s="140">
        <f>'Plant &amp; Reserve'!$A121</f>
        <v>34646</v>
      </c>
      <c r="B121" s="168" t="str">
        <f>'Plant &amp; Reserve'!$B121</f>
        <v>BB CT No. 6</v>
      </c>
      <c r="C121" s="130"/>
      <c r="D121" s="171">
        <f>'Plant &amp; Reserve'!$D121</f>
        <v>0</v>
      </c>
      <c r="E121" s="171">
        <f>'Plant &amp; Reserve'!$E121</f>
        <v>0</v>
      </c>
      <c r="F121" s="130"/>
      <c r="G121" s="170">
        <f>'Proposed Rates'!$I121</f>
        <v>0</v>
      </c>
      <c r="H121" s="172">
        <f t="shared" si="29"/>
        <v>0</v>
      </c>
      <c r="I121" s="130"/>
      <c r="J121" s="170">
        <f>'Proposed Rates'!$V121</f>
        <v>2.9</v>
      </c>
      <c r="K121" s="171">
        <f t="shared" si="30"/>
        <v>0</v>
      </c>
      <c r="L121" s="171">
        <f>K121-H121</f>
        <v>0</v>
      </c>
      <c r="M121" s="161"/>
    </row>
    <row r="122" spans="1:13" x14ac:dyDescent="0.2">
      <c r="A122" s="134"/>
      <c r="B122" s="128" t="s">
        <v>75</v>
      </c>
      <c r="C122" s="130"/>
      <c r="D122" s="173">
        <f>SUM(D117:D121)</f>
        <v>0</v>
      </c>
      <c r="E122" s="173">
        <f>SUM(E117:E121)</f>
        <v>0</v>
      </c>
      <c r="F122" s="130"/>
      <c r="G122" s="177">
        <f>'Proposed Rates'!$I122</f>
        <v>0</v>
      </c>
      <c r="H122" s="173">
        <f>SUM(H117:H121)</f>
        <v>0</v>
      </c>
      <c r="I122" s="130"/>
      <c r="J122" s="177">
        <f>'Proposed Rates'!$V122</f>
        <v>2.9</v>
      </c>
      <c r="K122" s="173">
        <f>SUM(K117:K121)</f>
        <v>0</v>
      </c>
      <c r="L122" s="173">
        <f>SUM(L117:L121)</f>
        <v>0</v>
      </c>
      <c r="M122" s="161"/>
    </row>
    <row r="123" spans="1:13" x14ac:dyDescent="0.2">
      <c r="A123" s="140"/>
      <c r="B123" s="130"/>
      <c r="C123" s="130"/>
      <c r="D123" s="145"/>
      <c r="E123" s="145"/>
      <c r="F123" s="130"/>
      <c r="G123" s="138"/>
      <c r="H123" s="145"/>
      <c r="I123" s="130"/>
      <c r="J123" s="138"/>
      <c r="K123" s="145"/>
      <c r="L123" s="145"/>
      <c r="M123" s="146"/>
    </row>
    <row r="124" spans="1:13" x14ac:dyDescent="0.2">
      <c r="A124" s="140">
        <f>'Plant &amp; Reserve'!$A124</f>
        <v>34143</v>
      </c>
      <c r="B124" s="130" t="str">
        <f>'Plant &amp; Reserve'!$B124</f>
        <v>BB CCST for CT 5-6</v>
      </c>
      <c r="C124" s="130"/>
      <c r="D124" s="145">
        <f>'Plant &amp; Reserve'!$D124</f>
        <v>0</v>
      </c>
      <c r="E124" s="145">
        <f>'Plant &amp; Reserve'!$E124</f>
        <v>0</v>
      </c>
      <c r="F124" s="130"/>
      <c r="G124" s="138">
        <f>'Proposed Rates'!$I124</f>
        <v>0</v>
      </c>
      <c r="H124" s="145">
        <f t="shared" ref="H124:H128" si="31">ROUND(($D124*G124)/100,0)</f>
        <v>0</v>
      </c>
      <c r="I124" s="130"/>
      <c r="J124" s="138">
        <f>'Proposed Rates'!$V124</f>
        <v>2.9</v>
      </c>
      <c r="K124" s="145">
        <f t="shared" ref="K124:K128" si="32">ROUND(($D124*J124)/100,0)</f>
        <v>0</v>
      </c>
      <c r="L124" s="145">
        <f>K124-H124</f>
        <v>0</v>
      </c>
      <c r="M124" s="161"/>
    </row>
    <row r="125" spans="1:13" x14ac:dyDescent="0.2">
      <c r="A125" s="140">
        <f>'Plant &amp; Reserve'!$A125</f>
        <v>34243</v>
      </c>
      <c r="B125" s="130" t="str">
        <f>'Plant &amp; Reserve'!$B125</f>
        <v>BB CCST for CT 5-6</v>
      </c>
      <c r="C125" s="130"/>
      <c r="D125" s="145">
        <f>'Plant &amp; Reserve'!$D125</f>
        <v>0</v>
      </c>
      <c r="E125" s="145">
        <f>'Plant &amp; Reserve'!$E125</f>
        <v>0</v>
      </c>
      <c r="F125" s="130"/>
      <c r="G125" s="138">
        <f>'Proposed Rates'!$I125</f>
        <v>0</v>
      </c>
      <c r="H125" s="145">
        <f t="shared" si="31"/>
        <v>0</v>
      </c>
      <c r="I125" s="130"/>
      <c r="J125" s="138">
        <f>'Proposed Rates'!$V125</f>
        <v>2.9</v>
      </c>
      <c r="K125" s="145">
        <f t="shared" si="32"/>
        <v>0</v>
      </c>
      <c r="L125" s="145">
        <f>K125-H125</f>
        <v>0</v>
      </c>
      <c r="M125" s="161"/>
    </row>
    <row r="126" spans="1:13" x14ac:dyDescent="0.2">
      <c r="A126" s="140">
        <f>'Plant &amp; Reserve'!$A126</f>
        <v>34343</v>
      </c>
      <c r="B126" s="130" t="str">
        <f>'Plant &amp; Reserve'!$B126</f>
        <v>BB CCST for CT 5-6</v>
      </c>
      <c r="C126" s="130"/>
      <c r="D126" s="145">
        <f>'Plant &amp; Reserve'!$D126</f>
        <v>0</v>
      </c>
      <c r="E126" s="145">
        <f>'Plant &amp; Reserve'!$E126</f>
        <v>0</v>
      </c>
      <c r="F126" s="130"/>
      <c r="G126" s="138">
        <f>'Proposed Rates'!$I126</f>
        <v>0</v>
      </c>
      <c r="H126" s="145">
        <f t="shared" si="31"/>
        <v>0</v>
      </c>
      <c r="I126" s="130"/>
      <c r="J126" s="138">
        <f>'Proposed Rates'!$V126</f>
        <v>2.9</v>
      </c>
      <c r="K126" s="145">
        <f t="shared" si="32"/>
        <v>0</v>
      </c>
      <c r="L126" s="145">
        <f>K126-H126</f>
        <v>0</v>
      </c>
      <c r="M126" s="161"/>
    </row>
    <row r="127" spans="1:13" x14ac:dyDescent="0.2">
      <c r="A127" s="140">
        <f>'Plant &amp; Reserve'!$A127</f>
        <v>34543</v>
      </c>
      <c r="B127" s="130" t="str">
        <f>'Plant &amp; Reserve'!$B127</f>
        <v>BB CCST for CT 5-6</v>
      </c>
      <c r="C127" s="130"/>
      <c r="D127" s="145">
        <f>'Plant &amp; Reserve'!$D127</f>
        <v>0</v>
      </c>
      <c r="E127" s="145">
        <f>'Plant &amp; Reserve'!$E127</f>
        <v>0</v>
      </c>
      <c r="F127" s="130"/>
      <c r="G127" s="138">
        <f>'Proposed Rates'!$I127</f>
        <v>0</v>
      </c>
      <c r="H127" s="145">
        <f t="shared" si="31"/>
        <v>0</v>
      </c>
      <c r="I127" s="130"/>
      <c r="J127" s="138">
        <f>'Proposed Rates'!$V127</f>
        <v>2.9</v>
      </c>
      <c r="K127" s="145">
        <f t="shared" si="32"/>
        <v>0</v>
      </c>
      <c r="L127" s="145">
        <f>K127-H127</f>
        <v>0</v>
      </c>
      <c r="M127" s="161"/>
    </row>
    <row r="128" spans="1:13" ht="15" x14ac:dyDescent="0.2">
      <c r="A128" s="140">
        <f>'Plant &amp; Reserve'!$A128</f>
        <v>34643</v>
      </c>
      <c r="B128" s="168" t="str">
        <f>'Plant &amp; Reserve'!$B128</f>
        <v>BB CCST for CT 5-6</v>
      </c>
      <c r="C128" s="130"/>
      <c r="D128" s="171">
        <f>'Plant &amp; Reserve'!$D128</f>
        <v>0</v>
      </c>
      <c r="E128" s="171">
        <f>'Plant &amp; Reserve'!$E128</f>
        <v>0</v>
      </c>
      <c r="F128" s="130"/>
      <c r="G128" s="170">
        <f>'Proposed Rates'!$I128</f>
        <v>0</v>
      </c>
      <c r="H128" s="172">
        <f t="shared" si="31"/>
        <v>0</v>
      </c>
      <c r="I128" s="130"/>
      <c r="J128" s="170">
        <f>'Proposed Rates'!$V128</f>
        <v>2.9</v>
      </c>
      <c r="K128" s="171">
        <f t="shared" si="32"/>
        <v>0</v>
      </c>
      <c r="L128" s="171">
        <f>K128-H128</f>
        <v>0</v>
      </c>
      <c r="M128" s="161"/>
    </row>
    <row r="129" spans="1:13" x14ac:dyDescent="0.2">
      <c r="A129" s="134"/>
      <c r="B129" s="128" t="s">
        <v>75</v>
      </c>
      <c r="C129" s="130"/>
      <c r="D129" s="173">
        <f>SUM(D124:D128)</f>
        <v>0</v>
      </c>
      <c r="E129" s="173">
        <f>SUM(E124:E128)</f>
        <v>0</v>
      </c>
      <c r="F129" s="130"/>
      <c r="G129" s="177">
        <f>'Proposed Rates'!$I129</f>
        <v>0</v>
      </c>
      <c r="H129" s="173">
        <f>SUM(H124:H128)</f>
        <v>0</v>
      </c>
      <c r="I129" s="130"/>
      <c r="J129" s="177">
        <f>'Proposed Rates'!$V129</f>
        <v>2.9</v>
      </c>
      <c r="K129" s="173">
        <f>SUM(K124:K128)</f>
        <v>0</v>
      </c>
      <c r="L129" s="173">
        <f>SUM(L124:L128)</f>
        <v>0</v>
      </c>
      <c r="M129" s="161"/>
    </row>
    <row r="130" spans="1:13" ht="13.5" thickBot="1" x14ac:dyDescent="0.25">
      <c r="A130" s="493"/>
      <c r="B130" s="493"/>
      <c r="C130" s="130"/>
      <c r="D130" s="182"/>
      <c r="E130" s="182"/>
      <c r="F130" s="130"/>
      <c r="G130" s="493"/>
      <c r="H130" s="493"/>
      <c r="I130" s="130"/>
      <c r="J130" s="493"/>
      <c r="K130" s="493"/>
      <c r="L130" s="493"/>
      <c r="M130" s="146"/>
    </row>
    <row r="131" spans="1:13" ht="19.5" customHeight="1" thickTop="1" thickBot="1" x14ac:dyDescent="0.25">
      <c r="A131" s="494"/>
      <c r="B131" s="384"/>
      <c r="C131" s="130"/>
      <c r="D131" s="196">
        <f>SUM(D108,D115,D122,D129)</f>
        <v>40842136</v>
      </c>
      <c r="E131" s="196">
        <f>SUM(E108,E115,E122,E129)</f>
        <v>14743407</v>
      </c>
      <c r="F131" s="130"/>
      <c r="G131" s="826">
        <f>IF($D131=0,0,H131/$D131*100)</f>
        <v>3.8634561130691107</v>
      </c>
      <c r="H131" s="196">
        <f>SUM(H108,H115,H122,H129)</f>
        <v>1577918</v>
      </c>
      <c r="I131" s="130"/>
      <c r="J131" s="826">
        <f>IF($D131=0,0,K131/$D131*100)</f>
        <v>2.9996447786178471</v>
      </c>
      <c r="K131" s="196">
        <f>SUM(K108,K115,K122,K129)</f>
        <v>1225119</v>
      </c>
      <c r="L131" s="196">
        <f>SUM(L108,L115,L122,L129)</f>
        <v>-352799</v>
      </c>
      <c r="M131" s="146"/>
    </row>
    <row r="132" spans="1:13" ht="13.5" thickTop="1" x14ac:dyDescent="0.2">
      <c r="A132" s="134"/>
      <c r="B132" s="805"/>
      <c r="C132" s="130"/>
      <c r="D132" s="145"/>
      <c r="E132" s="145"/>
      <c r="F132" s="130"/>
      <c r="G132" s="138"/>
      <c r="H132" s="145"/>
      <c r="I132" s="130"/>
      <c r="J132" s="138"/>
      <c r="K132" s="145"/>
      <c r="L132" s="145"/>
      <c r="M132" s="146"/>
    </row>
    <row r="133" spans="1:13" x14ac:dyDescent="0.2">
      <c r="A133" s="134"/>
      <c r="B133" s="144" t="s">
        <v>62</v>
      </c>
      <c r="C133" s="130"/>
      <c r="D133" s="145"/>
      <c r="E133" s="145"/>
      <c r="F133" s="130"/>
      <c r="G133" s="138"/>
      <c r="H133" s="145"/>
      <c r="I133" s="130"/>
      <c r="J133" s="138"/>
      <c r="K133" s="145"/>
      <c r="L133" s="145"/>
      <c r="M133" s="146"/>
    </row>
    <row r="134" spans="1:13" x14ac:dyDescent="0.2">
      <c r="A134" s="134"/>
      <c r="B134" s="130"/>
      <c r="C134" s="130"/>
      <c r="D134" s="145"/>
      <c r="E134" s="145"/>
      <c r="F134" s="130"/>
      <c r="G134" s="138"/>
      <c r="H134" s="145"/>
      <c r="I134" s="130"/>
      <c r="J134" s="138"/>
      <c r="K134" s="145"/>
      <c r="L134" s="145"/>
      <c r="M134" s="146"/>
    </row>
    <row r="135" spans="1:13" x14ac:dyDescent="0.2">
      <c r="A135" s="140">
        <f>'Plant &amp; Reserve'!$A135</f>
        <v>34130</v>
      </c>
      <c r="B135" s="130" t="str">
        <f>'Plant &amp; Reserve'!$B135</f>
        <v>BP Common</v>
      </c>
      <c r="C135" s="130"/>
      <c r="D135" s="145">
        <f>'Plant &amp; Reserve'!$D135</f>
        <v>81547564</v>
      </c>
      <c r="E135" s="145">
        <f>'Plant &amp; Reserve'!$E135</f>
        <v>19408920</v>
      </c>
      <c r="F135" s="130"/>
      <c r="G135" s="138">
        <f>'Proposed Rates'!$I135</f>
        <v>2.2999999999999998</v>
      </c>
      <c r="H135" s="145">
        <f t="shared" ref="H135:H139" si="33">ROUND(($D135*G135)/100,0)</f>
        <v>1875594</v>
      </c>
      <c r="I135" s="130"/>
      <c r="J135" s="138">
        <f>'Proposed Rates'!$V135</f>
        <v>3.4</v>
      </c>
      <c r="K135" s="145">
        <f t="shared" ref="K135:K139" si="34">ROUND(($D135*J135)/100,0)</f>
        <v>2772617</v>
      </c>
      <c r="L135" s="145">
        <f>K135-H135</f>
        <v>897023</v>
      </c>
      <c r="M135" s="161"/>
    </row>
    <row r="136" spans="1:13" x14ac:dyDescent="0.2">
      <c r="A136" s="140">
        <f>'Plant &amp; Reserve'!$A136</f>
        <v>34230</v>
      </c>
      <c r="B136" s="130" t="str">
        <f>'Plant &amp; Reserve'!$B136</f>
        <v>BP Common</v>
      </c>
      <c r="C136" s="130"/>
      <c r="D136" s="145">
        <f>'Plant &amp; Reserve'!$D136</f>
        <v>22466368</v>
      </c>
      <c r="E136" s="145">
        <f>'Plant &amp; Reserve'!$E136</f>
        <v>6639604</v>
      </c>
      <c r="F136" s="130"/>
      <c r="G136" s="138">
        <f>'Proposed Rates'!$I136</f>
        <v>2.5</v>
      </c>
      <c r="H136" s="145">
        <f t="shared" si="33"/>
        <v>561659</v>
      </c>
      <c r="I136" s="130"/>
      <c r="J136" s="138">
        <f>'Proposed Rates'!$V136</f>
        <v>3</v>
      </c>
      <c r="K136" s="145">
        <f t="shared" si="34"/>
        <v>673991</v>
      </c>
      <c r="L136" s="145">
        <f>K136-H136</f>
        <v>112332</v>
      </c>
      <c r="M136" s="161"/>
    </row>
    <row r="137" spans="1:13" x14ac:dyDescent="0.2">
      <c r="A137" s="140">
        <f>'Plant &amp; Reserve'!$A137</f>
        <v>34330</v>
      </c>
      <c r="B137" s="130" t="str">
        <f>'Plant &amp; Reserve'!$B137</f>
        <v>BP Common</v>
      </c>
      <c r="C137" s="130"/>
      <c r="D137" s="145">
        <f>'Plant &amp; Reserve'!$D137</f>
        <v>35297617</v>
      </c>
      <c r="E137" s="145">
        <f>'Plant &amp; Reserve'!$E137</f>
        <v>12106612</v>
      </c>
      <c r="F137" s="130"/>
      <c r="G137" s="138">
        <f>'Proposed Rates'!$I137</f>
        <v>3.2</v>
      </c>
      <c r="H137" s="145">
        <f t="shared" si="33"/>
        <v>1129524</v>
      </c>
      <c r="I137" s="130"/>
      <c r="J137" s="138">
        <f>'Proposed Rates'!$V137</f>
        <v>5.5</v>
      </c>
      <c r="K137" s="145">
        <f t="shared" si="34"/>
        <v>1941369</v>
      </c>
      <c r="L137" s="145">
        <f>K137-H137</f>
        <v>811845</v>
      </c>
      <c r="M137" s="161"/>
    </row>
    <row r="138" spans="1:13" x14ac:dyDescent="0.2">
      <c r="A138" s="140">
        <f>'Plant &amp; Reserve'!$A138</f>
        <v>34530</v>
      </c>
      <c r="B138" s="130" t="str">
        <f>'Plant &amp; Reserve'!$B138</f>
        <v>BP Common</v>
      </c>
      <c r="C138" s="130"/>
      <c r="D138" s="145">
        <f>'Plant &amp; Reserve'!$D138</f>
        <v>28880280</v>
      </c>
      <c r="E138" s="145">
        <f>'Plant &amp; Reserve'!$E138</f>
        <v>11452844</v>
      </c>
      <c r="F138" s="130"/>
      <c r="G138" s="138">
        <f>'Proposed Rates'!$I138</f>
        <v>4.2</v>
      </c>
      <c r="H138" s="145">
        <f t="shared" si="33"/>
        <v>1212972</v>
      </c>
      <c r="I138" s="130"/>
      <c r="J138" s="138">
        <f>'Proposed Rates'!$V138</f>
        <v>3.3</v>
      </c>
      <c r="K138" s="145">
        <f t="shared" si="34"/>
        <v>953049</v>
      </c>
      <c r="L138" s="145">
        <f>K138-H138</f>
        <v>-259923</v>
      </c>
      <c r="M138" s="161"/>
    </row>
    <row r="139" spans="1:13" ht="15" x14ac:dyDescent="0.2">
      <c r="A139" s="140">
        <f>'Plant &amp; Reserve'!$A139</f>
        <v>34630</v>
      </c>
      <c r="B139" s="168" t="str">
        <f>'Plant &amp; Reserve'!$B139</f>
        <v>BP Common</v>
      </c>
      <c r="C139" s="130"/>
      <c r="D139" s="171">
        <f>'Plant &amp; Reserve'!$D139</f>
        <v>10878707</v>
      </c>
      <c r="E139" s="171">
        <f>'Plant &amp; Reserve'!$E139</f>
        <v>3569123</v>
      </c>
      <c r="F139" s="130"/>
      <c r="G139" s="170">
        <f>'Proposed Rates'!$I139</f>
        <v>3.2</v>
      </c>
      <c r="H139" s="172">
        <f t="shared" si="33"/>
        <v>348119</v>
      </c>
      <c r="I139" s="130"/>
      <c r="J139" s="170">
        <f>'Proposed Rates'!$V139</f>
        <v>4</v>
      </c>
      <c r="K139" s="171">
        <f t="shared" si="34"/>
        <v>435148</v>
      </c>
      <c r="L139" s="171">
        <f>K139-H139</f>
        <v>87029</v>
      </c>
      <c r="M139" s="161"/>
    </row>
    <row r="140" spans="1:13" x14ac:dyDescent="0.2">
      <c r="A140" s="134"/>
      <c r="B140" s="128" t="s">
        <v>75</v>
      </c>
      <c r="C140" s="130"/>
      <c r="D140" s="173">
        <f>SUM(D135:D139)</f>
        <v>179070536</v>
      </c>
      <c r="E140" s="173">
        <f>SUM(E135:E139)</f>
        <v>53177103</v>
      </c>
      <c r="F140" s="130"/>
      <c r="G140" s="177">
        <f>'Proposed Rates'!$I140</f>
        <v>2.6</v>
      </c>
      <c r="H140" s="173">
        <f>SUM(H135:H139)</f>
        <v>5127868</v>
      </c>
      <c r="I140" s="130"/>
      <c r="J140" s="177">
        <f>'Proposed Rates'!$V140</f>
        <v>3.5</v>
      </c>
      <c r="K140" s="173">
        <f>SUM(K135:K139)</f>
        <v>6776174</v>
      </c>
      <c r="L140" s="173">
        <f>SUM(L135:L139)</f>
        <v>1648306</v>
      </c>
      <c r="M140" s="161"/>
    </row>
    <row r="141" spans="1:13" x14ac:dyDescent="0.2">
      <c r="A141" s="134"/>
      <c r="B141" s="130"/>
      <c r="C141" s="130"/>
      <c r="D141" s="145"/>
      <c r="E141" s="145"/>
      <c r="F141" s="130"/>
      <c r="G141" s="138"/>
      <c r="H141" s="145"/>
      <c r="I141" s="130"/>
      <c r="J141" s="138"/>
      <c r="K141" s="145"/>
      <c r="L141" s="145"/>
      <c r="M141" s="146"/>
    </row>
    <row r="142" spans="1:13" x14ac:dyDescent="0.2">
      <c r="A142" s="140">
        <f>'Plant &amp; Reserve'!$A142</f>
        <v>34131</v>
      </c>
      <c r="B142" s="130" t="str">
        <f>'Plant &amp; Reserve'!$B142</f>
        <v>BP Unit No. 1</v>
      </c>
      <c r="C142" s="130"/>
      <c r="D142" s="145">
        <f>'Plant &amp; Reserve'!$D142</f>
        <v>21609095</v>
      </c>
      <c r="E142" s="145">
        <f>'Plant &amp; Reserve'!$E142</f>
        <v>8006595</v>
      </c>
      <c r="F142" s="130"/>
      <c r="G142" s="138">
        <f>'Proposed Rates'!$I142</f>
        <v>2.5</v>
      </c>
      <c r="H142" s="145">
        <f t="shared" ref="H142:H146" si="35">ROUND(($D142*G142)/100,0)</f>
        <v>540227</v>
      </c>
      <c r="I142" s="130"/>
      <c r="J142" s="138">
        <f>'Proposed Rates'!$V142</f>
        <v>3.6</v>
      </c>
      <c r="K142" s="145">
        <f t="shared" ref="K142:K146" si="36">ROUND(($D142*J142)/100,0)</f>
        <v>777927</v>
      </c>
      <c r="L142" s="145">
        <f>K142-H142</f>
        <v>237700</v>
      </c>
      <c r="M142" s="161"/>
    </row>
    <row r="143" spans="1:13" x14ac:dyDescent="0.2">
      <c r="A143" s="140">
        <f>'Plant &amp; Reserve'!$A143</f>
        <v>34231</v>
      </c>
      <c r="B143" s="130" t="str">
        <f>'Plant &amp; Reserve'!$B143</f>
        <v>BP Unit No. 1</v>
      </c>
      <c r="C143" s="130"/>
      <c r="D143" s="145">
        <f>'Plant &amp; Reserve'!$D143</f>
        <v>77801542</v>
      </c>
      <c r="E143" s="145">
        <f>'Plant &amp; Reserve'!$E143</f>
        <v>30617098</v>
      </c>
      <c r="F143" s="130"/>
      <c r="G143" s="138">
        <f>'Proposed Rates'!$I143</f>
        <v>2.9</v>
      </c>
      <c r="H143" s="145">
        <f t="shared" si="35"/>
        <v>2256245</v>
      </c>
      <c r="I143" s="130"/>
      <c r="J143" s="138">
        <f>'Proposed Rates'!$V143</f>
        <v>4</v>
      </c>
      <c r="K143" s="145">
        <f t="shared" si="36"/>
        <v>3112062</v>
      </c>
      <c r="L143" s="145">
        <f>K143-H143</f>
        <v>855817</v>
      </c>
      <c r="M143" s="161"/>
    </row>
    <row r="144" spans="1:13" x14ac:dyDescent="0.2">
      <c r="A144" s="140">
        <f>'Plant &amp; Reserve'!$A144</f>
        <v>34331</v>
      </c>
      <c r="B144" s="130" t="str">
        <f>'Plant &amp; Reserve'!$B144</f>
        <v>BP Unit No. 1</v>
      </c>
      <c r="C144" s="130"/>
      <c r="D144" s="145">
        <f>'Plant &amp; Reserve'!$D144</f>
        <v>209303216</v>
      </c>
      <c r="E144" s="145">
        <f>'Plant &amp; Reserve'!$E144</f>
        <v>56465759</v>
      </c>
      <c r="F144" s="130"/>
      <c r="G144" s="138">
        <f>'Proposed Rates'!$I144</f>
        <v>4.2</v>
      </c>
      <c r="H144" s="145">
        <f t="shared" si="35"/>
        <v>8790735</v>
      </c>
      <c r="I144" s="130"/>
      <c r="J144" s="138">
        <f>'Proposed Rates'!$V144</f>
        <v>6.1</v>
      </c>
      <c r="K144" s="145">
        <f t="shared" si="36"/>
        <v>12767496</v>
      </c>
      <c r="L144" s="145">
        <f>K144-H144</f>
        <v>3976761</v>
      </c>
      <c r="M144" s="161"/>
    </row>
    <row r="145" spans="1:13" x14ac:dyDescent="0.2">
      <c r="A145" s="140">
        <f>'Plant &amp; Reserve'!$A145</f>
        <v>34531</v>
      </c>
      <c r="B145" s="130" t="str">
        <f>'Plant &amp; Reserve'!$B145</f>
        <v>BP Unit No. 1</v>
      </c>
      <c r="C145" s="130"/>
      <c r="D145" s="145">
        <f>'Plant &amp; Reserve'!$D145</f>
        <v>38933916</v>
      </c>
      <c r="E145" s="145">
        <f>'Plant &amp; Reserve'!$E145</f>
        <v>16548964</v>
      </c>
      <c r="F145" s="130"/>
      <c r="G145" s="138">
        <f>'Proposed Rates'!$I145</f>
        <v>3.2</v>
      </c>
      <c r="H145" s="145">
        <f t="shared" si="35"/>
        <v>1245885</v>
      </c>
      <c r="I145" s="130"/>
      <c r="J145" s="138">
        <f>'Proposed Rates'!$V145</f>
        <v>4.0999999999999996</v>
      </c>
      <c r="K145" s="145">
        <f t="shared" si="36"/>
        <v>1596291</v>
      </c>
      <c r="L145" s="145">
        <f>K145-H145</f>
        <v>350406</v>
      </c>
      <c r="M145" s="161"/>
    </row>
    <row r="146" spans="1:13" ht="15" x14ac:dyDescent="0.2">
      <c r="A146" s="140">
        <f>'Plant &amp; Reserve'!$A146</f>
        <v>34631</v>
      </c>
      <c r="B146" s="168" t="str">
        <f>'Plant &amp; Reserve'!$B146</f>
        <v>BP Unit No. 1</v>
      </c>
      <c r="C146" s="130"/>
      <c r="D146" s="171">
        <f>'Plant &amp; Reserve'!$D146</f>
        <v>1152706</v>
      </c>
      <c r="E146" s="171">
        <f>'Plant &amp; Reserve'!$E146</f>
        <v>498317</v>
      </c>
      <c r="F146" s="130"/>
      <c r="G146" s="170">
        <f>'Proposed Rates'!$I146</f>
        <v>2.7</v>
      </c>
      <c r="H146" s="172">
        <f t="shared" si="35"/>
        <v>31123</v>
      </c>
      <c r="I146" s="130"/>
      <c r="J146" s="170">
        <f>'Proposed Rates'!$V146</f>
        <v>3.2</v>
      </c>
      <c r="K146" s="171">
        <f t="shared" si="36"/>
        <v>36887</v>
      </c>
      <c r="L146" s="171">
        <f>K146-H146</f>
        <v>5764</v>
      </c>
      <c r="M146" s="161"/>
    </row>
    <row r="147" spans="1:13" x14ac:dyDescent="0.2">
      <c r="A147" s="134"/>
      <c r="B147" s="128" t="s">
        <v>75</v>
      </c>
      <c r="C147" s="130"/>
      <c r="D147" s="173">
        <f>SUM(D142:D146)</f>
        <v>348800475</v>
      </c>
      <c r="E147" s="173">
        <f>SUM(E142:E146)</f>
        <v>112136733</v>
      </c>
      <c r="F147" s="130"/>
      <c r="G147" s="177">
        <f>'Proposed Rates'!$I147</f>
        <v>3.3</v>
      </c>
      <c r="H147" s="173">
        <f>SUM(H142:H146)</f>
        <v>12864215</v>
      </c>
      <c r="I147" s="130"/>
      <c r="J147" s="177">
        <f>'Proposed Rates'!$V147</f>
        <v>5.0999999999999996</v>
      </c>
      <c r="K147" s="173">
        <f>SUM(K142:K146)</f>
        <v>18290663</v>
      </c>
      <c r="L147" s="173">
        <f>SUM(L142:L146)</f>
        <v>5426448</v>
      </c>
      <c r="M147" s="161"/>
    </row>
    <row r="148" spans="1:13" x14ac:dyDescent="0.2">
      <c r="A148" s="134"/>
      <c r="B148" s="130"/>
      <c r="C148" s="130"/>
      <c r="D148" s="145"/>
      <c r="E148" s="145"/>
      <c r="F148" s="130"/>
      <c r="G148" s="138"/>
      <c r="H148" s="145"/>
      <c r="I148" s="130"/>
      <c r="J148" s="138"/>
      <c r="K148" s="145"/>
      <c r="L148" s="145"/>
      <c r="M148" s="146"/>
    </row>
    <row r="149" spans="1:13" x14ac:dyDescent="0.2">
      <c r="A149" s="140">
        <f>'Plant &amp; Reserve'!$A149</f>
        <v>34132</v>
      </c>
      <c r="B149" s="130" t="str">
        <f>'Plant &amp; Reserve'!$B149</f>
        <v>BP Unit No. 2</v>
      </c>
      <c r="C149" s="130"/>
      <c r="D149" s="145">
        <f>'Plant &amp; Reserve'!$D149</f>
        <v>26971966</v>
      </c>
      <c r="E149" s="145">
        <f>'Plant &amp; Reserve'!$E149</f>
        <v>10361333</v>
      </c>
      <c r="F149" s="130"/>
      <c r="G149" s="138">
        <f>'Proposed Rates'!$I149</f>
        <v>2.5</v>
      </c>
      <c r="H149" s="145">
        <f t="shared" ref="H149:H153" si="37">ROUND(($D149*G149)/100,0)</f>
        <v>674299</v>
      </c>
      <c r="I149" s="130"/>
      <c r="J149" s="138">
        <f>'Proposed Rates'!$V149</f>
        <v>3.5</v>
      </c>
      <c r="K149" s="145">
        <f t="shared" ref="K149:K153" si="38">ROUND(($D149*J149)/100,0)</f>
        <v>944019</v>
      </c>
      <c r="L149" s="145">
        <f>K149-H149</f>
        <v>269720</v>
      </c>
      <c r="M149" s="161"/>
    </row>
    <row r="150" spans="1:13" x14ac:dyDescent="0.2">
      <c r="A150" s="140">
        <f>'Plant &amp; Reserve'!$A150</f>
        <v>34232</v>
      </c>
      <c r="B150" s="130" t="str">
        <f>'Plant &amp; Reserve'!$B150</f>
        <v>BP Unit No. 2</v>
      </c>
      <c r="C150" s="130"/>
      <c r="D150" s="145">
        <f>'Plant &amp; Reserve'!$D150</f>
        <v>98699482</v>
      </c>
      <c r="E150" s="145">
        <f>'Plant &amp; Reserve'!$E150</f>
        <v>39055273</v>
      </c>
      <c r="F150" s="130"/>
      <c r="G150" s="138">
        <f>'Proposed Rates'!$I150</f>
        <v>2.9</v>
      </c>
      <c r="H150" s="145">
        <f t="shared" si="37"/>
        <v>2862285</v>
      </c>
      <c r="I150" s="130"/>
      <c r="J150" s="138">
        <f>'Proposed Rates'!$V150</f>
        <v>3.9</v>
      </c>
      <c r="K150" s="145">
        <f t="shared" si="38"/>
        <v>3849280</v>
      </c>
      <c r="L150" s="145">
        <f>K150-H150</f>
        <v>986995</v>
      </c>
      <c r="M150" s="161"/>
    </row>
    <row r="151" spans="1:13" x14ac:dyDescent="0.2">
      <c r="A151" s="140">
        <f>'Plant &amp; Reserve'!$A151</f>
        <v>34332</v>
      </c>
      <c r="B151" s="130" t="str">
        <f>'Plant &amp; Reserve'!$B151</f>
        <v>BP Unit No. 2</v>
      </c>
      <c r="C151" s="130"/>
      <c r="D151" s="145">
        <f>'Plant &amp; Reserve'!$D151</f>
        <v>286570778</v>
      </c>
      <c r="E151" s="145">
        <f>'Plant &amp; Reserve'!$E151</f>
        <v>65637162</v>
      </c>
      <c r="F151" s="130"/>
      <c r="G151" s="138">
        <f>'Proposed Rates'!$I151</f>
        <v>4.0999999999999996</v>
      </c>
      <c r="H151" s="145">
        <f t="shared" si="37"/>
        <v>11749402</v>
      </c>
      <c r="I151" s="130"/>
      <c r="J151" s="138">
        <f>'Proposed Rates'!$V151</f>
        <v>6.2</v>
      </c>
      <c r="K151" s="145">
        <f t="shared" si="38"/>
        <v>17767388</v>
      </c>
      <c r="L151" s="145">
        <f>K151-H151</f>
        <v>6017986</v>
      </c>
      <c r="M151" s="161"/>
    </row>
    <row r="152" spans="1:13" x14ac:dyDescent="0.2">
      <c r="A152" s="140">
        <f>'Plant &amp; Reserve'!$A152</f>
        <v>34532</v>
      </c>
      <c r="B152" s="130" t="str">
        <f>'Plant &amp; Reserve'!$B152</f>
        <v>BP Unit No. 2</v>
      </c>
      <c r="C152" s="130"/>
      <c r="D152" s="145">
        <f>'Plant &amp; Reserve'!$D152</f>
        <v>43953041</v>
      </c>
      <c r="E152" s="145">
        <f>'Plant &amp; Reserve'!$E152</f>
        <v>17672807</v>
      </c>
      <c r="F152" s="130"/>
      <c r="G152" s="138">
        <f>'Proposed Rates'!$I152</f>
        <v>3.1</v>
      </c>
      <c r="H152" s="145">
        <f t="shared" si="37"/>
        <v>1362544</v>
      </c>
      <c r="I152" s="130"/>
      <c r="J152" s="138">
        <f>'Proposed Rates'!$V152</f>
        <v>4.0999999999999996</v>
      </c>
      <c r="K152" s="145">
        <f t="shared" si="38"/>
        <v>1802075</v>
      </c>
      <c r="L152" s="145">
        <f>K152-H152</f>
        <v>439531</v>
      </c>
      <c r="M152" s="161"/>
    </row>
    <row r="153" spans="1:13" ht="15" x14ac:dyDescent="0.2">
      <c r="A153" s="140">
        <f>'Plant &amp; Reserve'!$A153</f>
        <v>34632</v>
      </c>
      <c r="B153" s="168" t="str">
        <f>'Plant &amp; Reserve'!$B153</f>
        <v>BP Unit No. 2</v>
      </c>
      <c r="C153" s="130"/>
      <c r="D153" s="171">
        <f>'Plant &amp; Reserve'!$D153</f>
        <v>1455592</v>
      </c>
      <c r="E153" s="171">
        <f>'Plant &amp; Reserve'!$E153</f>
        <v>628172</v>
      </c>
      <c r="F153" s="130"/>
      <c r="G153" s="170">
        <f>'Proposed Rates'!$I153</f>
        <v>2.8</v>
      </c>
      <c r="H153" s="172">
        <f t="shared" si="37"/>
        <v>40757</v>
      </c>
      <c r="I153" s="130"/>
      <c r="J153" s="170">
        <f>'Proposed Rates'!$V153</f>
        <v>3.3</v>
      </c>
      <c r="K153" s="171">
        <f t="shared" si="38"/>
        <v>48035</v>
      </c>
      <c r="L153" s="171">
        <f>K153-H153</f>
        <v>7278</v>
      </c>
      <c r="M153" s="161"/>
    </row>
    <row r="154" spans="1:13" x14ac:dyDescent="0.2">
      <c r="A154" s="134"/>
      <c r="B154" s="128" t="s">
        <v>75</v>
      </c>
      <c r="C154" s="130"/>
      <c r="D154" s="173">
        <f>SUM(D149:D153)</f>
        <v>457650859</v>
      </c>
      <c r="E154" s="173">
        <f>SUM(E149:E153)</f>
        <v>133354747</v>
      </c>
      <c r="F154" s="130"/>
      <c r="G154" s="177">
        <f>'Proposed Rates'!$I154</f>
        <v>3.3</v>
      </c>
      <c r="H154" s="173">
        <f>SUM(H149:H153)</f>
        <v>16689287</v>
      </c>
      <c r="I154" s="130"/>
      <c r="J154" s="177">
        <f>'Proposed Rates'!$V154</f>
        <v>5.2</v>
      </c>
      <c r="K154" s="173">
        <f>SUM(K149:K153)</f>
        <v>24410797</v>
      </c>
      <c r="L154" s="173">
        <f>SUM(L149:L153)</f>
        <v>7721510</v>
      </c>
      <c r="M154" s="161"/>
    </row>
    <row r="155" spans="1:13" x14ac:dyDescent="0.2">
      <c r="A155" s="134"/>
      <c r="B155" s="128"/>
      <c r="C155" s="130"/>
      <c r="D155" s="145"/>
      <c r="E155" s="145"/>
      <c r="F155" s="130"/>
      <c r="G155" s="138"/>
      <c r="H155" s="145"/>
      <c r="I155" s="130"/>
      <c r="J155" s="138"/>
      <c r="K155" s="145"/>
      <c r="L155" s="145"/>
      <c r="M155" s="146"/>
    </row>
    <row r="156" spans="1:13" x14ac:dyDescent="0.2">
      <c r="A156" s="140">
        <f>'Plant &amp; Reserve'!$A156</f>
        <v>34133</v>
      </c>
      <c r="B156" s="130" t="str">
        <f>'Plant &amp; Reserve'!$B156</f>
        <v>BP CT No. 3</v>
      </c>
      <c r="C156" s="130"/>
      <c r="D156" s="145">
        <f>'Plant &amp; Reserve'!$D156</f>
        <v>656349</v>
      </c>
      <c r="E156" s="145">
        <f>'Plant &amp; Reserve'!$E156</f>
        <v>-27876</v>
      </c>
      <c r="F156" s="130"/>
      <c r="G156" s="138">
        <f>'Proposed Rates'!$I156</f>
        <v>2.6</v>
      </c>
      <c r="H156" s="145">
        <f t="shared" ref="H156:H160" si="39">ROUND(($D156*G156)/100,0)</f>
        <v>17065</v>
      </c>
      <c r="I156" s="130"/>
      <c r="J156" s="138">
        <f>'Proposed Rates'!$V156</f>
        <v>3.5</v>
      </c>
      <c r="K156" s="145">
        <f t="shared" ref="K156:K160" si="40">ROUND(($D156*J156)/100,0)</f>
        <v>22972</v>
      </c>
      <c r="L156" s="145">
        <f>K156-H156</f>
        <v>5907</v>
      </c>
      <c r="M156" s="161"/>
    </row>
    <row r="157" spans="1:13" x14ac:dyDescent="0.2">
      <c r="A157" s="140">
        <f>'Plant &amp; Reserve'!$A157</f>
        <v>34233</v>
      </c>
      <c r="B157" s="130" t="str">
        <f>'Plant &amp; Reserve'!$B157</f>
        <v>BP CT No. 3</v>
      </c>
      <c r="C157" s="130"/>
      <c r="D157" s="145">
        <f>'Plant &amp; Reserve'!$D157</f>
        <v>3389690</v>
      </c>
      <c r="E157" s="145">
        <f>'Plant &amp; Reserve'!$E157</f>
        <v>873679</v>
      </c>
      <c r="F157" s="130"/>
      <c r="G157" s="138">
        <f>'Proposed Rates'!$I157</f>
        <v>3.6</v>
      </c>
      <c r="H157" s="145">
        <f t="shared" si="39"/>
        <v>122029</v>
      </c>
      <c r="I157" s="130"/>
      <c r="J157" s="138">
        <f>'Proposed Rates'!$V157</f>
        <v>3.2</v>
      </c>
      <c r="K157" s="145">
        <f t="shared" si="40"/>
        <v>108470</v>
      </c>
      <c r="L157" s="145">
        <f>K157-H157</f>
        <v>-13559</v>
      </c>
      <c r="M157" s="161"/>
    </row>
    <row r="158" spans="1:13" x14ac:dyDescent="0.2">
      <c r="A158" s="140">
        <f>'Plant &amp; Reserve'!$A158</f>
        <v>34333</v>
      </c>
      <c r="B158" s="130" t="str">
        <f>'Plant &amp; Reserve'!$B158</f>
        <v>BP CT No. 3</v>
      </c>
      <c r="C158" s="130"/>
      <c r="D158" s="145">
        <f>'Plant &amp; Reserve'!$D158</f>
        <v>15422171</v>
      </c>
      <c r="E158" s="145">
        <f>'Plant &amp; Reserve'!$E158</f>
        <v>6941617</v>
      </c>
      <c r="F158" s="130"/>
      <c r="G158" s="138">
        <f>'Proposed Rates'!$I158</f>
        <v>4</v>
      </c>
      <c r="H158" s="145">
        <f t="shared" si="39"/>
        <v>616887</v>
      </c>
      <c r="I158" s="130"/>
      <c r="J158" s="138">
        <f>'Proposed Rates'!$V158</f>
        <v>3.1</v>
      </c>
      <c r="K158" s="145">
        <f t="shared" si="40"/>
        <v>478087</v>
      </c>
      <c r="L158" s="145">
        <f>K158-H158</f>
        <v>-138800</v>
      </c>
      <c r="M158" s="161"/>
    </row>
    <row r="159" spans="1:13" x14ac:dyDescent="0.2">
      <c r="A159" s="140">
        <f>'Plant &amp; Reserve'!$A159</f>
        <v>34533</v>
      </c>
      <c r="B159" s="130" t="str">
        <f>'Plant &amp; Reserve'!$B159</f>
        <v>BP CT No. 3</v>
      </c>
      <c r="C159" s="130"/>
      <c r="D159" s="145">
        <f>'Plant &amp; Reserve'!$D159</f>
        <v>13966337</v>
      </c>
      <c r="E159" s="145">
        <f>'Plant &amp; Reserve'!$E159</f>
        <v>4237970</v>
      </c>
      <c r="F159" s="130"/>
      <c r="G159" s="138">
        <f>'Proposed Rates'!$I159</f>
        <v>4</v>
      </c>
      <c r="H159" s="145">
        <f t="shared" si="39"/>
        <v>558653</v>
      </c>
      <c r="I159" s="130"/>
      <c r="J159" s="138">
        <f>'Proposed Rates'!$V159</f>
        <v>2.7</v>
      </c>
      <c r="K159" s="145">
        <f t="shared" si="40"/>
        <v>377091</v>
      </c>
      <c r="L159" s="145">
        <f>K159-H159</f>
        <v>-181562</v>
      </c>
      <c r="M159" s="161"/>
    </row>
    <row r="160" spans="1:13" ht="15" x14ac:dyDescent="0.2">
      <c r="A160" s="140">
        <f>'Plant &amp; Reserve'!$A160</f>
        <v>34633</v>
      </c>
      <c r="B160" s="168" t="str">
        <f>'Plant &amp; Reserve'!$B160</f>
        <v>BP CT No. 3</v>
      </c>
      <c r="C160" s="130"/>
      <c r="D160" s="171">
        <f>'Plant &amp; Reserve'!$D160</f>
        <v>905</v>
      </c>
      <c r="E160" s="171">
        <f>'Plant &amp; Reserve'!$E160</f>
        <v>322</v>
      </c>
      <c r="F160" s="130"/>
      <c r="G160" s="170">
        <f>'Proposed Rates'!$I160</f>
        <v>4</v>
      </c>
      <c r="H160" s="172">
        <f t="shared" si="39"/>
        <v>36</v>
      </c>
      <c r="I160" s="130"/>
      <c r="J160" s="170">
        <f>'Proposed Rates'!$V160</f>
        <v>3.4</v>
      </c>
      <c r="K160" s="171">
        <f t="shared" si="40"/>
        <v>31</v>
      </c>
      <c r="L160" s="171">
        <f>K160-H160</f>
        <v>-5</v>
      </c>
      <c r="M160" s="161"/>
    </row>
    <row r="161" spans="1:13" x14ac:dyDescent="0.2">
      <c r="A161" s="134"/>
      <c r="B161" s="128" t="s">
        <v>75</v>
      </c>
      <c r="C161" s="130"/>
      <c r="D161" s="173">
        <f>SUM(D156:D160)</f>
        <v>33435452</v>
      </c>
      <c r="E161" s="173">
        <f>SUM(E156:E160)</f>
        <v>12025712</v>
      </c>
      <c r="F161" s="130"/>
      <c r="G161" s="177">
        <f>'Proposed Rates'!$I161</f>
        <v>2.9</v>
      </c>
      <c r="H161" s="173">
        <f>SUM(H156:H160)</f>
        <v>1314670</v>
      </c>
      <c r="I161" s="130"/>
      <c r="J161" s="177">
        <f>'Proposed Rates'!$V161</f>
        <v>2.9</v>
      </c>
      <c r="K161" s="173">
        <f>SUM(K156:K160)</f>
        <v>986651</v>
      </c>
      <c r="L161" s="173">
        <f>SUM(L156:L160)</f>
        <v>-328019</v>
      </c>
      <c r="M161" s="161"/>
    </row>
    <row r="162" spans="1:13" x14ac:dyDescent="0.2">
      <c r="A162" s="134"/>
      <c r="B162" s="128"/>
      <c r="C162" s="130"/>
      <c r="D162" s="145"/>
      <c r="E162" s="145"/>
      <c r="F162" s="130"/>
      <c r="G162" s="138"/>
      <c r="H162" s="145"/>
      <c r="I162" s="130"/>
      <c r="J162" s="138"/>
      <c r="K162" s="145"/>
      <c r="L162" s="145"/>
      <c r="M162" s="146"/>
    </row>
    <row r="163" spans="1:13" x14ac:dyDescent="0.2">
      <c r="A163" s="140">
        <f>'Plant &amp; Reserve'!$A163</f>
        <v>34134</v>
      </c>
      <c r="B163" s="130" t="str">
        <f>'Plant &amp; Reserve'!$B163</f>
        <v>BP CT No. 4</v>
      </c>
      <c r="C163" s="130"/>
      <c r="D163" s="145">
        <f>'Plant &amp; Reserve'!$D163</f>
        <v>242334</v>
      </c>
      <c r="E163" s="145">
        <f>'Plant &amp; Reserve'!$E163</f>
        <v>-122817</v>
      </c>
      <c r="F163" s="130"/>
      <c r="G163" s="138">
        <f>'Proposed Rates'!$I163</f>
        <v>2.6</v>
      </c>
      <c r="H163" s="145">
        <f t="shared" ref="H163:H167" si="41">ROUND(($D163*G163)/100,0)</f>
        <v>6301</v>
      </c>
      <c r="I163" s="130"/>
      <c r="J163" s="138">
        <f>'Proposed Rates'!$V163</f>
        <v>5.0999999999999996</v>
      </c>
      <c r="K163" s="145">
        <f t="shared" ref="K163:K167" si="42">ROUND(($D163*J163)/100,0)</f>
        <v>12359</v>
      </c>
      <c r="L163" s="145">
        <f>K163-H163</f>
        <v>6058</v>
      </c>
      <c r="M163" s="161"/>
    </row>
    <row r="164" spans="1:13" x14ac:dyDescent="0.2">
      <c r="A164" s="140">
        <f>'Plant &amp; Reserve'!$A164</f>
        <v>34234</v>
      </c>
      <c r="B164" s="130" t="str">
        <f>'Plant &amp; Reserve'!$B164</f>
        <v>BP CT No. 4</v>
      </c>
      <c r="C164" s="130"/>
      <c r="D164" s="145">
        <f>'Plant &amp; Reserve'!$D164</f>
        <v>3362087</v>
      </c>
      <c r="E164" s="145">
        <f>'Plant &amp; Reserve'!$E164</f>
        <v>866518</v>
      </c>
      <c r="F164" s="130"/>
      <c r="G164" s="138">
        <f>'Proposed Rates'!$I164</f>
        <v>3.6</v>
      </c>
      <c r="H164" s="145">
        <f t="shared" si="41"/>
        <v>121035</v>
      </c>
      <c r="I164" s="130"/>
      <c r="J164" s="138">
        <f>'Proposed Rates'!$V164</f>
        <v>3.2</v>
      </c>
      <c r="K164" s="145">
        <f t="shared" si="42"/>
        <v>107587</v>
      </c>
      <c r="L164" s="145">
        <f>K164-H164</f>
        <v>-13448</v>
      </c>
      <c r="M164" s="161"/>
    </row>
    <row r="165" spans="1:13" x14ac:dyDescent="0.2">
      <c r="A165" s="140">
        <f>'Plant &amp; Reserve'!$A165</f>
        <v>34334</v>
      </c>
      <c r="B165" s="130" t="str">
        <f>'Plant &amp; Reserve'!$B165</f>
        <v>BP CT No. 4</v>
      </c>
      <c r="C165" s="130"/>
      <c r="D165" s="145">
        <f>'Plant &amp; Reserve'!$D165</f>
        <v>15839920</v>
      </c>
      <c r="E165" s="145">
        <f>'Plant &amp; Reserve'!$E165</f>
        <v>6950153</v>
      </c>
      <c r="F165" s="130"/>
      <c r="G165" s="138">
        <f>'Proposed Rates'!$I165</f>
        <v>4</v>
      </c>
      <c r="H165" s="145">
        <f t="shared" si="41"/>
        <v>633597</v>
      </c>
      <c r="I165" s="130"/>
      <c r="J165" s="138">
        <f>'Proposed Rates'!$V165</f>
        <v>3.2</v>
      </c>
      <c r="K165" s="145">
        <f t="shared" si="42"/>
        <v>506877</v>
      </c>
      <c r="L165" s="145">
        <f>K165-H165</f>
        <v>-126720</v>
      </c>
      <c r="M165" s="161"/>
    </row>
    <row r="166" spans="1:13" x14ac:dyDescent="0.2">
      <c r="A166" s="140">
        <f>'Plant &amp; Reserve'!$A166</f>
        <v>34534</v>
      </c>
      <c r="B166" s="130" t="str">
        <f>'Plant &amp; Reserve'!$B166</f>
        <v>BP CT No. 4</v>
      </c>
      <c r="C166" s="130"/>
      <c r="D166" s="145">
        <f>'Plant &amp; Reserve'!$D166</f>
        <v>4041456</v>
      </c>
      <c r="E166" s="145">
        <f>'Plant &amp; Reserve'!$E166</f>
        <v>1379865</v>
      </c>
      <c r="F166" s="130"/>
      <c r="G166" s="138">
        <f>'Proposed Rates'!$I166</f>
        <v>4</v>
      </c>
      <c r="H166" s="145">
        <f t="shared" si="41"/>
        <v>161658</v>
      </c>
      <c r="I166" s="130"/>
      <c r="J166" s="138">
        <f>'Proposed Rates'!$V166</f>
        <v>2.8</v>
      </c>
      <c r="K166" s="145">
        <f t="shared" si="42"/>
        <v>113161</v>
      </c>
      <c r="L166" s="145">
        <f>K166-H166</f>
        <v>-48497</v>
      </c>
      <c r="M166" s="161"/>
    </row>
    <row r="167" spans="1:13" ht="15" x14ac:dyDescent="0.2">
      <c r="A167" s="140">
        <f>'Plant &amp; Reserve'!$A167</f>
        <v>34634</v>
      </c>
      <c r="B167" s="168" t="str">
        <f>'Plant &amp; Reserve'!$B167</f>
        <v>BP CT No. 4</v>
      </c>
      <c r="C167" s="130"/>
      <c r="D167" s="171">
        <f>'Plant &amp; Reserve'!$D167</f>
        <v>905</v>
      </c>
      <c r="E167" s="171">
        <f>'Plant &amp; Reserve'!$E167</f>
        <v>322</v>
      </c>
      <c r="F167" s="130"/>
      <c r="G167" s="170">
        <f>'Proposed Rates'!$I167</f>
        <v>4</v>
      </c>
      <c r="H167" s="172">
        <f t="shared" si="41"/>
        <v>36</v>
      </c>
      <c r="I167" s="130"/>
      <c r="J167" s="170">
        <f>'Proposed Rates'!$V167</f>
        <v>3.4</v>
      </c>
      <c r="K167" s="171">
        <f t="shared" si="42"/>
        <v>31</v>
      </c>
      <c r="L167" s="171">
        <f>K167-H167</f>
        <v>-5</v>
      </c>
      <c r="M167" s="161"/>
    </row>
    <row r="168" spans="1:13" x14ac:dyDescent="0.2">
      <c r="A168" s="134"/>
      <c r="B168" s="128" t="s">
        <v>75</v>
      </c>
      <c r="C168" s="130"/>
      <c r="D168" s="173">
        <f>SUM(D163:D167)</f>
        <v>23486702</v>
      </c>
      <c r="E168" s="173">
        <f>SUM(E163:E167)</f>
        <v>9074041</v>
      </c>
      <c r="F168" s="130"/>
      <c r="G168" s="177">
        <f>'Proposed Rates'!$I168</f>
        <v>3.1</v>
      </c>
      <c r="H168" s="173">
        <f>SUM(H163:H167)</f>
        <v>922627</v>
      </c>
      <c r="I168" s="130"/>
      <c r="J168" s="177">
        <f>'Proposed Rates'!$V168</f>
        <v>3.1</v>
      </c>
      <c r="K168" s="173">
        <f>SUM(K163:K167)</f>
        <v>740015</v>
      </c>
      <c r="L168" s="173">
        <f>SUM(L163:L167)</f>
        <v>-182612</v>
      </c>
      <c r="M168" s="161"/>
    </row>
    <row r="169" spans="1:13" x14ac:dyDescent="0.2">
      <c r="A169" s="134"/>
      <c r="B169" s="128"/>
      <c r="C169" s="130"/>
      <c r="D169" s="145"/>
      <c r="E169" s="145"/>
      <c r="F169" s="130"/>
      <c r="G169" s="138"/>
      <c r="H169" s="145"/>
      <c r="I169" s="130"/>
      <c r="J169" s="138"/>
      <c r="K169" s="145"/>
      <c r="L169" s="145"/>
      <c r="M169" s="146"/>
    </row>
    <row r="170" spans="1:13" x14ac:dyDescent="0.2">
      <c r="A170" s="140">
        <f>'Plant &amp; Reserve'!$A170</f>
        <v>34135</v>
      </c>
      <c r="B170" s="130" t="str">
        <f>'Plant &amp; Reserve'!$B170</f>
        <v>BP CT No. 5</v>
      </c>
      <c r="C170" s="130"/>
      <c r="D170" s="145">
        <f>'Plant &amp; Reserve'!$D170</f>
        <v>793114</v>
      </c>
      <c r="E170" s="145">
        <f>'Plant &amp; Reserve'!$E170</f>
        <v>-173609</v>
      </c>
      <c r="F170" s="130"/>
      <c r="G170" s="138">
        <f>'Proposed Rates'!$I170</f>
        <v>2.6</v>
      </c>
      <c r="H170" s="145">
        <f t="shared" ref="H170:H174" si="43">ROUND(($D170*G170)/100,0)</f>
        <v>20621</v>
      </c>
      <c r="I170" s="130"/>
      <c r="J170" s="138">
        <f>'Proposed Rates'!$V170</f>
        <v>4.4000000000000004</v>
      </c>
      <c r="K170" s="145">
        <f t="shared" ref="K170:K174" si="44">ROUND(($D170*J170)/100,0)</f>
        <v>34897</v>
      </c>
      <c r="L170" s="145">
        <f>K170-H170</f>
        <v>14276</v>
      </c>
      <c r="M170" s="161"/>
    </row>
    <row r="171" spans="1:13" x14ac:dyDescent="0.2">
      <c r="A171" s="140">
        <f>'Plant &amp; Reserve'!$A171</f>
        <v>34235</v>
      </c>
      <c r="B171" s="130" t="str">
        <f>'Plant &amp; Reserve'!$B171</f>
        <v>BP CT No. 5</v>
      </c>
      <c r="C171" s="130"/>
      <c r="D171" s="145">
        <f>'Plant &amp; Reserve'!$D171</f>
        <v>2008467</v>
      </c>
      <c r="E171" s="145">
        <f>'Plant &amp; Reserve'!$E171</f>
        <v>542183</v>
      </c>
      <c r="F171" s="130"/>
      <c r="G171" s="138">
        <f>'Proposed Rates'!$I171</f>
        <v>3.6</v>
      </c>
      <c r="H171" s="145">
        <f t="shared" si="43"/>
        <v>72305</v>
      </c>
      <c r="I171" s="130"/>
      <c r="J171" s="138">
        <f>'Proposed Rates'!$V171</f>
        <v>3.3</v>
      </c>
      <c r="K171" s="145">
        <f t="shared" si="44"/>
        <v>66279</v>
      </c>
      <c r="L171" s="145">
        <f>K171-H171</f>
        <v>-6026</v>
      </c>
      <c r="M171" s="161"/>
    </row>
    <row r="172" spans="1:13" x14ac:dyDescent="0.2">
      <c r="A172" s="140">
        <f>'Plant &amp; Reserve'!$A172</f>
        <v>34335</v>
      </c>
      <c r="B172" s="130" t="str">
        <f>'Plant &amp; Reserve'!$B172</f>
        <v>BP CT No. 5</v>
      </c>
      <c r="C172" s="130"/>
      <c r="D172" s="145">
        <f>'Plant &amp; Reserve'!$D172</f>
        <v>18588289</v>
      </c>
      <c r="E172" s="145">
        <f>'Plant &amp; Reserve'!$E172</f>
        <v>8715074</v>
      </c>
      <c r="F172" s="130"/>
      <c r="G172" s="138">
        <f>'Proposed Rates'!$I172</f>
        <v>4</v>
      </c>
      <c r="H172" s="145">
        <f t="shared" si="43"/>
        <v>743532</v>
      </c>
      <c r="I172" s="130"/>
      <c r="J172" s="138">
        <f>'Proposed Rates'!$V172</f>
        <v>3.4</v>
      </c>
      <c r="K172" s="145">
        <f t="shared" si="44"/>
        <v>632002</v>
      </c>
      <c r="L172" s="145">
        <f>K172-H172</f>
        <v>-111530</v>
      </c>
      <c r="M172" s="161"/>
    </row>
    <row r="173" spans="1:13" x14ac:dyDescent="0.2">
      <c r="A173" s="140">
        <f>'Plant &amp; Reserve'!$A173</f>
        <v>34535</v>
      </c>
      <c r="B173" s="130" t="str">
        <f>'Plant &amp; Reserve'!$B173</f>
        <v>BP CT No. 5</v>
      </c>
      <c r="C173" s="130"/>
      <c r="D173" s="145">
        <f>'Plant &amp; Reserve'!$D173</f>
        <v>10147531</v>
      </c>
      <c r="E173" s="145">
        <f>'Plant &amp; Reserve'!$E173</f>
        <v>3538101</v>
      </c>
      <c r="F173" s="130"/>
      <c r="G173" s="138">
        <f>'Proposed Rates'!$I173</f>
        <v>4</v>
      </c>
      <c r="H173" s="145">
        <f t="shared" si="43"/>
        <v>405901</v>
      </c>
      <c r="I173" s="130"/>
      <c r="J173" s="138">
        <f>'Proposed Rates'!$V173</f>
        <v>2.7</v>
      </c>
      <c r="K173" s="145">
        <f t="shared" si="44"/>
        <v>273983</v>
      </c>
      <c r="L173" s="145">
        <f>K173-H173</f>
        <v>-131918</v>
      </c>
      <c r="M173" s="161"/>
    </row>
    <row r="174" spans="1:13" ht="15" x14ac:dyDescent="0.2">
      <c r="A174" s="140">
        <f>'Plant &amp; Reserve'!$A174</f>
        <v>34635</v>
      </c>
      <c r="B174" s="168" t="str">
        <f>'Plant &amp; Reserve'!$B174</f>
        <v>BP CT No. 5</v>
      </c>
      <c r="C174" s="130"/>
      <c r="D174" s="171">
        <f>'Plant &amp; Reserve'!$D174</f>
        <v>0</v>
      </c>
      <c r="E174" s="171">
        <f>'Plant &amp; Reserve'!$E174</f>
        <v>0</v>
      </c>
      <c r="F174" s="130"/>
      <c r="G174" s="170">
        <f>'Proposed Rates'!$I174</f>
        <v>4</v>
      </c>
      <c r="H174" s="172">
        <f t="shared" si="43"/>
        <v>0</v>
      </c>
      <c r="I174" s="130"/>
      <c r="J174" s="170">
        <f>'Proposed Rates'!$V174</f>
        <v>3.9</v>
      </c>
      <c r="K174" s="171">
        <f t="shared" si="44"/>
        <v>0</v>
      </c>
      <c r="L174" s="171">
        <f>K174-H174</f>
        <v>0</v>
      </c>
      <c r="M174" s="161"/>
    </row>
    <row r="175" spans="1:13" x14ac:dyDescent="0.2">
      <c r="A175" s="134"/>
      <c r="B175" s="128" t="s">
        <v>75</v>
      </c>
      <c r="C175" s="130"/>
      <c r="D175" s="173">
        <f>SUM(D170:D174)</f>
        <v>31537401</v>
      </c>
      <c r="E175" s="173">
        <f>SUM(E170:E174)</f>
        <v>12621749</v>
      </c>
      <c r="F175" s="130"/>
      <c r="G175" s="177">
        <f>'Proposed Rates'!$I175</f>
        <v>3.2</v>
      </c>
      <c r="H175" s="173">
        <f>SUM(H170:H174)</f>
        <v>1242359</v>
      </c>
      <c r="I175" s="130"/>
      <c r="J175" s="177">
        <f>'Proposed Rates'!$V175</f>
        <v>3.1</v>
      </c>
      <c r="K175" s="173">
        <f>SUM(K170:K174)</f>
        <v>1007161</v>
      </c>
      <c r="L175" s="173">
        <f>SUM(L170:L174)</f>
        <v>-235198</v>
      </c>
      <c r="M175" s="161"/>
    </row>
    <row r="176" spans="1:13" x14ac:dyDescent="0.2">
      <c r="A176" s="134"/>
      <c r="B176" s="128"/>
      <c r="C176" s="130"/>
      <c r="D176" s="145"/>
      <c r="E176" s="145"/>
      <c r="F176" s="130"/>
      <c r="G176" s="138"/>
      <c r="H176" s="145"/>
      <c r="I176" s="130"/>
      <c r="J176" s="138"/>
      <c r="K176" s="145"/>
      <c r="L176" s="145"/>
      <c r="M176" s="146"/>
    </row>
    <row r="177" spans="1:13" x14ac:dyDescent="0.2">
      <c r="A177" s="140">
        <f>'Plant &amp; Reserve'!$A177</f>
        <v>34136</v>
      </c>
      <c r="B177" s="130" t="str">
        <f>'Plant &amp; Reserve'!$B177</f>
        <v>BP CT No. 6</v>
      </c>
      <c r="C177" s="130"/>
      <c r="D177" s="145">
        <f>'Plant &amp; Reserve'!$D177</f>
        <v>2656232</v>
      </c>
      <c r="E177" s="145">
        <f>'Plant &amp; Reserve'!$E177</f>
        <v>309934</v>
      </c>
      <c r="F177" s="130"/>
      <c r="G177" s="138">
        <f>'Proposed Rates'!$I177</f>
        <v>2.6</v>
      </c>
      <c r="H177" s="145">
        <f t="shared" ref="H177:H181" si="45">ROUND(($D177*G177)/100,0)</f>
        <v>69062</v>
      </c>
      <c r="I177" s="130"/>
      <c r="J177" s="138">
        <f>'Proposed Rates'!$V177</f>
        <v>3.1</v>
      </c>
      <c r="K177" s="145">
        <f t="shared" ref="K177:K181" si="46">ROUND(($D177*J177)/100,0)</f>
        <v>82343</v>
      </c>
      <c r="L177" s="145">
        <f>K177-H177</f>
        <v>13281</v>
      </c>
      <c r="M177" s="161"/>
    </row>
    <row r="178" spans="1:13" x14ac:dyDescent="0.2">
      <c r="A178" s="140">
        <f>'Plant &amp; Reserve'!$A178</f>
        <v>34236</v>
      </c>
      <c r="B178" s="130" t="str">
        <f>'Plant &amp; Reserve'!$B178</f>
        <v>BP CT No. 6</v>
      </c>
      <c r="C178" s="130"/>
      <c r="D178" s="145">
        <f>'Plant &amp; Reserve'!$D178</f>
        <v>1537279</v>
      </c>
      <c r="E178" s="145">
        <f>'Plant &amp; Reserve'!$E178</f>
        <v>365569</v>
      </c>
      <c r="F178" s="130"/>
      <c r="G178" s="138">
        <f>'Proposed Rates'!$I178</f>
        <v>3.6</v>
      </c>
      <c r="H178" s="145">
        <f t="shared" si="45"/>
        <v>55342</v>
      </c>
      <c r="I178" s="130"/>
      <c r="J178" s="138">
        <f>'Proposed Rates'!$V178</f>
        <v>3.7</v>
      </c>
      <c r="K178" s="145">
        <f t="shared" si="46"/>
        <v>56879</v>
      </c>
      <c r="L178" s="145">
        <f>K178-H178</f>
        <v>1537</v>
      </c>
      <c r="M178" s="161"/>
    </row>
    <row r="179" spans="1:13" x14ac:dyDescent="0.2">
      <c r="A179" s="140">
        <f>'Plant &amp; Reserve'!$A179</f>
        <v>34336</v>
      </c>
      <c r="B179" s="130" t="str">
        <f>'Plant &amp; Reserve'!$B179</f>
        <v>BP CT No. 6</v>
      </c>
      <c r="C179" s="130"/>
      <c r="D179" s="145">
        <f>'Plant &amp; Reserve'!$D179</f>
        <v>17478929</v>
      </c>
      <c r="E179" s="145">
        <f>'Plant &amp; Reserve'!$E179</f>
        <v>8817953</v>
      </c>
      <c r="F179" s="130"/>
      <c r="G179" s="138">
        <f>'Proposed Rates'!$I179</f>
        <v>4</v>
      </c>
      <c r="H179" s="145">
        <f t="shared" si="45"/>
        <v>699157</v>
      </c>
      <c r="I179" s="130"/>
      <c r="J179" s="138">
        <f>'Proposed Rates'!$V179</f>
        <v>2.7</v>
      </c>
      <c r="K179" s="145">
        <f t="shared" si="46"/>
        <v>471931</v>
      </c>
      <c r="L179" s="145">
        <f>K179-H179</f>
        <v>-227226</v>
      </c>
      <c r="M179" s="161"/>
    </row>
    <row r="180" spans="1:13" x14ac:dyDescent="0.2">
      <c r="A180" s="140">
        <f>'Plant &amp; Reserve'!$A180</f>
        <v>34536</v>
      </c>
      <c r="B180" s="130" t="str">
        <f>'Plant &amp; Reserve'!$B180</f>
        <v>BP CT No. 6</v>
      </c>
      <c r="C180" s="130"/>
      <c r="D180" s="145">
        <f>'Plant &amp; Reserve'!$D180</f>
        <v>14209232</v>
      </c>
      <c r="E180" s="145">
        <f>'Plant &amp; Reserve'!$E180</f>
        <v>4871264</v>
      </c>
      <c r="F180" s="130"/>
      <c r="G180" s="138">
        <f>'Proposed Rates'!$I180</f>
        <v>4</v>
      </c>
      <c r="H180" s="145">
        <f t="shared" si="45"/>
        <v>568369</v>
      </c>
      <c r="I180" s="130"/>
      <c r="J180" s="138">
        <f>'Proposed Rates'!$V180</f>
        <v>2.8</v>
      </c>
      <c r="K180" s="145">
        <f t="shared" si="46"/>
        <v>397858</v>
      </c>
      <c r="L180" s="145">
        <f>K180-H180</f>
        <v>-170511</v>
      </c>
      <c r="M180" s="161"/>
    </row>
    <row r="181" spans="1:13" ht="15" x14ac:dyDescent="0.2">
      <c r="A181" s="140">
        <f>'Plant &amp; Reserve'!$A181</f>
        <v>34636</v>
      </c>
      <c r="B181" s="168" t="str">
        <f>'Plant &amp; Reserve'!$B181</f>
        <v>BP CT No. 6</v>
      </c>
      <c r="C181" s="130"/>
      <c r="D181" s="171">
        <f>'Plant &amp; Reserve'!$D181</f>
        <v>11736</v>
      </c>
      <c r="E181" s="171">
        <f>'Plant &amp; Reserve'!$E181</f>
        <v>4176</v>
      </c>
      <c r="F181" s="130"/>
      <c r="G181" s="170">
        <f>'Proposed Rates'!$I181</f>
        <v>4</v>
      </c>
      <c r="H181" s="172">
        <f t="shared" si="45"/>
        <v>469</v>
      </c>
      <c r="I181" s="130"/>
      <c r="J181" s="170">
        <f>'Proposed Rates'!$V181</f>
        <v>2.2000000000000002</v>
      </c>
      <c r="K181" s="171">
        <f t="shared" si="46"/>
        <v>258</v>
      </c>
      <c r="L181" s="171">
        <f>K181-H181</f>
        <v>-211</v>
      </c>
      <c r="M181" s="161"/>
    </row>
    <row r="182" spans="1:13" x14ac:dyDescent="0.2">
      <c r="A182" s="134"/>
      <c r="B182" s="128" t="s">
        <v>75</v>
      </c>
      <c r="C182" s="130"/>
      <c r="D182" s="173">
        <f>SUM(D177:D181)</f>
        <v>35893408</v>
      </c>
      <c r="E182" s="173">
        <f>SUM(E177:E181)</f>
        <v>14368896</v>
      </c>
      <c r="F182" s="130"/>
      <c r="G182" s="177">
        <f>'Proposed Rates'!$I182</f>
        <v>3.1</v>
      </c>
      <c r="H182" s="173">
        <f>SUM(H177:H181)</f>
        <v>1392399</v>
      </c>
      <c r="I182" s="130"/>
      <c r="J182" s="177">
        <f>'Proposed Rates'!$V182</f>
        <v>2.9</v>
      </c>
      <c r="K182" s="173">
        <f>SUM(K177:K181)</f>
        <v>1009269</v>
      </c>
      <c r="L182" s="173">
        <f>SUM(L177:L181)</f>
        <v>-383130</v>
      </c>
      <c r="M182" s="161"/>
    </row>
    <row r="183" spans="1:13" x14ac:dyDescent="0.2">
      <c r="A183" s="134"/>
      <c r="B183" s="828"/>
      <c r="C183" s="130"/>
      <c r="D183" s="145"/>
      <c r="E183" s="145"/>
      <c r="F183" s="130"/>
      <c r="G183" s="138"/>
      <c r="H183" s="145"/>
      <c r="I183" s="145"/>
      <c r="J183" s="145"/>
      <c r="K183" s="145"/>
      <c r="L183" s="145"/>
      <c r="M183" s="161"/>
    </row>
    <row r="184" spans="1:13" x14ac:dyDescent="0.2">
      <c r="A184" s="140">
        <f>'Plant &amp; Reserve'!$A184</f>
        <v>34637</v>
      </c>
      <c r="B184" s="130" t="str">
        <f>'Plant &amp; Reserve'!$B184</f>
        <v>Bayside Amortizable Tools</v>
      </c>
      <c r="C184" s="130"/>
      <c r="D184" s="145">
        <f>'Plant &amp; Reserve'!$D184</f>
        <v>702614.98999999987</v>
      </c>
      <c r="E184" s="145">
        <f>'Plant &amp; Reserve'!$E184</f>
        <v>484556</v>
      </c>
      <c r="F184" s="130"/>
      <c r="G184" s="138">
        <f>'Proposed Rates'!$I184</f>
        <v>14.3</v>
      </c>
      <c r="H184" s="145">
        <f t="shared" ref="H184" si="47">ROUND(($D184*G184)/100,0)</f>
        <v>100474</v>
      </c>
      <c r="I184" s="130"/>
      <c r="J184" s="138">
        <f>'Proposed Rates'!$V184</f>
        <v>14.3</v>
      </c>
      <c r="K184" s="145">
        <f t="shared" ref="K184" si="48">ROUND(($D184*J184)/100,0)</f>
        <v>100474</v>
      </c>
      <c r="L184" s="145">
        <f>K184-H184</f>
        <v>0</v>
      </c>
      <c r="M184" s="161"/>
    </row>
    <row r="185" spans="1:13" ht="13.5" thickBot="1" x14ac:dyDescent="0.25">
      <c r="A185" s="493"/>
      <c r="B185" s="493"/>
      <c r="C185" s="130"/>
      <c r="D185" s="182"/>
      <c r="E185" s="182"/>
      <c r="F185" s="130"/>
      <c r="G185" s="138"/>
      <c r="H185" s="145"/>
      <c r="I185" s="130"/>
      <c r="J185" s="138"/>
      <c r="K185" s="145"/>
      <c r="L185" s="145"/>
      <c r="M185" s="146"/>
    </row>
    <row r="186" spans="1:13" ht="19.5" customHeight="1" thickTop="1" thickBot="1" x14ac:dyDescent="0.25">
      <c r="A186" s="494"/>
      <c r="B186" s="384"/>
      <c r="C186" s="130"/>
      <c r="D186" s="196">
        <f>SUM(D140,D147,D154,D161,D168,D175,D182,D184)</f>
        <v>1110577447.99</v>
      </c>
      <c r="E186" s="196">
        <f>SUM(E140,E147,E154,E161,E168,E175,E182,E184)</f>
        <v>347243537</v>
      </c>
      <c r="F186" s="130"/>
      <c r="G186" s="826">
        <f>IF($D186=0,0,H186/$D186*100)</f>
        <v>3.5705658413799393</v>
      </c>
      <c r="H186" s="196">
        <f>SUM(H140,H147,H154,H161,H168,H175,H182,H184)</f>
        <v>39653899</v>
      </c>
      <c r="I186" s="130"/>
      <c r="J186" s="826">
        <f>IF($D186=0,0,K186/$D186*100)</f>
        <v>4.8012143679402461</v>
      </c>
      <c r="K186" s="196">
        <f>SUM(K140,K147,K154,K161,K168,K175,K182,K184)</f>
        <v>53321204</v>
      </c>
      <c r="L186" s="196">
        <f>SUM(L140,L147,L154,L161,L168,L175,L182,L184)</f>
        <v>13667305</v>
      </c>
      <c r="M186" s="146"/>
    </row>
    <row r="187" spans="1:13" ht="13.5" thickTop="1" x14ac:dyDescent="0.2">
      <c r="A187" s="140"/>
      <c r="B187" s="130"/>
      <c r="C187" s="130"/>
      <c r="D187" s="145"/>
      <c r="E187" s="145"/>
      <c r="F187" s="130"/>
      <c r="G187" s="138"/>
      <c r="H187" s="145"/>
      <c r="I187" s="130"/>
      <c r="J187" s="138"/>
      <c r="K187" s="145"/>
      <c r="L187" s="145"/>
      <c r="M187" s="146"/>
    </row>
    <row r="188" spans="1:13" x14ac:dyDescent="0.2">
      <c r="A188" s="140"/>
      <c r="B188" s="144" t="s">
        <v>64</v>
      </c>
      <c r="C188" s="130"/>
      <c r="D188" s="145"/>
      <c r="E188" s="145"/>
      <c r="F188" s="130"/>
      <c r="G188" s="138"/>
      <c r="H188" s="145"/>
      <c r="I188" s="130"/>
      <c r="J188" s="138"/>
      <c r="K188" s="145"/>
      <c r="L188" s="145"/>
      <c r="M188" s="146"/>
    </row>
    <row r="189" spans="1:13" x14ac:dyDescent="0.2">
      <c r="A189" s="140"/>
      <c r="B189" s="130"/>
      <c r="C189" s="130"/>
      <c r="D189" s="145"/>
      <c r="E189" s="145"/>
      <c r="F189" s="130"/>
      <c r="G189" s="138"/>
      <c r="H189" s="145"/>
      <c r="I189" s="130"/>
      <c r="J189" s="138"/>
      <c r="K189" s="145"/>
      <c r="L189" s="145"/>
      <c r="M189" s="146"/>
    </row>
    <row r="190" spans="1:13" x14ac:dyDescent="0.2">
      <c r="A190" s="140">
        <f>'Plant &amp; Reserve'!$A190</f>
        <v>34180</v>
      </c>
      <c r="B190" s="130" t="str">
        <f>'Plant &amp; Reserve'!$B190</f>
        <v>PK Common</v>
      </c>
      <c r="C190" s="130"/>
      <c r="D190" s="145">
        <f>'Plant &amp; Reserve'!$D190</f>
        <v>190101668</v>
      </c>
      <c r="E190" s="145">
        <f>'Plant &amp; Reserve'!$E190</f>
        <v>41576855</v>
      </c>
      <c r="F190" s="130"/>
      <c r="G190" s="138">
        <f>'Proposed Rates'!$I190</f>
        <v>2.2000000000000002</v>
      </c>
      <c r="H190" s="145">
        <f t="shared" ref="H190:H194" si="49">ROUND(($D190*G190)/100,0)</f>
        <v>4182237</v>
      </c>
      <c r="I190" s="130"/>
      <c r="J190" s="138">
        <f>'Proposed Rates'!$V190</f>
        <v>3.1</v>
      </c>
      <c r="K190" s="145">
        <f t="shared" ref="K190:K194" si="50">ROUND(($D190*J190)/100,0)</f>
        <v>5893152</v>
      </c>
      <c r="L190" s="145">
        <f>K190-H190</f>
        <v>1710915</v>
      </c>
      <c r="M190" s="161"/>
    </row>
    <row r="191" spans="1:13" x14ac:dyDescent="0.2">
      <c r="A191" s="140">
        <f>'Plant &amp; Reserve'!$A191</f>
        <v>34280</v>
      </c>
      <c r="B191" s="130" t="str">
        <f>'Plant &amp; Reserve'!$B191</f>
        <v>PK Common</v>
      </c>
      <c r="C191" s="130"/>
      <c r="D191" s="145">
        <f>'Plant &amp; Reserve'!$D191</f>
        <v>9702986</v>
      </c>
      <c r="E191" s="145">
        <f>'Plant &amp; Reserve'!$E191</f>
        <v>3199499</v>
      </c>
      <c r="F191" s="130"/>
      <c r="G191" s="138">
        <f>'Proposed Rates'!$I191</f>
        <v>3.7</v>
      </c>
      <c r="H191" s="145">
        <f t="shared" si="49"/>
        <v>359010</v>
      </c>
      <c r="I191" s="130"/>
      <c r="J191" s="138">
        <f>'Proposed Rates'!$V191</f>
        <v>3</v>
      </c>
      <c r="K191" s="145">
        <f t="shared" si="50"/>
        <v>291090</v>
      </c>
      <c r="L191" s="145">
        <f>K191-H191</f>
        <v>-67920</v>
      </c>
      <c r="M191" s="161"/>
    </row>
    <row r="192" spans="1:13" x14ac:dyDescent="0.2">
      <c r="A192" s="140">
        <f>'Plant &amp; Reserve'!$A192</f>
        <v>34380</v>
      </c>
      <c r="B192" s="130" t="str">
        <f>'Plant &amp; Reserve'!$B192</f>
        <v>PK Common</v>
      </c>
      <c r="C192" s="130"/>
      <c r="D192" s="145">
        <f>'Plant &amp; Reserve'!$D192</f>
        <v>10424249</v>
      </c>
      <c r="E192" s="145">
        <f>'Plant &amp; Reserve'!$E192</f>
        <v>1646064</v>
      </c>
      <c r="F192" s="130"/>
      <c r="G192" s="138">
        <f>'Proposed Rates'!$I192</f>
        <v>2.2000000000000002</v>
      </c>
      <c r="H192" s="145">
        <f t="shared" si="49"/>
        <v>229333</v>
      </c>
      <c r="I192" s="130"/>
      <c r="J192" s="138">
        <f>'Proposed Rates'!$V192</f>
        <v>3.6</v>
      </c>
      <c r="K192" s="145">
        <f t="shared" si="50"/>
        <v>375273</v>
      </c>
      <c r="L192" s="145">
        <f>K192-H192</f>
        <v>145940</v>
      </c>
      <c r="M192" s="161"/>
    </row>
    <row r="193" spans="1:13" x14ac:dyDescent="0.2">
      <c r="A193" s="140">
        <f>'Plant &amp; Reserve'!$A193</f>
        <v>34580</v>
      </c>
      <c r="B193" s="130" t="str">
        <f>'Plant &amp; Reserve'!$B193</f>
        <v>PK Common</v>
      </c>
      <c r="C193" s="130"/>
      <c r="D193" s="145">
        <f>'Plant &amp; Reserve'!$D193</f>
        <v>13904146</v>
      </c>
      <c r="E193" s="145">
        <f>'Plant &amp; Reserve'!$E193</f>
        <v>2012288</v>
      </c>
      <c r="F193" s="130"/>
      <c r="G193" s="138">
        <f>'Proposed Rates'!$I193</f>
        <v>2.9</v>
      </c>
      <c r="H193" s="145">
        <f t="shared" si="49"/>
        <v>403220</v>
      </c>
      <c r="I193" s="130"/>
      <c r="J193" s="138">
        <f>'Proposed Rates'!$V193</f>
        <v>3.6</v>
      </c>
      <c r="K193" s="145">
        <f t="shared" si="50"/>
        <v>500549</v>
      </c>
      <c r="L193" s="145">
        <f>K193-H193</f>
        <v>97329</v>
      </c>
      <c r="M193" s="161"/>
    </row>
    <row r="194" spans="1:13" ht="15" x14ac:dyDescent="0.2">
      <c r="A194" s="140">
        <f>'Plant &amp; Reserve'!$A194</f>
        <v>34680</v>
      </c>
      <c r="B194" s="168" t="str">
        <f>'Plant &amp; Reserve'!$B194</f>
        <v>PK Common</v>
      </c>
      <c r="C194" s="130"/>
      <c r="D194" s="171">
        <f>'Plant &amp; Reserve'!$D194</f>
        <v>850631</v>
      </c>
      <c r="E194" s="171">
        <f>'Plant &amp; Reserve'!$E194</f>
        <v>-131378</v>
      </c>
      <c r="F194" s="130"/>
      <c r="G194" s="170">
        <f>'Proposed Rates'!$I194</f>
        <v>2.4</v>
      </c>
      <c r="H194" s="172">
        <f t="shared" si="49"/>
        <v>20415</v>
      </c>
      <c r="I194" s="130"/>
      <c r="J194" s="170">
        <f>'Proposed Rates'!$V194</f>
        <v>5.6</v>
      </c>
      <c r="K194" s="171">
        <f t="shared" si="50"/>
        <v>47635</v>
      </c>
      <c r="L194" s="171">
        <f>K194-H194</f>
        <v>27220</v>
      </c>
      <c r="M194" s="161"/>
    </row>
    <row r="195" spans="1:13" x14ac:dyDescent="0.2">
      <c r="A195" s="134"/>
      <c r="B195" s="128" t="s">
        <v>75</v>
      </c>
      <c r="C195" s="130"/>
      <c r="D195" s="173">
        <f>SUM(D190:D194)</f>
        <v>224983680</v>
      </c>
      <c r="E195" s="173">
        <f>SUM(E190:E194)</f>
        <v>48303328</v>
      </c>
      <c r="F195" s="130"/>
      <c r="G195" s="177">
        <f>'Proposed Rates'!$I195</f>
        <v>1.8</v>
      </c>
      <c r="H195" s="173">
        <f>SUM(H190:H194)</f>
        <v>5194215</v>
      </c>
      <c r="I195" s="130"/>
      <c r="J195" s="177">
        <f>'Proposed Rates'!$V195</f>
        <v>3.1</v>
      </c>
      <c r="K195" s="173">
        <f>SUM(K190:K194)</f>
        <v>7107699</v>
      </c>
      <c r="L195" s="173">
        <f>SUM(L190:L194)</f>
        <v>1913484</v>
      </c>
      <c r="M195" s="161"/>
    </row>
    <row r="196" spans="1:13" x14ac:dyDescent="0.2">
      <c r="A196" s="200"/>
      <c r="B196" s="130"/>
      <c r="C196" s="130"/>
      <c r="D196" s="145"/>
      <c r="E196" s="145"/>
      <c r="F196" s="130"/>
      <c r="G196" s="138"/>
      <c r="H196" s="145"/>
      <c r="I196" s="130"/>
      <c r="J196" s="138"/>
      <c r="K196" s="145"/>
      <c r="L196" s="145"/>
      <c r="M196" s="146"/>
    </row>
    <row r="197" spans="1:13" x14ac:dyDescent="0.2">
      <c r="A197" s="140">
        <f>'Plant &amp; Reserve'!$A197</f>
        <v>34181</v>
      </c>
      <c r="B197" s="130" t="str">
        <f>'Plant &amp; Reserve'!$B197</f>
        <v>PK Unit No. 1</v>
      </c>
      <c r="C197" s="130"/>
      <c r="D197" s="145">
        <f>'Plant &amp; Reserve'!$D197</f>
        <v>49619944</v>
      </c>
      <c r="E197" s="145">
        <f>'Plant &amp; Reserve'!$E197</f>
        <v>22146505</v>
      </c>
      <c r="F197" s="130"/>
      <c r="G197" s="138">
        <f>'Proposed Rates'!$I197</f>
        <v>2.5</v>
      </c>
      <c r="H197" s="145">
        <f t="shared" ref="H197:H201" si="51">ROUND(($D197*G197)/100,0)</f>
        <v>1240499</v>
      </c>
      <c r="I197" s="130"/>
      <c r="J197" s="138">
        <f>'Proposed Rates'!$V197</f>
        <v>3.7</v>
      </c>
      <c r="K197" s="145">
        <f t="shared" ref="K197:K201" si="52">ROUND(($D197*J197)/100,0)</f>
        <v>1835938</v>
      </c>
      <c r="L197" s="145">
        <f>K197-H197</f>
        <v>595439</v>
      </c>
      <c r="M197" s="161"/>
    </row>
    <row r="198" spans="1:13" x14ac:dyDescent="0.2">
      <c r="A198" s="140">
        <f>'Plant &amp; Reserve'!$A198</f>
        <v>34281</v>
      </c>
      <c r="B198" s="130" t="str">
        <f>'Plant &amp; Reserve'!$B198</f>
        <v>PK Unit No. 1</v>
      </c>
      <c r="C198" s="130"/>
      <c r="D198" s="145">
        <f>'Plant &amp; Reserve'!$D198</f>
        <v>243837822</v>
      </c>
      <c r="E198" s="145">
        <f>'Plant &amp; Reserve'!$E198</f>
        <v>108967420</v>
      </c>
      <c r="F198" s="130"/>
      <c r="G198" s="138">
        <f>'Proposed Rates'!$I198</f>
        <v>3.4</v>
      </c>
      <c r="H198" s="145">
        <f t="shared" si="51"/>
        <v>8290486</v>
      </c>
      <c r="I198" s="130"/>
      <c r="J198" s="138">
        <f>'Proposed Rates'!$V198</f>
        <v>4.0999999999999996</v>
      </c>
      <c r="K198" s="145">
        <f t="shared" si="52"/>
        <v>9997351</v>
      </c>
      <c r="L198" s="145">
        <f>K198-H198</f>
        <v>1706865</v>
      </c>
      <c r="M198" s="161"/>
    </row>
    <row r="199" spans="1:13" x14ac:dyDescent="0.2">
      <c r="A199" s="140">
        <f>'Plant &amp; Reserve'!$A199</f>
        <v>34381</v>
      </c>
      <c r="B199" s="130" t="str">
        <f>'Plant &amp; Reserve'!$B199</f>
        <v>PK Unit No. 1</v>
      </c>
      <c r="C199" s="130"/>
      <c r="D199" s="145">
        <f>'Plant &amp; Reserve'!$D199</f>
        <v>146141231</v>
      </c>
      <c r="E199" s="145">
        <f>'Plant &amp; Reserve'!$E199</f>
        <v>68907372</v>
      </c>
      <c r="F199" s="130"/>
      <c r="G199" s="138">
        <f>'Proposed Rates'!$I199</f>
        <v>4.5</v>
      </c>
      <c r="H199" s="145">
        <f t="shared" si="51"/>
        <v>6576355</v>
      </c>
      <c r="I199" s="130"/>
      <c r="J199" s="138">
        <f>'Proposed Rates'!$V199</f>
        <v>4.5999999999999996</v>
      </c>
      <c r="K199" s="145">
        <f t="shared" si="52"/>
        <v>6722497</v>
      </c>
      <c r="L199" s="145">
        <f>K199-H199</f>
        <v>146142</v>
      </c>
      <c r="M199" s="161"/>
    </row>
    <row r="200" spans="1:13" x14ac:dyDescent="0.2">
      <c r="A200" s="140">
        <f>'Plant &amp; Reserve'!$A200</f>
        <v>34581</v>
      </c>
      <c r="B200" s="130" t="str">
        <f>'Plant &amp; Reserve'!$B200</f>
        <v>PK Unit No. 1</v>
      </c>
      <c r="C200" s="130"/>
      <c r="D200" s="145">
        <f>'Plant &amp; Reserve'!$D200</f>
        <v>57896239</v>
      </c>
      <c r="E200" s="145">
        <f>'Plant &amp; Reserve'!$E200</f>
        <v>35972829</v>
      </c>
      <c r="F200" s="130"/>
      <c r="G200" s="138">
        <f>'Proposed Rates'!$I200</f>
        <v>3.3</v>
      </c>
      <c r="H200" s="145">
        <f t="shared" si="51"/>
        <v>1910576</v>
      </c>
      <c r="I200" s="130"/>
      <c r="J200" s="138">
        <f>'Proposed Rates'!$V200</f>
        <v>3.3</v>
      </c>
      <c r="K200" s="145">
        <f t="shared" si="52"/>
        <v>1910576</v>
      </c>
      <c r="L200" s="145">
        <f>K200-H200</f>
        <v>0</v>
      </c>
      <c r="M200" s="161"/>
    </row>
    <row r="201" spans="1:13" ht="15" x14ac:dyDescent="0.2">
      <c r="A201" s="140">
        <f>'Plant &amp; Reserve'!$A201</f>
        <v>34681</v>
      </c>
      <c r="B201" s="168" t="str">
        <f>'Plant &amp; Reserve'!$B201</f>
        <v>PK Unit No. 1</v>
      </c>
      <c r="C201" s="130"/>
      <c r="D201" s="171">
        <f>'Plant &amp; Reserve'!$D201</f>
        <v>6060777</v>
      </c>
      <c r="E201" s="171">
        <f>'Plant &amp; Reserve'!$E201</f>
        <v>2192422</v>
      </c>
      <c r="F201" s="130"/>
      <c r="G201" s="170">
        <f>'Proposed Rates'!$I201</f>
        <v>3.1</v>
      </c>
      <c r="H201" s="172">
        <f t="shared" si="51"/>
        <v>187884</v>
      </c>
      <c r="I201" s="130"/>
      <c r="J201" s="170">
        <f>'Proposed Rates'!$V201</f>
        <v>4.2</v>
      </c>
      <c r="K201" s="171">
        <f t="shared" si="52"/>
        <v>254553</v>
      </c>
      <c r="L201" s="171">
        <f>K201-H201</f>
        <v>66669</v>
      </c>
      <c r="M201" s="161"/>
    </row>
    <row r="202" spans="1:13" x14ac:dyDescent="0.2">
      <c r="A202" s="134"/>
      <c r="B202" s="128" t="s">
        <v>75</v>
      </c>
      <c r="C202" s="130"/>
      <c r="D202" s="173">
        <f>SUM(D197:D201)</f>
        <v>503556013</v>
      </c>
      <c r="E202" s="173">
        <f>SUM(E197:E201)</f>
        <v>238186548</v>
      </c>
      <c r="F202" s="130"/>
      <c r="G202" s="177">
        <f>'Proposed Rates'!$I202</f>
        <v>3.4</v>
      </c>
      <c r="H202" s="173">
        <f>SUM(H197:H201)</f>
        <v>18205800</v>
      </c>
      <c r="I202" s="130"/>
      <c r="J202" s="177">
        <f>'Proposed Rates'!$V202</f>
        <v>4.0999999999999996</v>
      </c>
      <c r="K202" s="173">
        <f>SUM(K197:K201)</f>
        <v>20720915</v>
      </c>
      <c r="L202" s="173">
        <f>SUM(L197:L201)</f>
        <v>2515115</v>
      </c>
      <c r="M202" s="161"/>
    </row>
    <row r="203" spans="1:13" x14ac:dyDescent="0.2">
      <c r="A203" s="200"/>
      <c r="B203" s="130"/>
      <c r="C203" s="130"/>
      <c r="D203" s="145"/>
      <c r="E203" s="145"/>
      <c r="F203" s="130"/>
      <c r="G203" s="138"/>
      <c r="H203" s="145"/>
      <c r="I203" s="130"/>
      <c r="J203" s="138"/>
      <c r="K203" s="145"/>
      <c r="L203" s="145"/>
      <c r="M203" s="146"/>
    </row>
    <row r="204" spans="1:13" x14ac:dyDescent="0.2">
      <c r="A204" s="140">
        <f>'Plant &amp; Reserve'!$A204</f>
        <v>34182</v>
      </c>
      <c r="B204" s="130" t="str">
        <f>'Plant &amp; Reserve'!$B204</f>
        <v>PK CT No. 2</v>
      </c>
      <c r="C204" s="130"/>
      <c r="D204" s="145">
        <f>'Plant &amp; Reserve'!$D204</f>
        <v>2154013</v>
      </c>
      <c r="E204" s="145">
        <f>'Plant &amp; Reserve'!$E204</f>
        <v>1089209</v>
      </c>
      <c r="F204" s="130"/>
      <c r="G204" s="138">
        <f>'Proposed Rates'!$I204</f>
        <v>2.7</v>
      </c>
      <c r="H204" s="145">
        <f t="shared" ref="H204:H208" si="53">ROUND(($D204*G204)/100,0)</f>
        <v>58158</v>
      </c>
      <c r="I204" s="130"/>
      <c r="J204" s="138">
        <f>'Proposed Rates'!$V204</f>
        <v>2.6</v>
      </c>
      <c r="K204" s="145">
        <f t="shared" ref="K204:K208" si="54">ROUND(($D204*J204)/100,0)</f>
        <v>56004</v>
      </c>
      <c r="L204" s="145">
        <f>K204-H204</f>
        <v>-2154</v>
      </c>
      <c r="M204" s="161"/>
    </row>
    <row r="205" spans="1:13" x14ac:dyDescent="0.2">
      <c r="A205" s="140">
        <f>'Plant &amp; Reserve'!$A205</f>
        <v>34282</v>
      </c>
      <c r="B205" s="130" t="str">
        <f>'Plant &amp; Reserve'!$B205</f>
        <v>PK CT No. 2</v>
      </c>
      <c r="C205" s="130"/>
      <c r="D205" s="145">
        <f>'Plant &amp; Reserve'!$D205</f>
        <v>2054235</v>
      </c>
      <c r="E205" s="145">
        <f>'Plant &amp; Reserve'!$E205</f>
        <v>445193</v>
      </c>
      <c r="F205" s="130"/>
      <c r="G205" s="138">
        <f>'Proposed Rates'!$I205</f>
        <v>3.3</v>
      </c>
      <c r="H205" s="145">
        <f t="shared" si="53"/>
        <v>67790</v>
      </c>
      <c r="I205" s="130"/>
      <c r="J205" s="138">
        <f>'Proposed Rates'!$V205</f>
        <v>4.3</v>
      </c>
      <c r="K205" s="145">
        <f t="shared" si="54"/>
        <v>88332</v>
      </c>
      <c r="L205" s="145">
        <f>K205-H205</f>
        <v>20542</v>
      </c>
      <c r="M205" s="161"/>
    </row>
    <row r="206" spans="1:13" x14ac:dyDescent="0.2">
      <c r="A206" s="140">
        <f>'Plant &amp; Reserve'!$A206</f>
        <v>34382</v>
      </c>
      <c r="B206" s="130" t="str">
        <f>'Plant &amp; Reserve'!$B206</f>
        <v>PK CT No. 2</v>
      </c>
      <c r="C206" s="130"/>
      <c r="D206" s="145">
        <f>'Plant &amp; Reserve'!$D206</f>
        <v>24943446</v>
      </c>
      <c r="E206" s="145">
        <f>'Plant &amp; Reserve'!$E206</f>
        <v>7991874</v>
      </c>
      <c r="F206" s="130"/>
      <c r="G206" s="138">
        <f>'Proposed Rates'!$I206</f>
        <v>4.4000000000000004</v>
      </c>
      <c r="H206" s="145">
        <f t="shared" si="53"/>
        <v>1097512</v>
      </c>
      <c r="I206" s="130"/>
      <c r="J206" s="138">
        <f>'Proposed Rates'!$V206</f>
        <v>4.9000000000000004</v>
      </c>
      <c r="K206" s="145">
        <f t="shared" si="54"/>
        <v>1222229</v>
      </c>
      <c r="L206" s="145">
        <f>K206-H206</f>
        <v>124717</v>
      </c>
      <c r="M206" s="161"/>
    </row>
    <row r="207" spans="1:13" x14ac:dyDescent="0.2">
      <c r="A207" s="140">
        <f>'Plant &amp; Reserve'!$A207</f>
        <v>34582</v>
      </c>
      <c r="B207" s="130" t="str">
        <f>'Plant &amp; Reserve'!$B207</f>
        <v>PK CT No. 2</v>
      </c>
      <c r="C207" s="130"/>
      <c r="D207" s="145">
        <f>'Plant &amp; Reserve'!$D207</f>
        <v>17259735</v>
      </c>
      <c r="E207" s="145">
        <f>'Plant &amp; Reserve'!$E207</f>
        <v>8288324</v>
      </c>
      <c r="F207" s="130"/>
      <c r="G207" s="138">
        <f>'Proposed Rates'!$I207</f>
        <v>2.8</v>
      </c>
      <c r="H207" s="145">
        <f t="shared" si="53"/>
        <v>483273</v>
      </c>
      <c r="I207" s="130"/>
      <c r="J207" s="138">
        <f>'Proposed Rates'!$V207</f>
        <v>3.4</v>
      </c>
      <c r="K207" s="145">
        <f t="shared" si="54"/>
        <v>586831</v>
      </c>
      <c r="L207" s="145">
        <f>K207-H207</f>
        <v>103558</v>
      </c>
      <c r="M207" s="161"/>
    </row>
    <row r="208" spans="1:13" ht="15" x14ac:dyDescent="0.2">
      <c r="A208" s="140">
        <f>'Plant &amp; Reserve'!$A208</f>
        <v>34682</v>
      </c>
      <c r="B208" s="168" t="str">
        <f>'Plant &amp; Reserve'!$B208</f>
        <v>PK CT No. 2</v>
      </c>
      <c r="C208" s="130"/>
      <c r="D208" s="171">
        <f>'Plant &amp; Reserve'!$D208</f>
        <v>173210</v>
      </c>
      <c r="E208" s="171">
        <f>'Plant &amp; Reserve'!$E208</f>
        <v>117745</v>
      </c>
      <c r="F208" s="130"/>
      <c r="G208" s="170">
        <f>'Proposed Rates'!$I208</f>
        <v>3.5</v>
      </c>
      <c r="H208" s="172">
        <f t="shared" si="53"/>
        <v>6062</v>
      </c>
      <c r="I208" s="130"/>
      <c r="J208" s="170">
        <f>'Proposed Rates'!$V208</f>
        <v>1.7</v>
      </c>
      <c r="K208" s="171">
        <f t="shared" si="54"/>
        <v>2945</v>
      </c>
      <c r="L208" s="171">
        <f>K208-H208</f>
        <v>-3117</v>
      </c>
      <c r="M208" s="161"/>
    </row>
    <row r="209" spans="1:13" x14ac:dyDescent="0.2">
      <c r="A209" s="134"/>
      <c r="B209" s="128" t="s">
        <v>75</v>
      </c>
      <c r="C209" s="130"/>
      <c r="D209" s="173">
        <f>SUM(D204:D208)</f>
        <v>46584639</v>
      </c>
      <c r="E209" s="173">
        <f>SUM(E204:E208)</f>
        <v>17932345</v>
      </c>
      <c r="F209" s="130"/>
      <c r="G209" s="177">
        <f>'Proposed Rates'!$I209</f>
        <v>4.2</v>
      </c>
      <c r="H209" s="173">
        <f>SUM(H204:H208)</f>
        <v>1712795</v>
      </c>
      <c r="I209" s="130"/>
      <c r="J209" s="177">
        <f>'Proposed Rates'!$V209</f>
        <v>4.0999999999999996</v>
      </c>
      <c r="K209" s="173">
        <f>SUM(K204:K208)</f>
        <v>1956341</v>
      </c>
      <c r="L209" s="173">
        <f>SUM(L204:L208)</f>
        <v>243546</v>
      </c>
      <c r="M209" s="161"/>
    </row>
    <row r="210" spans="1:13" x14ac:dyDescent="0.2">
      <c r="A210" s="200"/>
      <c r="B210" s="130"/>
      <c r="C210" s="130"/>
      <c r="D210" s="154"/>
      <c r="E210" s="154"/>
      <c r="F210" s="130"/>
      <c r="G210" s="138"/>
      <c r="H210" s="145"/>
      <c r="I210" s="130"/>
      <c r="J210" s="138"/>
      <c r="K210" s="145"/>
      <c r="L210" s="145"/>
      <c r="M210" s="146"/>
    </row>
    <row r="211" spans="1:13" x14ac:dyDescent="0.2">
      <c r="A211" s="140">
        <f>'Plant &amp; Reserve'!$A211</f>
        <v>34183</v>
      </c>
      <c r="B211" s="130" t="str">
        <f>'Plant &amp; Reserve'!$B211</f>
        <v>PK CT No. 3</v>
      </c>
      <c r="C211" s="130"/>
      <c r="D211" s="145">
        <f>'Plant &amp; Reserve'!$D211</f>
        <v>10533316</v>
      </c>
      <c r="E211" s="145">
        <f>'Plant &amp; Reserve'!$E211</f>
        <v>4635169</v>
      </c>
      <c r="F211" s="130"/>
      <c r="G211" s="138">
        <f>'Proposed Rates'!$I211</f>
        <v>2.6</v>
      </c>
      <c r="H211" s="145">
        <f t="shared" ref="H211:H215" si="55">ROUND(($D211*G211)/100,0)</f>
        <v>273866</v>
      </c>
      <c r="I211" s="130"/>
      <c r="J211" s="138">
        <f>'Proposed Rates'!$V211</f>
        <v>2.6</v>
      </c>
      <c r="K211" s="145">
        <f t="shared" ref="K211:K215" si="56">ROUND(($D211*J211)/100,0)</f>
        <v>273866</v>
      </c>
      <c r="L211" s="145">
        <f>K211-H211</f>
        <v>0</v>
      </c>
      <c r="M211" s="161"/>
    </row>
    <row r="212" spans="1:13" x14ac:dyDescent="0.2">
      <c r="A212" s="140">
        <f>'Plant &amp; Reserve'!$A212</f>
        <v>34283</v>
      </c>
      <c r="B212" s="130" t="str">
        <f>'Plant &amp; Reserve'!$B212</f>
        <v>PK CT No. 3</v>
      </c>
      <c r="C212" s="130"/>
      <c r="D212" s="145">
        <f>'Plant &amp; Reserve'!$D212</f>
        <v>1354215</v>
      </c>
      <c r="E212" s="145">
        <f>'Plant &amp; Reserve'!$E212</f>
        <v>519232</v>
      </c>
      <c r="F212" s="130"/>
      <c r="G212" s="138">
        <f>'Proposed Rates'!$I212</f>
        <v>2.9</v>
      </c>
      <c r="H212" s="145">
        <f t="shared" si="55"/>
        <v>39272</v>
      </c>
      <c r="I212" s="130"/>
      <c r="J212" s="138">
        <f>'Proposed Rates'!$V212</f>
        <v>3.2</v>
      </c>
      <c r="K212" s="145">
        <f t="shared" si="56"/>
        <v>43335</v>
      </c>
      <c r="L212" s="145">
        <f>K212-H212</f>
        <v>4063</v>
      </c>
      <c r="M212" s="161"/>
    </row>
    <row r="213" spans="1:13" x14ac:dyDescent="0.2">
      <c r="A213" s="140">
        <f>'Plant &amp; Reserve'!$A213</f>
        <v>34383</v>
      </c>
      <c r="B213" s="130" t="str">
        <f>'Plant &amp; Reserve'!$B213</f>
        <v>PK CT No. 3</v>
      </c>
      <c r="C213" s="130"/>
      <c r="D213" s="145">
        <f>'Plant &amp; Reserve'!$D213</f>
        <v>32584059</v>
      </c>
      <c r="E213" s="145">
        <f>'Plant &amp; Reserve'!$E213</f>
        <v>16650475</v>
      </c>
      <c r="F213" s="130"/>
      <c r="G213" s="138">
        <f>'Proposed Rates'!$I213</f>
        <v>4.5999999999999996</v>
      </c>
      <c r="H213" s="145">
        <f t="shared" si="55"/>
        <v>1498867</v>
      </c>
      <c r="I213" s="130"/>
      <c r="J213" s="138">
        <f>'Proposed Rates'!$V213</f>
        <v>3.6</v>
      </c>
      <c r="K213" s="145">
        <f t="shared" si="56"/>
        <v>1173026</v>
      </c>
      <c r="L213" s="145">
        <f>K213-H213</f>
        <v>-325841</v>
      </c>
      <c r="M213" s="161"/>
    </row>
    <row r="214" spans="1:13" x14ac:dyDescent="0.2">
      <c r="A214" s="140">
        <f>'Plant &amp; Reserve'!$A214</f>
        <v>34583</v>
      </c>
      <c r="B214" s="130" t="str">
        <f>'Plant &amp; Reserve'!$B214</f>
        <v>PK CT No. 3</v>
      </c>
      <c r="C214" s="130"/>
      <c r="D214" s="145">
        <f>'Plant &amp; Reserve'!$D214</f>
        <v>9056070</v>
      </c>
      <c r="E214" s="145">
        <f>'Plant &amp; Reserve'!$E214</f>
        <v>4461661</v>
      </c>
      <c r="F214" s="130"/>
      <c r="G214" s="138">
        <f>'Proposed Rates'!$I214</f>
        <v>3</v>
      </c>
      <c r="H214" s="145">
        <f t="shared" si="55"/>
        <v>271682</v>
      </c>
      <c r="I214" s="130"/>
      <c r="J214" s="138">
        <f>'Proposed Rates'!$V214</f>
        <v>3.8</v>
      </c>
      <c r="K214" s="145">
        <f t="shared" si="56"/>
        <v>344131</v>
      </c>
      <c r="L214" s="145">
        <f>K214-H214</f>
        <v>72449</v>
      </c>
      <c r="M214" s="161"/>
    </row>
    <row r="215" spans="1:13" ht="15" x14ac:dyDescent="0.2">
      <c r="A215" s="140">
        <f>'Plant &amp; Reserve'!$A215</f>
        <v>34683</v>
      </c>
      <c r="B215" s="168" t="str">
        <f>'Plant &amp; Reserve'!$B215</f>
        <v>PK CT No. 3</v>
      </c>
      <c r="C215" s="130"/>
      <c r="D215" s="171">
        <f>'Plant &amp; Reserve'!$D215</f>
        <v>432910</v>
      </c>
      <c r="E215" s="171">
        <f>'Plant &amp; Reserve'!$E215</f>
        <v>228284</v>
      </c>
      <c r="F215" s="130"/>
      <c r="G215" s="170">
        <f>'Proposed Rates'!$I215</f>
        <v>3.1</v>
      </c>
      <c r="H215" s="172">
        <f t="shared" si="55"/>
        <v>13420</v>
      </c>
      <c r="I215" s="130"/>
      <c r="J215" s="170">
        <f>'Proposed Rates'!$V215</f>
        <v>2.2000000000000002</v>
      </c>
      <c r="K215" s="171">
        <f t="shared" si="56"/>
        <v>9524</v>
      </c>
      <c r="L215" s="171">
        <f>K215-H215</f>
        <v>-3896</v>
      </c>
      <c r="M215" s="161"/>
    </row>
    <row r="216" spans="1:13" x14ac:dyDescent="0.2">
      <c r="A216" s="134"/>
      <c r="B216" s="128" t="s">
        <v>75</v>
      </c>
      <c r="C216" s="130"/>
      <c r="D216" s="173">
        <f>SUM(D211:D215)</f>
        <v>53960570</v>
      </c>
      <c r="E216" s="173">
        <f>SUM(E211:E215)</f>
        <v>26494821</v>
      </c>
      <c r="F216" s="130"/>
      <c r="G216" s="177">
        <f>'Proposed Rates'!$I216</f>
        <v>3.7</v>
      </c>
      <c r="H216" s="173">
        <f>SUM(H211:H215)</f>
        <v>2097107</v>
      </c>
      <c r="I216" s="130"/>
      <c r="J216" s="177">
        <f>'Proposed Rates'!$V216</f>
        <v>3.4</v>
      </c>
      <c r="K216" s="173">
        <f>SUM(K211:K215)</f>
        <v>1843882</v>
      </c>
      <c r="L216" s="173">
        <f>SUM(L211:L215)</f>
        <v>-253225</v>
      </c>
      <c r="M216" s="161"/>
    </row>
    <row r="217" spans="1:13" x14ac:dyDescent="0.2">
      <c r="A217" s="134"/>
      <c r="B217" s="128"/>
      <c r="C217" s="130"/>
      <c r="D217" s="173"/>
      <c r="E217" s="173"/>
      <c r="F217" s="130"/>
      <c r="G217" s="177"/>
      <c r="H217" s="173"/>
      <c r="I217" s="130"/>
      <c r="J217" s="173"/>
      <c r="K217" s="173"/>
      <c r="L217" s="173"/>
      <c r="M217" s="161"/>
    </row>
    <row r="218" spans="1:13" x14ac:dyDescent="0.2">
      <c r="A218" s="140">
        <f>'Plant &amp; Reserve'!$A218</f>
        <v>34184</v>
      </c>
      <c r="B218" s="130" t="str">
        <f>'Plant &amp; Reserve'!$B218</f>
        <v>PK CT No. 4</v>
      </c>
      <c r="C218" s="130"/>
      <c r="D218" s="145">
        <f>'Plant &amp; Reserve'!$D218</f>
        <v>5811520</v>
      </c>
      <c r="E218" s="145">
        <f>'Plant &amp; Reserve'!$E218</f>
        <v>1679892</v>
      </c>
      <c r="F218" s="130"/>
      <c r="G218" s="138">
        <f>'Proposed Rates'!$I218</f>
        <v>2.4</v>
      </c>
      <c r="H218" s="145">
        <f t="shared" ref="H218:H222" si="57">ROUND(($D218*G218)/100,0)</f>
        <v>139476</v>
      </c>
      <c r="I218" s="130"/>
      <c r="J218" s="138">
        <f>'Proposed Rates'!$V218</f>
        <v>2.7</v>
      </c>
      <c r="K218" s="145">
        <f t="shared" ref="K218:K222" si="58">ROUND(($D218*J218)/100,0)</f>
        <v>156911</v>
      </c>
      <c r="L218" s="145">
        <f>K218-H218</f>
        <v>17435</v>
      </c>
      <c r="M218" s="161"/>
    </row>
    <row r="219" spans="1:13" x14ac:dyDescent="0.2">
      <c r="A219" s="140">
        <f>'Plant &amp; Reserve'!$A219</f>
        <v>34284</v>
      </c>
      <c r="B219" s="130" t="str">
        <f>'Plant &amp; Reserve'!$B219</f>
        <v>PK CT No. 4</v>
      </c>
      <c r="C219" s="130"/>
      <c r="D219" s="145">
        <f>'Plant &amp; Reserve'!$D219</f>
        <v>2167428</v>
      </c>
      <c r="E219" s="145">
        <f>'Plant &amp; Reserve'!$E219</f>
        <v>306066</v>
      </c>
      <c r="F219" s="130"/>
      <c r="G219" s="138">
        <f>'Proposed Rates'!$I219</f>
        <v>3.2</v>
      </c>
      <c r="H219" s="145">
        <f t="shared" si="57"/>
        <v>69358</v>
      </c>
      <c r="I219" s="130"/>
      <c r="J219" s="138">
        <f>'Proposed Rates'!$V219</f>
        <v>2.8</v>
      </c>
      <c r="K219" s="145">
        <f t="shared" si="58"/>
        <v>60688</v>
      </c>
      <c r="L219" s="145">
        <f>K219-H219</f>
        <v>-8670</v>
      </c>
      <c r="M219" s="161"/>
    </row>
    <row r="220" spans="1:13" x14ac:dyDescent="0.2">
      <c r="A220" s="140">
        <f>'Plant &amp; Reserve'!$A220</f>
        <v>34384</v>
      </c>
      <c r="B220" s="130" t="str">
        <f>'Plant &amp; Reserve'!$B220</f>
        <v>PK CT No. 4</v>
      </c>
      <c r="C220" s="130"/>
      <c r="D220" s="145">
        <f>'Plant &amp; Reserve'!$D220</f>
        <v>22033275</v>
      </c>
      <c r="E220" s="145">
        <f>'Plant &amp; Reserve'!$E220</f>
        <v>2876498</v>
      </c>
      <c r="F220" s="130"/>
      <c r="G220" s="138">
        <f>'Proposed Rates'!$I220</f>
        <v>4.0999999999999996</v>
      </c>
      <c r="H220" s="145">
        <f t="shared" si="57"/>
        <v>903364</v>
      </c>
      <c r="I220" s="130"/>
      <c r="J220" s="138">
        <f>'Proposed Rates'!$V220</f>
        <v>4.7</v>
      </c>
      <c r="K220" s="145">
        <f t="shared" si="58"/>
        <v>1035564</v>
      </c>
      <c r="L220" s="145">
        <f>K220-H220</f>
        <v>132200</v>
      </c>
      <c r="M220" s="161"/>
    </row>
    <row r="221" spans="1:13" x14ac:dyDescent="0.2">
      <c r="A221" s="140">
        <f>'Plant &amp; Reserve'!$A221</f>
        <v>34584</v>
      </c>
      <c r="B221" s="130" t="str">
        <f>'Plant &amp; Reserve'!$B221</f>
        <v>PK CT No. 4</v>
      </c>
      <c r="C221" s="130"/>
      <c r="D221" s="145">
        <f>'Plant &amp; Reserve'!$D221</f>
        <v>5563010</v>
      </c>
      <c r="E221" s="145">
        <f>'Plant &amp; Reserve'!$E221</f>
        <v>2584906</v>
      </c>
      <c r="F221" s="130"/>
      <c r="G221" s="138">
        <f>'Proposed Rates'!$I221</f>
        <v>3.9</v>
      </c>
      <c r="H221" s="145">
        <f t="shared" si="57"/>
        <v>216957</v>
      </c>
      <c r="I221" s="130"/>
      <c r="J221" s="138">
        <f>'Proposed Rates'!$V221</f>
        <v>2.5</v>
      </c>
      <c r="K221" s="145">
        <f t="shared" si="58"/>
        <v>139075</v>
      </c>
      <c r="L221" s="145">
        <f>K221-H221</f>
        <v>-77882</v>
      </c>
      <c r="M221" s="161"/>
    </row>
    <row r="222" spans="1:13" ht="15" x14ac:dyDescent="0.2">
      <c r="A222" s="140">
        <f>'Plant &amp; Reserve'!$A222</f>
        <v>34684</v>
      </c>
      <c r="B222" s="168" t="str">
        <f>'Plant &amp; Reserve'!$B222</f>
        <v>PK CT No. 4</v>
      </c>
      <c r="C222" s="130"/>
      <c r="D222" s="171">
        <f>'Plant &amp; Reserve'!$D222</f>
        <v>0</v>
      </c>
      <c r="E222" s="171">
        <f>'Plant &amp; Reserve'!$E222</f>
        <v>0</v>
      </c>
      <c r="F222" s="130"/>
      <c r="G222" s="170">
        <f>'Proposed Rates'!$I222</f>
        <v>4.3</v>
      </c>
      <c r="H222" s="172">
        <f t="shared" si="57"/>
        <v>0</v>
      </c>
      <c r="I222" s="130"/>
      <c r="J222" s="170">
        <f>'Proposed Rates'!$V222</f>
        <v>3.6</v>
      </c>
      <c r="K222" s="171">
        <f t="shared" si="58"/>
        <v>0</v>
      </c>
      <c r="L222" s="171">
        <f>K222-H222</f>
        <v>0</v>
      </c>
      <c r="M222" s="161"/>
    </row>
    <row r="223" spans="1:13" x14ac:dyDescent="0.2">
      <c r="A223" s="134"/>
      <c r="B223" s="128" t="s">
        <v>75</v>
      </c>
      <c r="C223" s="130"/>
      <c r="D223" s="173">
        <f>SUM(D218:D222)</f>
        <v>35575233</v>
      </c>
      <c r="E223" s="173">
        <f>SUM(E218:E222)</f>
        <v>7447362</v>
      </c>
      <c r="F223" s="130"/>
      <c r="G223" s="177">
        <f>'Proposed Rates'!$I223</f>
        <v>3.8</v>
      </c>
      <c r="H223" s="173">
        <f>SUM(H218:H222)</f>
        <v>1329155</v>
      </c>
      <c r="I223" s="130"/>
      <c r="J223" s="177">
        <f>'Proposed Rates'!$V223</f>
        <v>3.9</v>
      </c>
      <c r="K223" s="173">
        <f>SUM(K218:K222)</f>
        <v>1392238</v>
      </c>
      <c r="L223" s="173">
        <f>SUM(L218:L222)</f>
        <v>63083</v>
      </c>
      <c r="M223" s="161"/>
    </row>
    <row r="224" spans="1:13" x14ac:dyDescent="0.2">
      <c r="A224" s="134"/>
      <c r="B224" s="128"/>
      <c r="C224" s="130"/>
      <c r="D224" s="173"/>
      <c r="E224" s="173"/>
      <c r="F224" s="130"/>
      <c r="G224" s="177"/>
      <c r="H224" s="173"/>
      <c r="I224" s="130"/>
      <c r="J224" s="173"/>
      <c r="K224" s="173"/>
      <c r="L224" s="173"/>
      <c r="M224" s="161"/>
    </row>
    <row r="225" spans="1:13" x14ac:dyDescent="0.2">
      <c r="A225" s="140">
        <f>'Plant &amp; Reserve'!$A225</f>
        <v>34185</v>
      </c>
      <c r="B225" s="130" t="str">
        <f>'Plant &amp; Reserve'!$B225</f>
        <v>PK CT No. 5</v>
      </c>
      <c r="C225" s="130"/>
      <c r="D225" s="145">
        <f>'Plant &amp; Reserve'!$D225</f>
        <v>5746580</v>
      </c>
      <c r="E225" s="145">
        <f>'Plant &amp; Reserve'!$E225</f>
        <v>1682958</v>
      </c>
      <c r="F225" s="130"/>
      <c r="G225" s="138">
        <f>'Proposed Rates'!$I225</f>
        <v>2.4</v>
      </c>
      <c r="H225" s="145">
        <f t="shared" ref="H225:H229" si="59">ROUND(($D225*G225)/100,0)</f>
        <v>137918</v>
      </c>
      <c r="I225" s="130"/>
      <c r="J225" s="138">
        <f>'Proposed Rates'!$V225</f>
        <v>2.7</v>
      </c>
      <c r="K225" s="145">
        <f t="shared" ref="K225:K229" si="60">ROUND(($D225*J225)/100,0)</f>
        <v>155158</v>
      </c>
      <c r="L225" s="145">
        <f>K225-H225</f>
        <v>17240</v>
      </c>
      <c r="M225" s="161"/>
    </row>
    <row r="226" spans="1:13" x14ac:dyDescent="0.2">
      <c r="A226" s="140">
        <f>'Plant &amp; Reserve'!$A226</f>
        <v>34285</v>
      </c>
      <c r="B226" s="130" t="str">
        <f>'Plant &amp; Reserve'!$B226</f>
        <v>PK CT No. 5</v>
      </c>
      <c r="C226" s="130"/>
      <c r="D226" s="145">
        <f>'Plant &amp; Reserve'!$D226</f>
        <v>2200050</v>
      </c>
      <c r="E226" s="145">
        <f>'Plant &amp; Reserve'!$E226</f>
        <v>587735</v>
      </c>
      <c r="F226" s="130"/>
      <c r="G226" s="138">
        <f>'Proposed Rates'!$I226</f>
        <v>3.4</v>
      </c>
      <c r="H226" s="145">
        <f t="shared" si="59"/>
        <v>74802</v>
      </c>
      <c r="I226" s="130"/>
      <c r="J226" s="138">
        <f>'Proposed Rates'!$V226</f>
        <v>3.7</v>
      </c>
      <c r="K226" s="145">
        <f t="shared" si="60"/>
        <v>81402</v>
      </c>
      <c r="L226" s="145">
        <f>K226-H226</f>
        <v>6600</v>
      </c>
      <c r="M226" s="161"/>
    </row>
    <row r="227" spans="1:13" x14ac:dyDescent="0.2">
      <c r="A227" s="140">
        <f>'Plant &amp; Reserve'!$A227</f>
        <v>34385</v>
      </c>
      <c r="B227" s="130" t="str">
        <f>'Plant &amp; Reserve'!$B227</f>
        <v>PK CT No. 5</v>
      </c>
      <c r="C227" s="130"/>
      <c r="D227" s="145">
        <f>'Plant &amp; Reserve'!$D227</f>
        <v>20099642</v>
      </c>
      <c r="E227" s="145">
        <f>'Plant &amp; Reserve'!$E227</f>
        <v>2070957</v>
      </c>
      <c r="F227" s="130"/>
      <c r="G227" s="138">
        <f>'Proposed Rates'!$I227</f>
        <v>3.9</v>
      </c>
      <c r="H227" s="145">
        <f t="shared" si="59"/>
        <v>783886</v>
      </c>
      <c r="I227" s="130"/>
      <c r="J227" s="138">
        <f>'Proposed Rates'!$V227</f>
        <v>5</v>
      </c>
      <c r="K227" s="145">
        <f t="shared" si="60"/>
        <v>1004982</v>
      </c>
      <c r="L227" s="145">
        <f>K227-H227</f>
        <v>221096</v>
      </c>
      <c r="M227" s="161"/>
    </row>
    <row r="228" spans="1:13" x14ac:dyDescent="0.2">
      <c r="A228" s="140">
        <f>'Plant &amp; Reserve'!$A228</f>
        <v>34585</v>
      </c>
      <c r="B228" s="130" t="str">
        <f>'Plant &amp; Reserve'!$B228</f>
        <v>PK CT No. 5</v>
      </c>
      <c r="C228" s="130"/>
      <c r="D228" s="145">
        <f>'Plant &amp; Reserve'!$D228</f>
        <v>5465055</v>
      </c>
      <c r="E228" s="145">
        <f>'Plant &amp; Reserve'!$E228</f>
        <v>2574765</v>
      </c>
      <c r="F228" s="130"/>
      <c r="G228" s="138">
        <f>'Proposed Rates'!$I228</f>
        <v>3.9</v>
      </c>
      <c r="H228" s="145">
        <f t="shared" si="59"/>
        <v>213137</v>
      </c>
      <c r="I228" s="130"/>
      <c r="J228" s="138">
        <f>'Proposed Rates'!$V228</f>
        <v>2.6</v>
      </c>
      <c r="K228" s="145">
        <f t="shared" si="60"/>
        <v>142091</v>
      </c>
      <c r="L228" s="145">
        <f>K228-H228</f>
        <v>-71046</v>
      </c>
      <c r="M228" s="161"/>
    </row>
    <row r="229" spans="1:13" ht="15" x14ac:dyDescent="0.2">
      <c r="A229" s="140">
        <f>'Plant &amp; Reserve'!$A229</f>
        <v>34685</v>
      </c>
      <c r="B229" s="168" t="str">
        <f>'Plant &amp; Reserve'!$B229</f>
        <v>PK CT No. 5</v>
      </c>
      <c r="C229" s="130"/>
      <c r="D229" s="171">
        <f>'Plant &amp; Reserve'!$D229</f>
        <v>0</v>
      </c>
      <c r="E229" s="171">
        <f>'Plant &amp; Reserve'!$E229</f>
        <v>0</v>
      </c>
      <c r="F229" s="130"/>
      <c r="G229" s="170">
        <f>'Proposed Rates'!$I229</f>
        <v>4.3</v>
      </c>
      <c r="H229" s="172">
        <f t="shared" si="59"/>
        <v>0</v>
      </c>
      <c r="I229" s="130"/>
      <c r="J229" s="170">
        <f>'Proposed Rates'!$V229</f>
        <v>3.6</v>
      </c>
      <c r="K229" s="171">
        <f t="shared" si="60"/>
        <v>0</v>
      </c>
      <c r="L229" s="171">
        <f>K229-H229</f>
        <v>0</v>
      </c>
      <c r="M229" s="161"/>
    </row>
    <row r="230" spans="1:13" x14ac:dyDescent="0.2">
      <c r="A230" s="134"/>
      <c r="B230" s="128" t="s">
        <v>75</v>
      </c>
      <c r="C230" s="130"/>
      <c r="D230" s="173">
        <f>SUM(D225:D229)</f>
        <v>33511327</v>
      </c>
      <c r="E230" s="173">
        <f>SUM(E225:E229)</f>
        <v>6916415</v>
      </c>
      <c r="F230" s="130"/>
      <c r="G230" s="177">
        <f>'Proposed Rates'!$I230</f>
        <v>3.8</v>
      </c>
      <c r="H230" s="173">
        <f>SUM(H225:H229)</f>
        <v>1209743</v>
      </c>
      <c r="I230" s="130"/>
      <c r="J230" s="177">
        <f>'Proposed Rates'!$V230</f>
        <v>4.0999999999999996</v>
      </c>
      <c r="K230" s="173">
        <f>SUM(K225:K229)</f>
        <v>1383633</v>
      </c>
      <c r="L230" s="173">
        <f>SUM(L225:L229)</f>
        <v>173890</v>
      </c>
      <c r="M230" s="161"/>
    </row>
    <row r="231" spans="1:13" x14ac:dyDescent="0.2">
      <c r="A231" s="200"/>
      <c r="B231" s="130"/>
      <c r="C231" s="130"/>
      <c r="D231" s="145"/>
      <c r="E231" s="145"/>
      <c r="F231" s="130"/>
      <c r="G231" s="177"/>
      <c r="H231" s="173"/>
      <c r="I231" s="130"/>
      <c r="J231" s="173"/>
      <c r="K231" s="173"/>
      <c r="L231" s="173"/>
      <c r="M231" s="146"/>
    </row>
    <row r="232" spans="1:13" x14ac:dyDescent="0.2">
      <c r="A232" s="140">
        <f>'Plant &amp; Reserve'!$A232</f>
        <v>34186</v>
      </c>
      <c r="B232" s="130" t="str">
        <f>'Plant &amp; Reserve'!$B232</f>
        <v>PK CCST for CT 2-5</v>
      </c>
      <c r="C232" s="130"/>
      <c r="D232" s="145">
        <f>'Plant &amp; Reserve'!$D232</f>
        <v>13374554.049999999</v>
      </c>
      <c r="E232" s="145">
        <f>'Plant &amp; Reserve'!$E232</f>
        <v>2447643</v>
      </c>
      <c r="F232" s="130"/>
      <c r="G232" s="138">
        <f>'Proposed Rates'!$I232</f>
        <v>2.9</v>
      </c>
      <c r="H232" s="145">
        <f t="shared" ref="H232:H236" si="61">ROUND(($D232*G232)/100,0)</f>
        <v>387862</v>
      </c>
      <c r="I232" s="130"/>
      <c r="J232" s="138">
        <f>'Proposed Rates'!$V232</f>
        <v>2.6</v>
      </c>
      <c r="K232" s="145">
        <f t="shared" ref="K232:K236" si="62">ROUND(($D232*J232)/100,0)</f>
        <v>347738</v>
      </c>
      <c r="L232" s="145">
        <f>K232-H232</f>
        <v>-40124</v>
      </c>
      <c r="M232" s="161"/>
    </row>
    <row r="233" spans="1:13" x14ac:dyDescent="0.2">
      <c r="A233" s="140">
        <f>'Plant &amp; Reserve'!$A233</f>
        <v>34286</v>
      </c>
      <c r="B233" s="130" t="str">
        <f>'Plant &amp; Reserve'!$B233</f>
        <v>PK CCST for CT 2-5</v>
      </c>
      <c r="C233" s="130"/>
      <c r="D233" s="145">
        <f>'Plant &amp; Reserve'!$D233</f>
        <v>213579047.27999994</v>
      </c>
      <c r="E233" s="145">
        <f>'Plant &amp; Reserve'!$E233</f>
        <v>17071579</v>
      </c>
      <c r="F233" s="130"/>
      <c r="G233" s="138">
        <f>'Proposed Rates'!$I233</f>
        <v>2.9</v>
      </c>
      <c r="H233" s="145">
        <f t="shared" si="61"/>
        <v>6193792</v>
      </c>
      <c r="I233" s="130"/>
      <c r="J233" s="138">
        <f>'Proposed Rates'!$V233</f>
        <v>3</v>
      </c>
      <c r="K233" s="145">
        <f t="shared" si="62"/>
        <v>6407371</v>
      </c>
      <c r="L233" s="145">
        <f>K233-H233</f>
        <v>213579</v>
      </c>
      <c r="M233" s="161"/>
    </row>
    <row r="234" spans="1:13" x14ac:dyDescent="0.2">
      <c r="A234" s="140">
        <f>'Plant &amp; Reserve'!$A234</f>
        <v>34386</v>
      </c>
      <c r="B234" s="130" t="str">
        <f>'Plant &amp; Reserve'!$B234</f>
        <v>PK CCST for CT 2-5</v>
      </c>
      <c r="C234" s="130"/>
      <c r="D234" s="145">
        <f>'Plant &amp; Reserve'!$D234</f>
        <v>223541175.92999995</v>
      </c>
      <c r="E234" s="145">
        <f>'Plant &amp; Reserve'!$E234</f>
        <v>17777814</v>
      </c>
      <c r="F234" s="130"/>
      <c r="G234" s="138">
        <f>'Proposed Rates'!$I234</f>
        <v>2.9</v>
      </c>
      <c r="H234" s="145">
        <f t="shared" si="61"/>
        <v>6482694</v>
      </c>
      <c r="I234" s="130"/>
      <c r="J234" s="138">
        <f>'Proposed Rates'!$V234</f>
        <v>3.1</v>
      </c>
      <c r="K234" s="145">
        <f t="shared" si="62"/>
        <v>6929776</v>
      </c>
      <c r="L234" s="145">
        <f>K234-H234</f>
        <v>447082</v>
      </c>
      <c r="M234" s="161"/>
    </row>
    <row r="235" spans="1:13" x14ac:dyDescent="0.2">
      <c r="A235" s="140">
        <f>'Plant &amp; Reserve'!$A235</f>
        <v>34586</v>
      </c>
      <c r="B235" s="130" t="str">
        <f>'Plant &amp; Reserve'!$B235</f>
        <v>PK CCST for CT 2-5</v>
      </c>
      <c r="C235" s="130"/>
      <c r="D235" s="145">
        <f>'Plant &amp; Reserve'!$D235</f>
        <v>18335993.590000004</v>
      </c>
      <c r="E235" s="145">
        <f>'Plant &amp; Reserve'!$E235</f>
        <v>1862512</v>
      </c>
      <c r="F235" s="130"/>
      <c r="G235" s="138">
        <f>'Proposed Rates'!$I235</f>
        <v>2.9</v>
      </c>
      <c r="H235" s="145">
        <f t="shared" si="61"/>
        <v>531744</v>
      </c>
      <c r="I235" s="130"/>
      <c r="J235" s="138">
        <f>'Proposed Rates'!$V235</f>
        <v>3</v>
      </c>
      <c r="K235" s="145">
        <f t="shared" si="62"/>
        <v>550080</v>
      </c>
      <c r="L235" s="145">
        <f>K235-H235</f>
        <v>18336</v>
      </c>
      <c r="M235" s="161"/>
    </row>
    <row r="236" spans="1:13" ht="15" x14ac:dyDescent="0.2">
      <c r="A236" s="140">
        <f>'Plant &amp; Reserve'!$A236</f>
        <v>34686</v>
      </c>
      <c r="B236" s="168" t="str">
        <f>'Plant &amp; Reserve'!$B236</f>
        <v>PK CCST for CT 2-5</v>
      </c>
      <c r="C236" s="130"/>
      <c r="D236" s="171">
        <f>'Plant &amp; Reserve'!$D236</f>
        <v>141626.41</v>
      </c>
      <c r="E236" s="171">
        <f>'Plant &amp; Reserve'!$E236</f>
        <v>9926</v>
      </c>
      <c r="F236" s="130"/>
      <c r="G236" s="170">
        <f>'Proposed Rates'!$I236</f>
        <v>2.9</v>
      </c>
      <c r="H236" s="172">
        <f t="shared" si="61"/>
        <v>4107</v>
      </c>
      <c r="I236" s="130"/>
      <c r="J236" s="170">
        <f>'Proposed Rates'!$V236</f>
        <v>3</v>
      </c>
      <c r="K236" s="171">
        <f t="shared" si="62"/>
        <v>4249</v>
      </c>
      <c r="L236" s="171">
        <f>K236-H236</f>
        <v>142</v>
      </c>
      <c r="M236" s="161"/>
    </row>
    <row r="237" spans="1:13" x14ac:dyDescent="0.2">
      <c r="A237" s="134"/>
      <c r="B237" s="128" t="s">
        <v>75</v>
      </c>
      <c r="C237" s="130"/>
      <c r="D237" s="173">
        <f>SUM(D232:D236)</f>
        <v>468972397.25999993</v>
      </c>
      <c r="E237" s="173">
        <f>SUM(E232:E236)</f>
        <v>39169474</v>
      </c>
      <c r="F237" s="130"/>
      <c r="G237" s="177">
        <f>'Proposed Rates'!$I237</f>
        <v>2.9</v>
      </c>
      <c r="H237" s="173">
        <f>SUM(H232:H236)</f>
        <v>13600199</v>
      </c>
      <c r="I237" s="130"/>
      <c r="J237" s="177">
        <f>'Proposed Rates'!$V237</f>
        <v>3.1</v>
      </c>
      <c r="K237" s="173">
        <f>SUM(K232:K236)</f>
        <v>14239214</v>
      </c>
      <c r="L237" s="173">
        <f>SUM(L232:L236)</f>
        <v>639015</v>
      </c>
      <c r="M237" s="161"/>
    </row>
    <row r="238" spans="1:13" x14ac:dyDescent="0.2">
      <c r="A238" s="134"/>
      <c r="B238" s="128"/>
      <c r="C238" s="130"/>
      <c r="D238" s="173"/>
      <c r="E238" s="173"/>
      <c r="F238" s="130"/>
      <c r="G238" s="177"/>
      <c r="H238" s="173"/>
      <c r="I238" s="173"/>
      <c r="J238" s="173"/>
      <c r="K238" s="173"/>
      <c r="L238" s="173"/>
      <c r="M238" s="161"/>
    </row>
    <row r="239" spans="1:13" x14ac:dyDescent="0.2">
      <c r="A239" s="140">
        <f>'Plant &amp; Reserve'!$A239</f>
        <v>34687</v>
      </c>
      <c r="B239" s="130" t="str">
        <f>'Plant &amp; Reserve'!$B239</f>
        <v>Polk Amortizable Tools</v>
      </c>
      <c r="C239" s="130"/>
      <c r="D239" s="145">
        <f>'Plant &amp; Reserve'!$D239</f>
        <v>1206560.4700000002</v>
      </c>
      <c r="E239" s="145">
        <f>'Plant &amp; Reserve'!$E239</f>
        <v>697965</v>
      </c>
      <c r="F239" s="130"/>
      <c r="G239" s="138">
        <f>'Proposed Rates'!$I239</f>
        <v>14.3</v>
      </c>
      <c r="H239" s="145">
        <f t="shared" ref="H239" si="63">ROUND(($D239*G239)/100,0)</f>
        <v>172538</v>
      </c>
      <c r="I239" s="130"/>
      <c r="J239" s="138">
        <f>'Proposed Rates'!$V239</f>
        <v>14.3</v>
      </c>
      <c r="K239" s="145">
        <f t="shared" ref="K239" si="64">ROUND(($D239*J239)/100,0)</f>
        <v>172538</v>
      </c>
      <c r="L239" s="145">
        <f>K239-H239</f>
        <v>0</v>
      </c>
      <c r="M239" s="161"/>
    </row>
    <row r="240" spans="1:13" x14ac:dyDescent="0.2">
      <c r="A240" s="134"/>
      <c r="B240" s="130"/>
      <c r="C240" s="130"/>
      <c r="D240" s="145"/>
      <c r="E240" s="145"/>
      <c r="F240" s="130"/>
      <c r="G240" s="138"/>
      <c r="H240" s="145"/>
      <c r="I240" s="145"/>
      <c r="J240" s="145"/>
      <c r="K240" s="145"/>
      <c r="L240" s="145"/>
      <c r="M240" s="161"/>
    </row>
    <row r="241" spans="1:13" x14ac:dyDescent="0.2">
      <c r="A241" s="140">
        <f>'Plant &amp; Reserve'!$A241</f>
        <v>34287</v>
      </c>
      <c r="B241" s="130" t="str">
        <f>'Plant &amp; Reserve'!$B241</f>
        <v>Polk 1 Fuel Clause</v>
      </c>
      <c r="C241" s="130"/>
      <c r="D241" s="145">
        <f>'Plant &amp; Reserve'!$D241</f>
        <v>0</v>
      </c>
      <c r="E241" s="145">
        <f>'Plant &amp; Reserve'!$E241</f>
        <v>0</v>
      </c>
      <c r="F241" s="130"/>
      <c r="G241" s="138">
        <f>'Proposed Rates'!$I241</f>
        <v>20</v>
      </c>
      <c r="H241" s="145">
        <f t="shared" ref="H241" si="65">ROUND(($D241*G241)/100,0)</f>
        <v>0</v>
      </c>
      <c r="I241" s="130"/>
      <c r="J241" s="138">
        <f>'Proposed Rates'!$V241</f>
        <v>20</v>
      </c>
      <c r="K241" s="145">
        <f t="shared" ref="K241" si="66">ROUND(($D241*J241)/100,0)</f>
        <v>0</v>
      </c>
      <c r="L241" s="145">
        <f>K241-H241</f>
        <v>0</v>
      </c>
      <c r="M241" s="161"/>
    </row>
    <row r="242" spans="1:13" ht="13.5" thickBot="1" x14ac:dyDescent="0.25">
      <c r="A242" s="182"/>
      <c r="B242" s="182"/>
      <c r="C242" s="130"/>
      <c r="D242" s="145"/>
      <c r="E242" s="145"/>
      <c r="F242" s="130"/>
      <c r="G242" s="138"/>
      <c r="H242" s="145"/>
      <c r="I242" s="130"/>
      <c r="J242" s="138"/>
      <c r="K242" s="145"/>
      <c r="L242" s="145"/>
      <c r="M242" s="146"/>
    </row>
    <row r="243" spans="1:13" ht="19.5" customHeight="1" thickTop="1" thickBot="1" x14ac:dyDescent="0.25">
      <c r="A243" s="494"/>
      <c r="B243" s="384"/>
      <c r="C243" s="130"/>
      <c r="D243" s="196">
        <f>SUM(D195,D202,D209,D216,D223,D230,D237,D239,D241)</f>
        <v>1368350419.73</v>
      </c>
      <c r="E243" s="196">
        <f>SUM(E195,E202,E209,E216,E223,E230,E237,E239,E241)</f>
        <v>385148258</v>
      </c>
      <c r="F243" s="130"/>
      <c r="G243" s="826">
        <f>IF($D243=0,0,H243/$D243*100)</f>
        <v>3.1805852778988863</v>
      </c>
      <c r="H243" s="196">
        <f>SUM(H195,H202,H209,H216,H223,H230,H237,H239,H241)</f>
        <v>43521552</v>
      </c>
      <c r="I243" s="130"/>
      <c r="J243" s="826">
        <f>IF($D243=0,0,K243/$D243*100)</f>
        <v>3.5675408357482259</v>
      </c>
      <c r="K243" s="196">
        <f>SUM(K195,K202,K209,K216,K223,K230,K237,K239,K241)</f>
        <v>48816460</v>
      </c>
      <c r="L243" s="196">
        <f>SUM(L195,L202,L209,L216,L223,L230,L237,L239,L241)</f>
        <v>5294908</v>
      </c>
      <c r="M243" s="146"/>
    </row>
    <row r="244" spans="1:13" ht="13.5" thickTop="1" x14ac:dyDescent="0.2">
      <c r="A244" s="200"/>
      <c r="B244" s="130"/>
      <c r="C244" s="130"/>
      <c r="D244" s="145"/>
      <c r="E244" s="145"/>
      <c r="F244" s="130"/>
      <c r="G244" s="138"/>
      <c r="H244" s="145"/>
      <c r="I244" s="130"/>
      <c r="J244" s="138"/>
      <c r="K244" s="145"/>
      <c r="L244" s="145"/>
      <c r="M244" s="146"/>
    </row>
    <row r="245" spans="1:13" x14ac:dyDescent="0.2">
      <c r="A245" s="200"/>
      <c r="B245" s="202" t="s">
        <v>861</v>
      </c>
      <c r="C245" s="130"/>
      <c r="D245" s="145"/>
      <c r="E245" s="145"/>
      <c r="F245" s="130"/>
      <c r="G245" s="138"/>
      <c r="H245" s="145"/>
      <c r="I245" s="130"/>
      <c r="J245" s="138"/>
      <c r="K245" s="145"/>
      <c r="L245" s="145"/>
      <c r="M245" s="146"/>
    </row>
    <row r="246" spans="1:13" x14ac:dyDescent="0.2">
      <c r="A246" s="200"/>
      <c r="B246" s="130"/>
      <c r="C246" s="130"/>
      <c r="D246" s="145"/>
      <c r="E246" s="145"/>
      <c r="F246" s="130"/>
      <c r="G246" s="138"/>
      <c r="H246" s="145"/>
      <c r="I246" s="130"/>
      <c r="J246" s="138"/>
      <c r="K246" s="145"/>
      <c r="L246" s="145"/>
      <c r="M246" s="146"/>
    </row>
    <row r="247" spans="1:13" x14ac:dyDescent="0.2">
      <c r="A247" s="140">
        <f>'Plant &amp; Reserve'!$A247</f>
        <v>34199</v>
      </c>
      <c r="B247" s="130" t="str">
        <f>'Plant &amp; Reserve'!$B247</f>
        <v>Solar Sites</v>
      </c>
      <c r="C247" s="130"/>
      <c r="D247" s="145">
        <f>'Plant &amp; Reserve'!$D247</f>
        <v>176075355.94000003</v>
      </c>
      <c r="E247" s="145">
        <f>'Plant &amp; Reserve'!$E247</f>
        <v>5959130</v>
      </c>
      <c r="F247" s="130"/>
      <c r="G247" s="138">
        <f>'Proposed Rates'!$I247</f>
        <v>3.3</v>
      </c>
      <c r="H247" s="145">
        <f t="shared" ref="H247:H252" si="67">ROUND(($D247*G247)/100,0)</f>
        <v>5810487</v>
      </c>
      <c r="I247" s="130"/>
      <c r="J247" s="138">
        <f>'Proposed Rates'!$V247</f>
        <v>3.3</v>
      </c>
      <c r="K247" s="145">
        <f t="shared" ref="K247:K252" si="68">ROUND(($D247*J247)/100,0)</f>
        <v>5810487</v>
      </c>
      <c r="L247" s="145">
        <f t="shared" ref="L247:L252" si="69">K247-H247</f>
        <v>0</v>
      </c>
      <c r="M247" s="146"/>
    </row>
    <row r="248" spans="1:13" x14ac:dyDescent="0.2">
      <c r="A248" s="140">
        <f>'Plant &amp; Reserve'!$A248</f>
        <v>34299</v>
      </c>
      <c r="B248" s="130" t="str">
        <f>'Plant &amp; Reserve'!$B248</f>
        <v>Solar Sites</v>
      </c>
      <c r="C248" s="130"/>
      <c r="D248" s="145">
        <f>'Plant &amp; Reserve'!$D248</f>
        <v>0</v>
      </c>
      <c r="E248" s="145">
        <f>'Plant &amp; Reserve'!$E248</f>
        <v>0</v>
      </c>
      <c r="F248" s="130"/>
      <c r="G248" s="138">
        <f>'Proposed Rates'!$I248</f>
        <v>3.3</v>
      </c>
      <c r="H248" s="145">
        <f t="shared" si="67"/>
        <v>0</v>
      </c>
      <c r="I248" s="130"/>
      <c r="J248" s="138">
        <f>'Proposed Rates'!$V248</f>
        <v>3.3</v>
      </c>
      <c r="K248" s="145">
        <f t="shared" si="68"/>
        <v>0</v>
      </c>
      <c r="L248" s="145">
        <f t="shared" si="69"/>
        <v>0</v>
      </c>
      <c r="M248" s="146"/>
    </row>
    <row r="249" spans="1:13" x14ac:dyDescent="0.2">
      <c r="A249" s="140">
        <f>'Plant &amp; Reserve'!$A249</f>
        <v>34399</v>
      </c>
      <c r="B249" s="130" t="str">
        <f>'Plant &amp; Reserve'!$B249</f>
        <v>Solar Sites</v>
      </c>
      <c r="C249" s="130"/>
      <c r="D249" s="145">
        <f>'Plant &amp; Reserve'!$D249</f>
        <v>272856761.74000001</v>
      </c>
      <c r="E249" s="145">
        <f>'Plant &amp; Reserve'!$E249</f>
        <v>11221756</v>
      </c>
      <c r="F249" s="130"/>
      <c r="G249" s="138">
        <f>'Proposed Rates'!$I249</f>
        <v>3.3</v>
      </c>
      <c r="H249" s="145">
        <f t="shared" si="67"/>
        <v>9004273</v>
      </c>
      <c r="I249" s="130"/>
      <c r="J249" s="138">
        <f>'Proposed Rates'!$V249</f>
        <v>3.3</v>
      </c>
      <c r="K249" s="145">
        <f t="shared" si="68"/>
        <v>9004273</v>
      </c>
      <c r="L249" s="145">
        <f t="shared" si="69"/>
        <v>0</v>
      </c>
      <c r="M249" s="146"/>
    </row>
    <row r="250" spans="1:13" x14ac:dyDescent="0.2">
      <c r="A250" s="140">
        <f>'Plant &amp; Reserve'!$A250</f>
        <v>34599</v>
      </c>
      <c r="B250" s="130" t="str">
        <f>'Plant &amp; Reserve'!$B250</f>
        <v>Solar Sites</v>
      </c>
      <c r="C250" s="130"/>
      <c r="D250" s="145">
        <f>'Plant &amp; Reserve'!$D250</f>
        <v>96257197.900000006</v>
      </c>
      <c r="E250" s="145">
        <f>'Plant &amp; Reserve'!$E250</f>
        <v>3766750</v>
      </c>
      <c r="F250" s="130"/>
      <c r="G250" s="138">
        <f>'Proposed Rates'!$I250</f>
        <v>3.3</v>
      </c>
      <c r="H250" s="145">
        <f t="shared" si="67"/>
        <v>3176488</v>
      </c>
      <c r="I250" s="130"/>
      <c r="J250" s="138">
        <f>'Proposed Rates'!$V250</f>
        <v>3.3</v>
      </c>
      <c r="K250" s="145">
        <f t="shared" si="68"/>
        <v>3176488</v>
      </c>
      <c r="L250" s="145">
        <f t="shared" si="69"/>
        <v>0</v>
      </c>
      <c r="M250" s="146"/>
    </row>
    <row r="251" spans="1:13" x14ac:dyDescent="0.2">
      <c r="A251" s="140">
        <f>'Plant &amp; Reserve'!$A251</f>
        <v>34699</v>
      </c>
      <c r="B251" s="130" t="str">
        <f>'Plant &amp; Reserve'!$B251</f>
        <v>Solar Sites</v>
      </c>
      <c r="C251" s="130"/>
      <c r="D251" s="145">
        <f>'Plant &amp; Reserve'!$D251</f>
        <v>0</v>
      </c>
      <c r="E251" s="145">
        <f>'Plant &amp; Reserve'!$E251</f>
        <v>0</v>
      </c>
      <c r="F251" s="130"/>
      <c r="G251" s="138">
        <f>'Proposed Rates'!$I251</f>
        <v>3.3</v>
      </c>
      <c r="H251" s="145">
        <f t="shared" si="67"/>
        <v>0</v>
      </c>
      <c r="I251" s="130"/>
      <c r="J251" s="138">
        <f>'Proposed Rates'!$V251</f>
        <v>3.3</v>
      </c>
      <c r="K251" s="145">
        <f t="shared" si="68"/>
        <v>0</v>
      </c>
      <c r="L251" s="145">
        <f t="shared" si="69"/>
        <v>0</v>
      </c>
      <c r="M251" s="146"/>
    </row>
    <row r="252" spans="1:13" ht="15" x14ac:dyDescent="0.2">
      <c r="A252" s="140">
        <f>'Plant &amp; Reserve'!$A252</f>
        <v>34899</v>
      </c>
      <c r="B252" s="168" t="str">
        <f>'Plant &amp; Reserve'!$B252</f>
        <v>Solar Sites</v>
      </c>
      <c r="C252" s="130"/>
      <c r="D252" s="171">
        <f>'Plant &amp; Reserve'!$D252</f>
        <v>0</v>
      </c>
      <c r="E252" s="171">
        <f>'Plant &amp; Reserve'!$E252</f>
        <v>0</v>
      </c>
      <c r="F252" s="130"/>
      <c r="G252" s="170">
        <f>'Proposed Rates'!$I252</f>
        <v>10</v>
      </c>
      <c r="H252" s="172">
        <f t="shared" si="67"/>
        <v>0</v>
      </c>
      <c r="I252" s="130"/>
      <c r="J252" s="170">
        <f>'Proposed Rates'!$V252</f>
        <v>10</v>
      </c>
      <c r="K252" s="171">
        <f t="shared" si="68"/>
        <v>0</v>
      </c>
      <c r="L252" s="171">
        <f t="shared" si="69"/>
        <v>0</v>
      </c>
      <c r="M252" s="146"/>
    </row>
    <row r="253" spans="1:13" x14ac:dyDescent="0.2">
      <c r="A253" s="134"/>
      <c r="B253" s="128" t="s">
        <v>75</v>
      </c>
      <c r="C253" s="130"/>
      <c r="D253" s="173">
        <f>SUM(D247:D252)</f>
        <v>545189315.58000004</v>
      </c>
      <c r="E253" s="173">
        <f>SUM(E247:E252)</f>
        <v>20947636</v>
      </c>
      <c r="F253" s="130"/>
      <c r="G253" s="177">
        <f>'Proposed Rates'!$I253</f>
        <v>3.3</v>
      </c>
      <c r="H253" s="173">
        <f>SUM(H247:H252)</f>
        <v>17991248</v>
      </c>
      <c r="I253" s="130"/>
      <c r="J253" s="177">
        <f>'Proposed Rates'!$V253</f>
        <v>3.3</v>
      </c>
      <c r="K253" s="173">
        <f>SUM(K247:K252)</f>
        <v>17991248</v>
      </c>
      <c r="L253" s="173">
        <f>SUM(L247:L252)</f>
        <v>0</v>
      </c>
      <c r="M253" s="146"/>
    </row>
    <row r="254" spans="1:13" ht="13.5" thickBot="1" x14ac:dyDescent="0.25">
      <c r="A254" s="182"/>
      <c r="B254" s="182"/>
      <c r="C254" s="130"/>
      <c r="D254" s="145"/>
      <c r="E254" s="145"/>
      <c r="F254" s="130"/>
      <c r="G254" s="138"/>
      <c r="H254" s="145"/>
      <c r="I254" s="130"/>
      <c r="J254" s="138"/>
      <c r="K254" s="145"/>
      <c r="L254" s="145"/>
      <c r="M254" s="146"/>
    </row>
    <row r="255" spans="1:13" ht="19.5" customHeight="1" thickTop="1" thickBot="1" x14ac:dyDescent="0.25">
      <c r="A255" s="494"/>
      <c r="B255" s="384"/>
      <c r="C255" s="130"/>
      <c r="D255" s="196">
        <f>D253</f>
        <v>545189315.58000004</v>
      </c>
      <c r="E255" s="196">
        <f>E253</f>
        <v>20947636</v>
      </c>
      <c r="F255" s="130"/>
      <c r="G255" s="826">
        <f>IF($D255=0,0,H255/$D255*100)</f>
        <v>3.3000001074599195</v>
      </c>
      <c r="H255" s="196">
        <f>H253</f>
        <v>17991248</v>
      </c>
      <c r="I255" s="130"/>
      <c r="J255" s="826">
        <f>IF($D255=0,0,K255/$D255*100)</f>
        <v>3.3000001074599195</v>
      </c>
      <c r="K255" s="196">
        <f>K253</f>
        <v>17991248</v>
      </c>
      <c r="L255" s="196">
        <f>L253</f>
        <v>0</v>
      </c>
      <c r="M255" s="146"/>
    </row>
    <row r="256" spans="1:13" ht="13.5" thickTop="1" x14ac:dyDescent="0.2">
      <c r="A256" s="200"/>
      <c r="B256" s="800"/>
      <c r="C256" s="130"/>
      <c r="D256" s="145"/>
      <c r="E256" s="145"/>
      <c r="F256" s="130"/>
      <c r="G256" s="138"/>
      <c r="H256" s="145"/>
      <c r="I256" s="130"/>
      <c r="J256" s="138"/>
      <c r="K256" s="145"/>
      <c r="L256" s="145"/>
      <c r="M256" s="146"/>
    </row>
    <row r="257" spans="1:13" ht="13.5" thickBot="1" x14ac:dyDescent="0.25">
      <c r="A257" s="203"/>
      <c r="B257" s="807"/>
      <c r="C257" s="130"/>
      <c r="D257" s="204"/>
      <c r="E257" s="204"/>
      <c r="F257" s="130"/>
      <c r="G257" s="205" t="s">
        <v>60</v>
      </c>
      <c r="H257" s="204"/>
      <c r="I257" s="130"/>
      <c r="J257" s="206"/>
      <c r="K257" s="204"/>
      <c r="L257" s="204"/>
      <c r="M257" s="127"/>
    </row>
    <row r="258" spans="1:13" ht="19.5" customHeight="1" thickTop="1" thickBot="1" x14ac:dyDescent="0.25">
      <c r="A258" s="808"/>
      <c r="B258" s="802"/>
      <c r="C258" s="130"/>
      <c r="D258" s="192">
        <f>SUM(D131,D186,D243,D255)</f>
        <v>3064959319.3000002</v>
      </c>
      <c r="E258" s="192">
        <f>SUM(E131,E186,E243,E255)</f>
        <v>768082838</v>
      </c>
      <c r="F258" s="130"/>
      <c r="G258" s="829">
        <f>IF($D258=0,0,H258/$D258*100)</f>
        <v>3.3522342809909018</v>
      </c>
      <c r="H258" s="192">
        <f>SUM(H131,H186,H243,H255)</f>
        <v>102744617</v>
      </c>
      <c r="I258" s="130"/>
      <c r="J258" s="829">
        <f>IF($D258=0,0,K258/$D258*100)</f>
        <v>3.9594010346511159</v>
      </c>
      <c r="K258" s="192">
        <f>SUM(K131,K186,K243,K255)</f>
        <v>121354031</v>
      </c>
      <c r="L258" s="192">
        <f>SUM(L131,L186,L243,L255)</f>
        <v>18609414</v>
      </c>
      <c r="M258" s="127"/>
    </row>
    <row r="259" spans="1:13" ht="13.5" thickTop="1" x14ac:dyDescent="0.2">
      <c r="A259" s="208"/>
      <c r="B259" s="387"/>
      <c r="C259" s="130"/>
      <c r="D259" s="145"/>
      <c r="E259" s="145"/>
      <c r="F259" s="130"/>
      <c r="G259" s="179" t="s">
        <v>60</v>
      </c>
      <c r="H259" s="145"/>
      <c r="I259" s="130"/>
      <c r="J259" s="179" t="s">
        <v>60</v>
      </c>
      <c r="K259" s="145"/>
      <c r="L259" s="145"/>
      <c r="M259" s="127"/>
    </row>
    <row r="260" spans="1:13" x14ac:dyDescent="0.2">
      <c r="A260" s="208"/>
      <c r="B260" s="469" t="s">
        <v>1122</v>
      </c>
      <c r="C260" s="130"/>
      <c r="D260" s="145"/>
      <c r="E260" s="145"/>
      <c r="F260" s="130"/>
      <c r="G260" s="179"/>
      <c r="H260" s="145"/>
      <c r="I260" s="130"/>
      <c r="J260" s="179"/>
      <c r="K260" s="145"/>
      <c r="L260" s="145"/>
      <c r="M260" s="127"/>
    </row>
    <row r="261" spans="1:13" x14ac:dyDescent="0.2">
      <c r="A261" s="208"/>
      <c r="B261" s="387"/>
      <c r="C261" s="130"/>
      <c r="D261" s="145"/>
      <c r="E261" s="145"/>
      <c r="F261" s="130"/>
      <c r="G261" s="179"/>
      <c r="H261" s="145"/>
      <c r="I261" s="130"/>
      <c r="J261" s="179"/>
      <c r="K261" s="145"/>
      <c r="L261" s="145"/>
      <c r="M261" s="127"/>
    </row>
    <row r="262" spans="1:13" x14ac:dyDescent="0.2">
      <c r="A262" s="140">
        <f>'Plant &amp; Reserve'!$A262</f>
        <v>31700</v>
      </c>
      <c r="B262" s="130" t="str">
        <f>'Plant &amp; Reserve'!$B262</f>
        <v>Various Sites</v>
      </c>
      <c r="C262" s="130"/>
      <c r="D262" s="145">
        <f>'Plant &amp; Reserve'!$D262</f>
        <v>30036948.829999991</v>
      </c>
      <c r="E262" s="145">
        <f>'Plant &amp; Reserve'!$E262</f>
        <v>15437208</v>
      </c>
      <c r="F262" s="130"/>
      <c r="G262" s="830">
        <f>ROUND(417848.1*12/D262*100,1)</f>
        <v>16.7</v>
      </c>
      <c r="H262" s="145">
        <f t="shared" ref="H262:H263" si="70">ROUND(($D262*G262)/100,0)</f>
        <v>5016170</v>
      </c>
      <c r="I262" s="130"/>
      <c r="J262" s="830">
        <f>G262</f>
        <v>16.7</v>
      </c>
      <c r="K262" s="145">
        <f>ROUND(($D262*J262)/100,0)</f>
        <v>5016170</v>
      </c>
      <c r="L262" s="145">
        <f>K262-H262</f>
        <v>0</v>
      </c>
      <c r="M262" s="127"/>
    </row>
    <row r="263" spans="1:13" ht="15" x14ac:dyDescent="0.2">
      <c r="A263" s="140">
        <f>'Plant &amp; Reserve'!$A263</f>
        <v>34700</v>
      </c>
      <c r="B263" s="168" t="str">
        <f>'Plant &amp; Reserve'!$B263</f>
        <v>Various Sites</v>
      </c>
      <c r="C263" s="130"/>
      <c r="D263" s="171">
        <f>'Plant &amp; Reserve'!$D263</f>
        <v>1885797.7400000002</v>
      </c>
      <c r="E263" s="171">
        <f>'Plant &amp; Reserve'!$E263</f>
        <v>301198</v>
      </c>
      <c r="F263" s="130"/>
      <c r="G263" s="779">
        <f>ROUND(5361.15*12/D263*100,1)</f>
        <v>3.4</v>
      </c>
      <c r="H263" s="172">
        <f t="shared" si="70"/>
        <v>64117</v>
      </c>
      <c r="I263" s="130"/>
      <c r="J263" s="779">
        <f>G263</f>
        <v>3.4</v>
      </c>
      <c r="K263" s="171">
        <f>ROUND(($D263*J263)/100,0)</f>
        <v>64117</v>
      </c>
      <c r="L263" s="171">
        <f>K263-H263</f>
        <v>0</v>
      </c>
      <c r="M263" s="127"/>
    </row>
    <row r="264" spans="1:13" x14ac:dyDescent="0.2">
      <c r="A264" s="208"/>
      <c r="B264" s="128" t="s">
        <v>75</v>
      </c>
      <c r="C264" s="130"/>
      <c r="D264" s="173">
        <f>SUM(D262:D263)</f>
        <v>31922746.569999993</v>
      </c>
      <c r="E264" s="173">
        <f>SUM(E262:E263)</f>
        <v>15738406</v>
      </c>
      <c r="F264" s="130"/>
      <c r="G264" s="177">
        <f>H264/D264</f>
        <v>0.15914316736061476</v>
      </c>
      <c r="H264" s="173">
        <f>SUM(H262:H263)</f>
        <v>5080287</v>
      </c>
      <c r="I264" s="130"/>
      <c r="J264" s="177">
        <f>K264/D264</f>
        <v>0.15914316736061476</v>
      </c>
      <c r="K264" s="173">
        <f>SUM(K262:K263)</f>
        <v>5080287</v>
      </c>
      <c r="L264" s="173">
        <f>SUM(L262:L263)</f>
        <v>0</v>
      </c>
      <c r="M264" s="127"/>
    </row>
    <row r="265" spans="1:13" ht="13.5" thickBot="1" x14ac:dyDescent="0.25">
      <c r="A265" s="182"/>
      <c r="B265" s="182"/>
      <c r="C265" s="130"/>
      <c r="D265" s="145"/>
      <c r="E265" s="145"/>
      <c r="F265" s="130"/>
      <c r="G265" s="179"/>
      <c r="H265" s="145"/>
      <c r="I265" s="130"/>
      <c r="J265" s="179"/>
      <c r="K265" s="145"/>
      <c r="L265" s="145"/>
      <c r="M265" s="127"/>
    </row>
    <row r="266" spans="1:13" ht="19.5" customHeight="1" thickTop="1" thickBot="1" x14ac:dyDescent="0.25">
      <c r="A266" s="494"/>
      <c r="B266" s="384" t="s">
        <v>1124</v>
      </c>
      <c r="C266" s="130"/>
      <c r="D266" s="196">
        <f>D264</f>
        <v>31922746.569999993</v>
      </c>
      <c r="E266" s="196">
        <f>E264</f>
        <v>15738406</v>
      </c>
      <c r="F266" s="130"/>
      <c r="G266" s="826">
        <f>IF($D266=0,0,H266/$D266*100)</f>
        <v>15.914316736061476</v>
      </c>
      <c r="H266" s="196">
        <f>H264</f>
        <v>5080287</v>
      </c>
      <c r="I266" s="130"/>
      <c r="J266" s="826">
        <f>IF($D266=0,0,K266/$D266*100)</f>
        <v>15.914316736061476</v>
      </c>
      <c r="K266" s="196">
        <f>K264</f>
        <v>5080287</v>
      </c>
      <c r="L266" s="196">
        <f>L264</f>
        <v>0</v>
      </c>
      <c r="M266" s="146"/>
    </row>
    <row r="267" spans="1:13" ht="13.5" thickTop="1" x14ac:dyDescent="0.2">
      <c r="A267" s="208"/>
      <c r="B267" s="387"/>
      <c r="C267" s="130"/>
      <c r="D267" s="145"/>
      <c r="E267" s="145"/>
      <c r="F267" s="130"/>
      <c r="G267" s="179"/>
      <c r="H267" s="145"/>
      <c r="I267" s="130"/>
      <c r="J267" s="179"/>
      <c r="K267" s="145"/>
      <c r="L267" s="145"/>
      <c r="M267" s="127"/>
    </row>
    <row r="268" spans="1:13" ht="13.5" thickBot="1" x14ac:dyDescent="0.25">
      <c r="A268" s="187"/>
      <c r="B268" s="807"/>
      <c r="C268" s="130"/>
      <c r="D268" s="204"/>
      <c r="E268" s="204"/>
      <c r="F268" s="130"/>
      <c r="G268" s="206" t="s">
        <v>60</v>
      </c>
      <c r="H268" s="204"/>
      <c r="I268" s="130"/>
      <c r="J268" s="206" t="s">
        <v>60</v>
      </c>
      <c r="K268" s="204"/>
      <c r="L268" s="204"/>
      <c r="M268" s="127"/>
    </row>
    <row r="269" spans="1:13" ht="19.5" customHeight="1" thickTop="1" thickBot="1" x14ac:dyDescent="0.25">
      <c r="A269" s="808"/>
      <c r="B269" s="802" t="s">
        <v>67</v>
      </c>
      <c r="C269" s="130"/>
      <c r="D269" s="192">
        <f>SUM(D97,D258,D266)</f>
        <v>5277215397.7999992</v>
      </c>
      <c r="E269" s="192">
        <f>SUM(E97,E258,E266)</f>
        <v>1582087285</v>
      </c>
      <c r="F269" s="130"/>
      <c r="G269" s="829">
        <f>IF($D269=0,0,H269/$D269*100)</f>
        <v>3.4543535417560522</v>
      </c>
      <c r="H269" s="192">
        <f>SUM(H97,H258,H266)</f>
        <v>182293677</v>
      </c>
      <c r="I269" s="130"/>
      <c r="J269" s="829">
        <f>IF($D269=0,0,K269/$D269*100)</f>
        <v>3.9682625440549915</v>
      </c>
      <c r="K269" s="192">
        <f>SUM(K97,K258,K266)</f>
        <v>209413762</v>
      </c>
      <c r="L269" s="192">
        <f>SUM(L97,L258,L266)</f>
        <v>27120085</v>
      </c>
      <c r="M269" s="127"/>
    </row>
    <row r="270" spans="1:13" ht="13.5" thickTop="1" x14ac:dyDescent="0.2">
      <c r="A270" s="127"/>
      <c r="B270" s="127"/>
      <c r="C270" s="127"/>
      <c r="D270" s="143"/>
      <c r="E270" s="143"/>
      <c r="F270" s="143"/>
      <c r="G270" s="143"/>
      <c r="H270" s="143"/>
      <c r="I270" s="143"/>
      <c r="J270" s="143"/>
      <c r="K270" s="143"/>
      <c r="M270" s="127"/>
    </row>
    <row r="271" spans="1:13" x14ac:dyDescent="0.2">
      <c r="A271" s="208"/>
      <c r="B271" s="361" t="s">
        <v>1125</v>
      </c>
      <c r="C271" s="130"/>
      <c r="D271" s="145">
        <f>'Plant &amp; Reserve'!$D271</f>
        <v>5277215390.9399996</v>
      </c>
      <c r="E271" s="145">
        <f>'Plant &amp; Reserve'!$S271</f>
        <v>1582087288.8</v>
      </c>
      <c r="F271" s="130"/>
      <c r="G271" s="130"/>
      <c r="H271" s="130"/>
      <c r="I271" s="130"/>
      <c r="J271" s="130"/>
      <c r="K271" s="128"/>
      <c r="L271" s="780">
        <f>L269-27120085</f>
        <v>0</v>
      </c>
      <c r="M271" s="127"/>
    </row>
    <row r="272" spans="1:13" x14ac:dyDescent="0.2">
      <c r="A272" s="213"/>
      <c r="B272" s="810" t="s">
        <v>69</v>
      </c>
      <c r="C272" s="145"/>
      <c r="D272" s="145">
        <f>D271-D269</f>
        <v>-6.8599996566772461</v>
      </c>
      <c r="E272" s="145">
        <f>E271-E269</f>
        <v>3.7999999523162842</v>
      </c>
      <c r="F272" s="143"/>
      <c r="G272" s="143"/>
      <c r="H272" s="143"/>
      <c r="I272" s="143"/>
      <c r="J272" s="143"/>
      <c r="K272" s="143"/>
      <c r="L272" s="143"/>
      <c r="M272" s="127"/>
    </row>
    <row r="273" spans="1:13" x14ac:dyDescent="0.2">
      <c r="A273" s="127"/>
      <c r="B273" s="127"/>
      <c r="C273" s="127"/>
      <c r="D273" s="143"/>
      <c r="E273" s="143"/>
      <c r="F273" s="143"/>
      <c r="G273" s="143"/>
      <c r="H273" s="143"/>
      <c r="I273" s="143"/>
      <c r="J273" s="143"/>
      <c r="K273" s="143"/>
      <c r="L273" s="143"/>
      <c r="M273" s="127"/>
    </row>
    <row r="274" spans="1:13" x14ac:dyDescent="0.2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224"/>
    </row>
    <row r="275" spans="1:13" x14ac:dyDescent="0.2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64"/>
    </row>
    <row r="276" spans="1:13" x14ac:dyDescent="0.2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64"/>
    </row>
    <row r="277" spans="1:13" x14ac:dyDescent="0.2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64"/>
    </row>
    <row r="278" spans="1:13" x14ac:dyDescent="0.2">
      <c r="A278" s="225"/>
      <c r="B278" s="223"/>
      <c r="C278" s="223"/>
      <c r="D278" s="223"/>
      <c r="E278" s="226"/>
      <c r="F278" s="223"/>
      <c r="G278" s="223"/>
      <c r="H278" s="223"/>
      <c r="I278" s="223"/>
      <c r="J278" s="223"/>
      <c r="K278" s="227"/>
      <c r="L278" s="223"/>
      <c r="M278" s="64"/>
    </row>
    <row r="279" spans="1:13" x14ac:dyDescent="0.2">
      <c r="A279" s="225"/>
      <c r="B279" s="223"/>
      <c r="C279" s="223"/>
      <c r="D279" s="223"/>
      <c r="E279" s="226"/>
      <c r="F279" s="223"/>
      <c r="G279" s="223"/>
      <c r="H279" s="223"/>
      <c r="I279" s="223"/>
      <c r="J279" s="223"/>
      <c r="K279" s="227"/>
      <c r="L279" s="223"/>
      <c r="M279" s="64"/>
    </row>
    <row r="280" spans="1:13" x14ac:dyDescent="0.2">
      <c r="A280" s="225"/>
      <c r="B280" s="223"/>
      <c r="C280" s="223"/>
      <c r="D280" s="223"/>
      <c r="E280" s="226"/>
      <c r="F280" s="223"/>
      <c r="G280" s="223"/>
      <c r="H280" s="223"/>
      <c r="I280" s="223"/>
      <c r="J280" s="223"/>
      <c r="K280" s="227"/>
      <c r="L280" s="223"/>
      <c r="M280" s="64"/>
    </row>
    <row r="281" spans="1:13" x14ac:dyDescent="0.2">
      <c r="K281" s="66"/>
      <c r="M281" s="64"/>
    </row>
    <row r="282" spans="1:13" x14ac:dyDescent="0.2">
      <c r="K282" s="66"/>
      <c r="M282" s="64"/>
    </row>
    <row r="283" spans="1:13" x14ac:dyDescent="0.2">
      <c r="K283" s="66"/>
      <c r="M283" s="64"/>
    </row>
    <row r="284" spans="1:13" x14ac:dyDescent="0.2">
      <c r="K284" s="66"/>
      <c r="M284" s="64"/>
    </row>
    <row r="285" spans="1:13" x14ac:dyDescent="0.2">
      <c r="K285" s="66"/>
      <c r="M285" s="64"/>
    </row>
    <row r="286" spans="1:13" x14ac:dyDescent="0.2">
      <c r="K286" s="66"/>
      <c r="M286" s="64"/>
    </row>
    <row r="287" spans="1:13" x14ac:dyDescent="0.2">
      <c r="K287" s="66"/>
      <c r="M287" s="64"/>
    </row>
    <row r="288" spans="1:13" x14ac:dyDescent="0.2">
      <c r="K288" s="66"/>
      <c r="M288" s="64"/>
    </row>
    <row r="289" spans="1:13" x14ac:dyDescent="0.2">
      <c r="K289" s="66"/>
      <c r="M289" s="64"/>
    </row>
    <row r="290" spans="1:13" x14ac:dyDescent="0.2">
      <c r="K290" s="66"/>
      <c r="M290" s="64"/>
    </row>
    <row r="291" spans="1:13" x14ac:dyDescent="0.2">
      <c r="K291" s="66"/>
      <c r="M291" s="64"/>
    </row>
    <row r="292" spans="1:13" x14ac:dyDescent="0.2">
      <c r="K292" s="66"/>
      <c r="M292" s="64"/>
    </row>
    <row r="293" spans="1:13" x14ac:dyDescent="0.2">
      <c r="K293" s="66"/>
      <c r="M293" s="64"/>
    </row>
    <row r="294" spans="1:13" x14ac:dyDescent="0.2">
      <c r="K294" s="66"/>
      <c r="M294" s="64"/>
    </row>
    <row r="295" spans="1:13" x14ac:dyDescent="0.2">
      <c r="K295" s="66"/>
      <c r="M295" s="64"/>
    </row>
    <row r="296" spans="1:13" x14ac:dyDescent="0.2">
      <c r="K296" s="66"/>
      <c r="M296" s="64"/>
    </row>
    <row r="297" spans="1:13" x14ac:dyDescent="0.2">
      <c r="M297" s="64"/>
    </row>
    <row r="298" spans="1:13" x14ac:dyDescent="0.2">
      <c r="M298" s="64"/>
    </row>
    <row r="299" spans="1:13" x14ac:dyDescent="0.2">
      <c r="M299" s="64"/>
    </row>
    <row r="300" spans="1:13" x14ac:dyDescent="0.2">
      <c r="M300" s="64"/>
    </row>
    <row r="301" spans="1:13" x14ac:dyDescent="0.2">
      <c r="M301" s="64"/>
    </row>
    <row r="302" spans="1:13" x14ac:dyDescent="0.2">
      <c r="A302" s="63"/>
      <c r="E302" s="63"/>
      <c r="M302" s="64"/>
    </row>
    <row r="303" spans="1:13" x14ac:dyDescent="0.2">
      <c r="A303" s="63"/>
      <c r="E303" s="63"/>
      <c r="M303" s="64"/>
    </row>
    <row r="304" spans="1:13" x14ac:dyDescent="0.2">
      <c r="A304" s="63"/>
      <c r="E304" s="63"/>
      <c r="M304" s="64"/>
    </row>
    <row r="305" spans="1:13" x14ac:dyDescent="0.2">
      <c r="A305" s="63"/>
      <c r="E305" s="63"/>
      <c r="M305" s="64"/>
    </row>
    <row r="306" spans="1:13" x14ac:dyDescent="0.2">
      <c r="A306" s="63"/>
      <c r="E306" s="63"/>
      <c r="M306" s="64"/>
    </row>
    <row r="307" spans="1:13" x14ac:dyDescent="0.2">
      <c r="A307" s="63"/>
      <c r="E307" s="63"/>
      <c r="M307" s="64"/>
    </row>
    <row r="308" spans="1:13" x14ac:dyDescent="0.2">
      <c r="A308" s="63"/>
      <c r="E308" s="63"/>
      <c r="M308" s="64"/>
    </row>
    <row r="309" spans="1:13" x14ac:dyDescent="0.2">
      <c r="A309" s="63"/>
      <c r="E309" s="63"/>
      <c r="M309" s="64"/>
    </row>
    <row r="310" spans="1:13" x14ac:dyDescent="0.2">
      <c r="A310" s="63"/>
      <c r="E310" s="63"/>
      <c r="M310" s="64"/>
    </row>
    <row r="311" spans="1:13" x14ac:dyDescent="0.2">
      <c r="A311" s="63"/>
      <c r="E311" s="63"/>
      <c r="M311" s="64"/>
    </row>
    <row r="312" spans="1:13" x14ac:dyDescent="0.2">
      <c r="A312" s="63"/>
      <c r="E312" s="63"/>
      <c r="M312" s="64"/>
    </row>
    <row r="313" spans="1:13" x14ac:dyDescent="0.2">
      <c r="A313" s="63"/>
      <c r="E313" s="63"/>
      <c r="M313" s="64"/>
    </row>
    <row r="314" spans="1:13" x14ac:dyDescent="0.2">
      <c r="A314" s="63"/>
      <c r="E314" s="63"/>
      <c r="M314" s="64"/>
    </row>
    <row r="315" spans="1:13" x14ac:dyDescent="0.2">
      <c r="A315" s="63"/>
      <c r="E315" s="63"/>
      <c r="M315" s="64"/>
    </row>
    <row r="316" spans="1:13" x14ac:dyDescent="0.2">
      <c r="A316" s="63"/>
      <c r="E316" s="63"/>
      <c r="M316" s="64"/>
    </row>
    <row r="317" spans="1:13" x14ac:dyDescent="0.2">
      <c r="A317" s="63"/>
      <c r="E317" s="63"/>
      <c r="M317" s="64"/>
    </row>
    <row r="318" spans="1:13" ht="15.75" x14ac:dyDescent="0.25">
      <c r="A318" s="63"/>
      <c r="B318" s="520"/>
      <c r="E318" s="63"/>
      <c r="M318" s="64"/>
    </row>
    <row r="319" spans="1:13" ht="15.75" x14ac:dyDescent="0.25">
      <c r="A319" s="63"/>
      <c r="B319" s="520"/>
      <c r="E319" s="63"/>
      <c r="M319" s="64"/>
    </row>
    <row r="320" spans="1:13" ht="15.75" x14ac:dyDescent="0.25">
      <c r="A320" s="63"/>
      <c r="B320" s="520"/>
      <c r="E320" s="63"/>
      <c r="M320" s="64"/>
    </row>
    <row r="321" spans="1:13" ht="15.75" x14ac:dyDescent="0.25">
      <c r="A321" s="63"/>
      <c r="B321" s="520"/>
      <c r="E321" s="63"/>
      <c r="M321" s="64"/>
    </row>
    <row r="322" spans="1:13" ht="15.75" x14ac:dyDescent="0.25">
      <c r="A322" s="63"/>
      <c r="B322" s="520"/>
      <c r="E322" s="63"/>
      <c r="M322" s="64"/>
    </row>
    <row r="323" spans="1:13" ht="15.75" x14ac:dyDescent="0.25">
      <c r="A323" s="63"/>
      <c r="B323" s="519"/>
      <c r="E323" s="63"/>
      <c r="M323" s="64"/>
    </row>
    <row r="324" spans="1:13" ht="15.75" x14ac:dyDescent="0.25">
      <c r="A324" s="63"/>
      <c r="B324" s="520"/>
      <c r="E324" s="63"/>
      <c r="M324" s="64"/>
    </row>
    <row r="325" spans="1:13" x14ac:dyDescent="0.2">
      <c r="A325" s="63"/>
      <c r="E325" s="63"/>
      <c r="M325" s="64"/>
    </row>
    <row r="326" spans="1:13" x14ac:dyDescent="0.2">
      <c r="A326" s="63"/>
      <c r="E326" s="63"/>
      <c r="M326" s="64"/>
    </row>
    <row r="327" spans="1:13" x14ac:dyDescent="0.2">
      <c r="A327" s="63"/>
      <c r="E327" s="63"/>
      <c r="M327" s="64"/>
    </row>
    <row r="328" spans="1:13" x14ac:dyDescent="0.2">
      <c r="A328" s="63"/>
      <c r="E328" s="63"/>
      <c r="M328" s="64"/>
    </row>
    <row r="329" spans="1:13" x14ac:dyDescent="0.2">
      <c r="A329" s="63"/>
      <c r="E329" s="63"/>
      <c r="M329" s="64"/>
    </row>
    <row r="330" spans="1:13" x14ac:dyDescent="0.2">
      <c r="A330" s="63"/>
      <c r="E330" s="63"/>
      <c r="M330" s="64"/>
    </row>
    <row r="331" spans="1:13" x14ac:dyDescent="0.2">
      <c r="A331" s="63"/>
      <c r="E331" s="63"/>
      <c r="M331" s="64"/>
    </row>
    <row r="332" spans="1:13" x14ac:dyDescent="0.2">
      <c r="A332" s="63"/>
      <c r="E332" s="63"/>
      <c r="M332" s="64"/>
    </row>
    <row r="333" spans="1:13" x14ac:dyDescent="0.2">
      <c r="A333" s="63"/>
      <c r="E333" s="63"/>
      <c r="M333" s="64"/>
    </row>
    <row r="334" spans="1:13" x14ac:dyDescent="0.2">
      <c r="A334" s="63"/>
      <c r="E334" s="63"/>
      <c r="M334" s="64"/>
    </row>
    <row r="335" spans="1:13" x14ac:dyDescent="0.2">
      <c r="A335" s="63"/>
      <c r="E335" s="63"/>
      <c r="M335" s="64"/>
    </row>
    <row r="336" spans="1:13" x14ac:dyDescent="0.2">
      <c r="A336" s="63"/>
      <c r="E336" s="63"/>
      <c r="M336" s="64"/>
    </row>
    <row r="337" spans="1:13" x14ac:dyDescent="0.2">
      <c r="A337" s="63"/>
      <c r="E337" s="63"/>
      <c r="M337" s="64"/>
    </row>
    <row r="338" spans="1:13" x14ac:dyDescent="0.2">
      <c r="A338" s="63"/>
      <c r="E338" s="63"/>
      <c r="M338" s="64"/>
    </row>
    <row r="339" spans="1:13" x14ac:dyDescent="0.2">
      <c r="A339" s="63"/>
      <c r="E339" s="63"/>
      <c r="M339" s="64"/>
    </row>
    <row r="340" spans="1:13" x14ac:dyDescent="0.2">
      <c r="A340" s="63"/>
      <c r="E340" s="63"/>
      <c r="M340" s="64"/>
    </row>
    <row r="341" spans="1:13" x14ac:dyDescent="0.2">
      <c r="A341" s="63"/>
      <c r="E341" s="63"/>
      <c r="M341" s="64"/>
    </row>
    <row r="342" spans="1:13" x14ac:dyDescent="0.2">
      <c r="A342" s="63"/>
      <c r="E342" s="63"/>
      <c r="M342" s="64"/>
    </row>
    <row r="343" spans="1:13" x14ac:dyDescent="0.2">
      <c r="A343" s="63"/>
      <c r="E343" s="63"/>
      <c r="M343" s="64"/>
    </row>
    <row r="344" spans="1:13" x14ac:dyDescent="0.2">
      <c r="A344" s="63"/>
      <c r="E344" s="63"/>
      <c r="M344" s="64"/>
    </row>
    <row r="345" spans="1:13" x14ac:dyDescent="0.2">
      <c r="A345" s="63"/>
      <c r="E345" s="63"/>
      <c r="M345" s="64"/>
    </row>
    <row r="346" spans="1:13" x14ac:dyDescent="0.2">
      <c r="A346" s="63"/>
      <c r="E346" s="63"/>
      <c r="M346" s="64"/>
    </row>
    <row r="347" spans="1:13" x14ac:dyDescent="0.2">
      <c r="A347" s="63"/>
      <c r="E347" s="63"/>
      <c r="M347" s="64"/>
    </row>
    <row r="348" spans="1:13" x14ac:dyDescent="0.2">
      <c r="A348" s="63"/>
      <c r="E348" s="63"/>
      <c r="M348" s="64"/>
    </row>
    <row r="349" spans="1:13" x14ac:dyDescent="0.2">
      <c r="A349" s="63"/>
      <c r="E349" s="63"/>
      <c r="M349" s="64"/>
    </row>
    <row r="350" spans="1:13" x14ac:dyDescent="0.2">
      <c r="A350" s="63"/>
      <c r="E350" s="63"/>
      <c r="M350" s="64"/>
    </row>
    <row r="351" spans="1:13" x14ac:dyDescent="0.2">
      <c r="A351" s="63"/>
      <c r="E351" s="63"/>
      <c r="M351" s="64"/>
    </row>
    <row r="352" spans="1:13" x14ac:dyDescent="0.2">
      <c r="A352" s="63"/>
      <c r="E352" s="63"/>
      <c r="M352" s="64"/>
    </row>
    <row r="353" spans="1:13" x14ac:dyDescent="0.2">
      <c r="A353" s="63"/>
      <c r="E353" s="63"/>
      <c r="M353" s="64"/>
    </row>
    <row r="354" spans="1:13" x14ac:dyDescent="0.2">
      <c r="A354" s="63"/>
      <c r="E354" s="63"/>
      <c r="M354" s="64"/>
    </row>
    <row r="355" spans="1:13" x14ac:dyDescent="0.2">
      <c r="A355" s="63"/>
      <c r="E355" s="63"/>
      <c r="M355" s="64"/>
    </row>
    <row r="356" spans="1:13" x14ac:dyDescent="0.2">
      <c r="A356" s="63"/>
      <c r="E356" s="63"/>
      <c r="M356" s="64"/>
    </row>
    <row r="357" spans="1:13" x14ac:dyDescent="0.2">
      <c r="A357" s="63"/>
      <c r="E357" s="63"/>
      <c r="M357" s="64"/>
    </row>
    <row r="358" spans="1:13" x14ac:dyDescent="0.2">
      <c r="A358" s="63"/>
      <c r="E358" s="63"/>
      <c r="M358" s="64"/>
    </row>
    <row r="359" spans="1:13" x14ac:dyDescent="0.2">
      <c r="A359" s="63"/>
      <c r="E359" s="63"/>
      <c r="M359" s="64"/>
    </row>
    <row r="360" spans="1:13" x14ac:dyDescent="0.2">
      <c r="A360" s="63"/>
      <c r="E360" s="63"/>
      <c r="M360" s="64"/>
    </row>
    <row r="361" spans="1:13" x14ac:dyDescent="0.2">
      <c r="A361" s="63"/>
      <c r="E361" s="63"/>
      <c r="M361" s="64"/>
    </row>
    <row r="362" spans="1:13" x14ac:dyDescent="0.2">
      <c r="A362" s="63"/>
      <c r="E362" s="63"/>
      <c r="M362" s="64"/>
    </row>
    <row r="363" spans="1:13" x14ac:dyDescent="0.2">
      <c r="A363" s="63"/>
      <c r="E363" s="63"/>
      <c r="M363" s="64"/>
    </row>
    <row r="364" spans="1:13" x14ac:dyDescent="0.2">
      <c r="A364" s="63"/>
      <c r="E364" s="63"/>
      <c r="M364" s="64"/>
    </row>
    <row r="365" spans="1:13" x14ac:dyDescent="0.2">
      <c r="A365" s="63"/>
      <c r="E365" s="63"/>
      <c r="M365" s="64"/>
    </row>
    <row r="366" spans="1:13" x14ac:dyDescent="0.2">
      <c r="A366" s="63"/>
      <c r="E366" s="63"/>
      <c r="M366" s="64"/>
    </row>
    <row r="367" spans="1:13" x14ac:dyDescent="0.2">
      <c r="A367" s="63"/>
      <c r="E367" s="63"/>
      <c r="M367" s="64"/>
    </row>
    <row r="368" spans="1:13" x14ac:dyDescent="0.2">
      <c r="A368" s="63"/>
      <c r="E368" s="63"/>
      <c r="M368" s="64"/>
    </row>
    <row r="369" spans="1:13" x14ac:dyDescent="0.2">
      <c r="A369" s="63"/>
      <c r="E369" s="63"/>
      <c r="M369" s="64"/>
    </row>
    <row r="370" spans="1:13" x14ac:dyDescent="0.2">
      <c r="A370" s="63"/>
      <c r="E370" s="63"/>
    </row>
    <row r="371" spans="1:13" x14ac:dyDescent="0.2">
      <c r="A371" s="63"/>
      <c r="E371" s="63"/>
    </row>
    <row r="372" spans="1:13" x14ac:dyDescent="0.2">
      <c r="A372" s="63"/>
      <c r="E372" s="63"/>
    </row>
    <row r="373" spans="1:13" x14ac:dyDescent="0.2">
      <c r="A373" s="63"/>
      <c r="E373" s="63"/>
    </row>
    <row r="374" spans="1:13" x14ac:dyDescent="0.2">
      <c r="A374" s="63"/>
      <c r="E374" s="63"/>
    </row>
    <row r="375" spans="1:13" x14ac:dyDescent="0.2">
      <c r="A375" s="63"/>
      <c r="E375" s="63"/>
    </row>
  </sheetData>
  <printOptions horizontalCentered="1"/>
  <pageMargins left="0.5" right="0.5" top="0.5" bottom="0.5" header="0.3" footer="0.3"/>
  <pageSetup scale="67" fitToHeight="4" orientation="portrait" blackAndWhite="1" r:id="rId1"/>
  <rowBreaks count="3" manualBreakCount="3">
    <brk id="82" max="11" man="1"/>
    <brk id="147" max="11" man="1"/>
    <brk id="216" max="11" man="1"/>
  </rowBreaks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F0DF761E53C84B9DF2252DDF9077D8" ma:contentTypeVersion="" ma:contentTypeDescription="Create a new document." ma:contentTypeScope="" ma:versionID="3def0a9c8346c71743c81b4c18448f86">
  <xsd:schema xmlns:xsd="http://www.w3.org/2001/XMLSchema" xmlns:xs="http://www.w3.org/2001/XMLSchema" xmlns:p="http://schemas.microsoft.com/office/2006/metadata/properties" xmlns:ns2="02D22938-A560-4B92-82A1-0C41AA152052" xmlns:ns3="02d22938-a560-4b92-82a1-0c41aa152052" targetNamespace="http://schemas.microsoft.com/office/2006/metadata/properties" ma:root="true" ma:fieldsID="78dda5291e24b7ee98c39c07361b0d74" ns2:_="" ns3:_="">
    <xsd:import namespace="02D22938-A560-4B92-82A1-0C41AA152052"/>
    <xsd:import namespace="02d22938-a560-4b92-82a1-0c41aa152052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  <xsd:element ref="ns3:_x0066_g38" minOccurs="0"/>
                <xsd:element ref="ns3:tsud" minOccurs="0"/>
                <xsd:element ref="ns3:_x0064_do2" minOccurs="0"/>
                <xsd:element ref="ns3:CONFIDENTIAL_x0020_REQUESTS" minOccurs="0"/>
                <xsd:element ref="ns3:File_x0020_Type0" minOccurs="0"/>
                <xsd:element ref="ns3:em7g" minOccurs="0"/>
                <xsd:element ref="ns3:_x0078_154" minOccurs="0"/>
                <xsd:element ref="ns3:f0z4" minOccurs="0"/>
                <xsd:element ref="ns3:cz8i" minOccurs="0"/>
                <xsd:element ref="ns3:l6eu" minOccurs="0"/>
                <xsd:element ref="ns3:matv" minOccurs="0"/>
                <xsd:element ref="ns3:r25z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22938-A560-4B92-82A1-0C41AA152052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Date Received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22938-a560-4b92-82a1-0c41aa152052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  <xsd:element name="_x0066_g38" ma:index="19" nillable="true" ma:displayName="CONFIDENTIAL DATA" ma:internalName="_x0066_g38">
      <xsd:simpleType>
        <xsd:restriction base="dms:DateTime"/>
      </xsd:simpleType>
    </xsd:element>
    <xsd:element name="tsud" ma:index="20" nillable="true" ma:displayName="DUE DATE" ma:internalName="tsud">
      <xsd:simpleType>
        <xsd:restriction base="dms:Text"/>
      </xsd:simpleType>
    </xsd:element>
    <xsd:element name="_x0064_do2" ma:index="21" nillable="true" ma:displayName="Notes" ma:internalName="_x0064_do2">
      <xsd:simpleType>
        <xsd:restriction base="dms:Text"/>
      </xsd:simpleType>
    </xsd:element>
    <xsd:element name="CONFIDENTIAL_x0020_REQUESTS" ma:index="22" nillable="true" ma:displayName="CONFIDENTIAL NOS." ma:description="List of confidential discovery request numbers" ma:internalName="CONFIDENTIAL_x0020_REQUESTS">
      <xsd:simpleType>
        <xsd:restriction base="dms:Note">
          <xsd:maxLength value="255"/>
        </xsd:restriction>
      </xsd:simpleType>
    </xsd:element>
    <xsd:element name="File_x0020_Type0" ma:index="23" nillable="true" ma:displayName="File Type" ma:internalName="File_x0020_Type0">
      <xsd:simpleType>
        <xsd:restriction base="dms:Text">
          <xsd:maxLength value="255"/>
        </xsd:restriction>
      </xsd:simpleType>
    </xsd:element>
    <xsd:element name="em7g" ma:index="24" nillable="true" ma:displayName="Files Cleaned" ma:internalName="em7g">
      <xsd:simpleType>
        <xsd:restriction base="dms:Text"/>
      </xsd:simpleType>
    </xsd:element>
    <xsd:element name="_x0078_154" ma:index="25" nillable="true" ma:displayName="1st Draft Due" ma:internalName="_x0078_154">
      <xsd:simpleType>
        <xsd:restriction base="dms:Text"/>
      </xsd:simpleType>
    </xsd:element>
    <xsd:element name="f0z4" ma:index="26" nillable="true" ma:displayName="Final Draft Due" ma:internalName="f0z4">
      <xsd:simpleType>
        <xsd:restriction base="dms:Text"/>
      </xsd:simpleType>
    </xsd:element>
    <xsd:element name="cz8i" ma:index="27" nillable="true" ma:displayName="OBJECTIONS DUE" ma:internalName="cz8i">
      <xsd:simpleType>
        <xsd:restriction base="dms:Text"/>
      </xsd:simpleType>
    </xsd:element>
    <xsd:element name="l6eu" ma:index="28" nillable="true" ma:displayName="1st Draft Review Meeting" ma:internalName="l6eu">
      <xsd:simpleType>
        <xsd:restriction base="dms:Text"/>
      </xsd:simpleType>
    </xsd:element>
    <xsd:element name="matv" ma:index="29" nillable="true" ma:displayName="Final Draft Review Meeting" ma:internalName="matv">
      <xsd:simpleType>
        <xsd:restriction base="dms:Text"/>
      </xsd:simpleType>
    </xsd:element>
    <xsd:element name="r25z" ma:index="30" nillable="true" ma:displayName="Total Bates Pages" ma:internalName="r25z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02d22938-a560-4b92-82a1-0c41aa152052" xsi:nil="true"/>
    <CaseNumber xmlns="02d22938-a560-4b92-82a1-0c41aa152052" xsi:nil="true"/>
    <IsKeyDocket xmlns="02d22938-a560-4b92-82a1-0c41aa152052">false</IsKeyDocket>
    <CaseCompanyName xmlns="02d22938-a560-4b92-82a1-0c41aa152052" xsi:nil="true"/>
    <CaseJurisdiction xmlns="02d22938-a560-4b92-82a1-0c41aa152052" xsi:nil="true"/>
    <SRCH_ObjectType xmlns="02d22938-a560-4b92-82a1-0c41aa152052">PWD</SRCH_ObjectType>
    <Comments xmlns="02D22938-A560-4B92-82A1-0C41AA152052" xsi:nil="true"/>
    <CaseStatus xmlns="02d22938-a560-4b92-82a1-0c41aa152052" xsi:nil="true"/>
    <SRCH_DocketId xmlns="02d22938-a560-4b92-82a1-0c41aa152052">1052</SRCH_DocketId>
    <CaseSubjects xmlns="02d22938-a560-4b92-82a1-0c41aa152052" xsi:nil="true"/>
    <CaseType xmlns="02d22938-a560-4b92-82a1-0c41aa152052" xsi:nil="true"/>
    <_x0066_g38 xmlns="02d22938-a560-4b92-82a1-0c41aa152052" xsi:nil="true"/>
    <tsud xmlns="02d22938-a560-4b92-82a1-0c41aa152052" xsi:nil="true"/>
    <File_x0020_Type0 xmlns="02d22938-a560-4b92-82a1-0c41aa152052" xsi:nil="true"/>
    <em7g xmlns="02d22938-a560-4b92-82a1-0c41aa152052" xsi:nil="true"/>
    <CONFIDENTIAL_x0020_REQUESTS xmlns="02d22938-a560-4b92-82a1-0c41aa152052" xsi:nil="true"/>
    <_x0064_do2 xmlns="02d22938-a560-4b92-82a1-0c41aa152052" xsi:nil="true"/>
    <_x0078_154 xmlns="02d22938-a560-4b92-82a1-0c41aa152052" xsi:nil="true"/>
    <f0z4 xmlns="02d22938-a560-4b92-82a1-0c41aa152052" xsi:nil="true"/>
    <cz8i xmlns="02d22938-a560-4b92-82a1-0c41aa152052" xsi:nil="true"/>
    <l6eu xmlns="02d22938-a560-4b92-82a1-0c41aa152052" xsi:nil="true"/>
    <matv xmlns="02d22938-a560-4b92-82a1-0c41aa152052" xsi:nil="true"/>
    <r25z xmlns="02d22938-a560-4b92-82a1-0c41aa152052" xsi:nil="true"/>
  </documentManagement>
</p:properties>
</file>

<file path=customXml/itemProps1.xml><?xml version="1.0" encoding="utf-8"?>
<ds:datastoreItem xmlns:ds="http://schemas.openxmlformats.org/officeDocument/2006/customXml" ds:itemID="{47611981-2DDF-42A6-9F19-6ED2D3974B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EA3773A-59A5-4561-80B4-B552616952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D22938-A560-4B92-82A1-0C41AA152052"/>
    <ds:schemaRef ds:uri="02d22938-a560-4b92-82a1-0c41aa1520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5F43389-1EB6-460D-85E5-959828403072}">
  <ds:schemaRefs>
    <ds:schemaRef ds:uri="http://schemas.microsoft.com/office/2006/metadata/properties"/>
    <ds:schemaRef ds:uri="http://schemas.microsoft.com/office/infopath/2007/PartnerControls"/>
    <ds:schemaRef ds:uri="02d22938-a560-4b92-82a1-0c41aa152052"/>
    <ds:schemaRef ds:uri="02D22938-A560-4B92-82A1-0C41AA15205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48</vt:i4>
      </vt:variant>
    </vt:vector>
  </HeadingPairs>
  <TitlesOfParts>
    <vt:vector size="92" baseType="lpstr">
      <vt:lpstr>Proposed Accrual 2021</vt:lpstr>
      <vt:lpstr>2021 B-7</vt:lpstr>
      <vt:lpstr>2021 B-9</vt:lpstr>
      <vt:lpstr>Proposed Accrual 2020</vt:lpstr>
      <vt:lpstr>2020 B-7</vt:lpstr>
      <vt:lpstr>2020 B-9</vt:lpstr>
      <vt:lpstr>Proposed Rates</vt:lpstr>
      <vt:lpstr>Plant &amp; Reserve</vt:lpstr>
      <vt:lpstr>Proposed Accrual 2019</vt:lpstr>
      <vt:lpstr>Change in Plant &amp; Reserve</vt:lpstr>
      <vt:lpstr>2019 B-7</vt:lpstr>
      <vt:lpstr>2019 B-9</vt:lpstr>
      <vt:lpstr>Comparison</vt:lpstr>
      <vt:lpstr>TEC Plant In-Service</vt:lpstr>
      <vt:lpstr>PP DS Query</vt:lpstr>
      <vt:lpstr>Big Bend Common</vt:lpstr>
      <vt:lpstr>Big Bend #1</vt:lpstr>
      <vt:lpstr>Big Bend #2</vt:lpstr>
      <vt:lpstr>Big Bend #3</vt:lpstr>
      <vt:lpstr>Big Bend #4</vt:lpstr>
      <vt:lpstr>BB 3&amp;4 FGD</vt:lpstr>
      <vt:lpstr>BB 1&amp;2 FGD</vt:lpstr>
      <vt:lpstr>BB SCR 1</vt:lpstr>
      <vt:lpstr>BB SCR 2</vt:lpstr>
      <vt:lpstr>BB SCR 3</vt:lpstr>
      <vt:lpstr>BB SCR 4</vt:lpstr>
      <vt:lpstr>Big Bend CT #4</vt:lpstr>
      <vt:lpstr>Bayside Common</vt:lpstr>
      <vt:lpstr>Bayside #1</vt:lpstr>
      <vt:lpstr>Bayside #2</vt:lpstr>
      <vt:lpstr>Bayside CT #3</vt:lpstr>
      <vt:lpstr>Bayside CT #4</vt:lpstr>
      <vt:lpstr>Bayside CT #5</vt:lpstr>
      <vt:lpstr>Bayside CT #6</vt:lpstr>
      <vt:lpstr>Polk Common</vt:lpstr>
      <vt:lpstr>Polk #1</vt:lpstr>
      <vt:lpstr>Polk #2</vt:lpstr>
      <vt:lpstr>Polk #3</vt:lpstr>
      <vt:lpstr>Polk #4</vt:lpstr>
      <vt:lpstr>Polk #5</vt:lpstr>
      <vt:lpstr>Polk CCST</vt:lpstr>
      <vt:lpstr>Solar</vt:lpstr>
      <vt:lpstr>Polk CCST for CT 2-5</vt:lpstr>
      <vt:lpstr>Solar Sites</vt:lpstr>
      <vt:lpstr>'2020 B-7'!Print_Area</vt:lpstr>
      <vt:lpstr>'2020 B-9'!Print_Area</vt:lpstr>
      <vt:lpstr>'2021 B-7'!Print_Area</vt:lpstr>
      <vt:lpstr>'2021 B-9'!Print_Area</vt:lpstr>
      <vt:lpstr>'Bayside #1'!Print_Area</vt:lpstr>
      <vt:lpstr>'Bayside #2'!Print_Area</vt:lpstr>
      <vt:lpstr>'Bayside Common'!Print_Area</vt:lpstr>
      <vt:lpstr>'Bayside CT #3'!Print_Area</vt:lpstr>
      <vt:lpstr>'Bayside CT #4'!Print_Area</vt:lpstr>
      <vt:lpstr>'Bayside CT #5'!Print_Area</vt:lpstr>
      <vt:lpstr>'Bayside CT #6'!Print_Area</vt:lpstr>
      <vt:lpstr>'BB 1&amp;2 FGD'!Print_Area</vt:lpstr>
      <vt:lpstr>'BB 3&amp;4 FGD'!Print_Area</vt:lpstr>
      <vt:lpstr>'BB SCR 1'!Print_Area</vt:lpstr>
      <vt:lpstr>'BB SCR 2'!Print_Area</vt:lpstr>
      <vt:lpstr>'BB SCR 3'!Print_Area</vt:lpstr>
      <vt:lpstr>'BB SCR 4'!Print_Area</vt:lpstr>
      <vt:lpstr>'Big Bend #1'!Print_Area</vt:lpstr>
      <vt:lpstr>'Big Bend #2'!Print_Area</vt:lpstr>
      <vt:lpstr>'Big Bend #3'!Print_Area</vt:lpstr>
      <vt:lpstr>'Big Bend #4'!Print_Area</vt:lpstr>
      <vt:lpstr>'Big Bend Common'!Print_Area</vt:lpstr>
      <vt:lpstr>'Big Bend CT #4'!Print_Area</vt:lpstr>
      <vt:lpstr>'Change in Plant &amp; Reserve'!Print_Area</vt:lpstr>
      <vt:lpstr>Comparison!Print_Area</vt:lpstr>
      <vt:lpstr>'Plant &amp; Reserve'!Print_Area</vt:lpstr>
      <vt:lpstr>'Polk #1'!Print_Area</vt:lpstr>
      <vt:lpstr>'Polk #2'!Print_Area</vt:lpstr>
      <vt:lpstr>'Polk #3'!Print_Area</vt:lpstr>
      <vt:lpstr>'Polk #4'!Print_Area</vt:lpstr>
      <vt:lpstr>'Polk #5'!Print_Area</vt:lpstr>
      <vt:lpstr>'Polk CCST'!Print_Area</vt:lpstr>
      <vt:lpstr>'Polk CCST for CT 2-5'!Print_Area</vt:lpstr>
      <vt:lpstr>'Polk Common'!Print_Area</vt:lpstr>
      <vt:lpstr>'Proposed Accrual 2019'!Print_Area</vt:lpstr>
      <vt:lpstr>'Proposed Accrual 2020'!Print_Area</vt:lpstr>
      <vt:lpstr>'Proposed Accrual 2021'!Print_Area</vt:lpstr>
      <vt:lpstr>'Proposed Rates'!Print_Area</vt:lpstr>
      <vt:lpstr>Solar!Print_Area</vt:lpstr>
      <vt:lpstr>'Solar Sites'!Print_Area</vt:lpstr>
      <vt:lpstr>'TEC Plant In-Service'!Print_Area</vt:lpstr>
      <vt:lpstr>'Change in Plant &amp; Reserve'!Print_Titles</vt:lpstr>
      <vt:lpstr>Comparison!Print_Titles</vt:lpstr>
      <vt:lpstr>'Plant &amp; Reserve'!Print_Titles</vt:lpstr>
      <vt:lpstr>'Proposed Accrual 2019'!Print_Titles</vt:lpstr>
      <vt:lpstr>'Proposed Accrual 2020'!Print_Titles</vt:lpstr>
      <vt:lpstr>'Proposed Accrual 2021'!Print_Titles</vt:lpstr>
      <vt:lpstr>'Proposed Rates'!Print_Titles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2021-04-28T18:31:43Z</dcterms:created>
  <dcterms:modified xsi:type="dcterms:W3CDTF">2021-07-22T14:47:14Z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0x0101001BF0DF761E53C84B9DF2252DDF9077D8</vt:lpwstr>
  </property>
  <property fmtid="{D5CDD505-2E9C-101B-9397-08002B2CF9AE}" pid="3" name="MSIP_Label_a83f872e-d8d7-43ac-9961-0f2ad31e50e5_Enabled">
    <vt:lpwstr>true</vt:lpwstr>
  </property>
  <property fmtid="{D5CDD505-2E9C-101B-9397-08002B2CF9AE}" pid="4" name="MSIP_Label_a83f872e-d8d7-43ac-9961-0f2ad31e50e5_SetDate">
    <vt:lpwstr>2021-07-22T13:16:08Z</vt:lpwstr>
  </property>
  <property fmtid="{D5CDD505-2E9C-101B-9397-08002B2CF9AE}" pid="5" name="MSIP_Label_a83f872e-d8d7-43ac-9961-0f2ad31e50e5_Method">
    <vt:lpwstr>Standard</vt:lpwstr>
  </property>
  <property fmtid="{D5CDD505-2E9C-101B-9397-08002B2CF9AE}" pid="6" name="MSIP_Label_a83f872e-d8d7-43ac-9961-0f2ad31e50e5_Name">
    <vt:lpwstr>a83f872e-d8d7-43ac-9961-0f2ad31e50e5</vt:lpwstr>
  </property>
  <property fmtid="{D5CDD505-2E9C-101B-9397-08002B2CF9AE}" pid="7" name="MSIP_Label_a83f872e-d8d7-43ac-9961-0f2ad31e50e5_SiteId">
    <vt:lpwstr>fa8c194a-f8e2-43c5-bc39-b637579e39e0</vt:lpwstr>
  </property>
  <property fmtid="{D5CDD505-2E9C-101B-9397-08002B2CF9AE}" pid="8" name="MSIP_Label_a83f872e-d8d7-43ac-9961-0f2ad31e50e5_ActionId">
    <vt:lpwstr>f8b0b8df-5cf4-402e-9ba9-7a452fce6558</vt:lpwstr>
  </property>
  <property fmtid="{D5CDD505-2E9C-101B-9397-08002B2CF9AE}" pid="9" name="MSIP_Label_a83f872e-d8d7-43ac-9961-0f2ad31e50e5_ContentBits">
    <vt:lpwstr>0</vt:lpwstr>
  </property>
</Properties>
</file>