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E7A2965B-4C94-4780-A2F3-AD073BF04858}" xr6:coauthVersionLast="45" xr6:coauthVersionMax="45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Billing Estimates" sheetId="1" state="hidden" r:id="rId1"/>
    <sheet name="2021 AE Updated Foreca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2" l="1"/>
  <c r="B25" i="2" l="1"/>
  <c r="B30" i="2" s="1"/>
  <c r="B35" i="2" s="1"/>
  <c r="B24" i="2"/>
  <c r="B29" i="2" s="1"/>
  <c r="B34" i="2" s="1"/>
  <c r="J35" i="2" l="1"/>
  <c r="L35" i="2"/>
  <c r="K35" i="2"/>
  <c r="I13" i="2"/>
  <c r="I14" i="2" s="1"/>
  <c r="H13" i="2"/>
  <c r="H14" i="2" s="1"/>
  <c r="G13" i="2"/>
  <c r="G14" i="2" s="1"/>
  <c r="F13" i="2"/>
  <c r="F14" i="2" s="1"/>
  <c r="E13" i="2"/>
  <c r="E14" i="2" s="1"/>
  <c r="D13" i="2"/>
  <c r="D14" i="2" s="1"/>
  <c r="C13" i="2"/>
  <c r="C14" i="2" s="1"/>
  <c r="M35" i="2" l="1"/>
  <c r="K34" i="2"/>
  <c r="N35" i="2"/>
  <c r="J34" i="2"/>
  <c r="L34" i="2"/>
  <c r="M34" i="2"/>
  <c r="N34" i="2"/>
  <c r="C19" i="1" l="1"/>
  <c r="E12" i="1"/>
  <c r="E19" i="1"/>
  <c r="E20" i="1"/>
  <c r="N20" i="2"/>
  <c r="N11" i="2" s="1"/>
  <c r="M20" i="2"/>
  <c r="M11" i="2" s="1"/>
  <c r="L20" i="2"/>
  <c r="L11" i="2" s="1"/>
  <c r="K20" i="2"/>
  <c r="K11" i="2" s="1"/>
  <c r="C16" i="1"/>
  <c r="F16" i="1" s="1"/>
  <c r="C15" i="1"/>
  <c r="G15" i="1" s="1"/>
  <c r="G14" i="1"/>
  <c r="C13" i="1"/>
  <c r="G13" i="1" s="1"/>
  <c r="C12" i="1"/>
  <c r="G12" i="1"/>
  <c r="C11" i="1"/>
  <c r="G11" i="1" s="1"/>
  <c r="C10" i="1"/>
  <c r="G10" i="1" s="1"/>
  <c r="D14" i="1"/>
  <c r="D19" i="1"/>
  <c r="G19" i="1" s="1"/>
  <c r="D18" i="1"/>
  <c r="D17" i="1"/>
  <c r="D16" i="1"/>
  <c r="D15" i="1"/>
  <c r="C18" i="1"/>
  <c r="F18" i="1" s="1"/>
  <c r="C17" i="1"/>
  <c r="F19" i="1"/>
  <c r="F15" i="1"/>
  <c r="F14" i="1"/>
  <c r="H14" i="1" s="1"/>
  <c r="F13" i="1"/>
  <c r="N20" i="1"/>
  <c r="F12" i="1"/>
  <c r="M20" i="1"/>
  <c r="H15" i="1" l="1"/>
  <c r="J11" i="2"/>
  <c r="H19" i="1"/>
  <c r="G18" i="1"/>
  <c r="H18" i="1" s="1"/>
  <c r="G17" i="1"/>
  <c r="N36" i="2"/>
  <c r="N12" i="2" s="1"/>
  <c r="N13" i="2" s="1"/>
  <c r="N14" i="2" s="1"/>
  <c r="M36" i="2"/>
  <c r="M12" i="2" s="1"/>
  <c r="L36" i="2"/>
  <c r="L12" i="2" s="1"/>
  <c r="J36" i="2"/>
  <c r="J12" i="2" s="1"/>
  <c r="K36" i="2"/>
  <c r="K12" i="2" s="1"/>
  <c r="H13" i="1"/>
  <c r="F17" i="1"/>
  <c r="H12" i="1"/>
  <c r="D20" i="1"/>
  <c r="F10" i="1"/>
  <c r="F11" i="1"/>
  <c r="H11" i="1" s="1"/>
  <c r="G16" i="1"/>
  <c r="H16" i="1" s="1"/>
  <c r="H17" i="1" l="1"/>
  <c r="J13" i="2"/>
  <c r="O12" i="2"/>
  <c r="K13" i="2"/>
  <c r="K14" i="2" s="1"/>
  <c r="L13" i="2"/>
  <c r="L14" i="2" s="1"/>
  <c r="M13" i="2"/>
  <c r="M14" i="2" s="1"/>
  <c r="H10" i="1"/>
  <c r="H20" i="1" s="1"/>
  <c r="F20" i="1"/>
  <c r="G20" i="1"/>
  <c r="J14" i="2" l="1"/>
  <c r="O13" i="2"/>
  <c r="O14" i="2" s="1"/>
</calcChain>
</file>

<file path=xl/sharedStrings.xml><?xml version="1.0" encoding="utf-8"?>
<sst xmlns="http://schemas.openxmlformats.org/spreadsheetml/2006/main" count="143" uniqueCount="113">
  <si>
    <t>Proj 1-2 Capacity</t>
  </si>
  <si>
    <t>Retained Not for Sale</t>
  </si>
  <si>
    <t>Subscription Chg</t>
  </si>
  <si>
    <t>Yr1 Credit Rate</t>
  </si>
  <si>
    <t>Col 1</t>
  </si>
  <si>
    <t>Col 2</t>
  </si>
  <si>
    <t>Col 3</t>
  </si>
  <si>
    <t>Col 4</t>
  </si>
  <si>
    <t>Col 5</t>
  </si>
  <si>
    <t>Col 6</t>
  </si>
  <si>
    <t>Estimated Generation (kWh)</t>
  </si>
  <si>
    <t>Estimated Subscription  Charges</t>
  </si>
  <si>
    <t>Estimated Subscription Credit (pd to participant)</t>
  </si>
  <si>
    <t>May Generation, bills in June</t>
  </si>
  <si>
    <t>March Generation, bills in April</t>
  </si>
  <si>
    <t>April Generation, bills in May</t>
  </si>
  <si>
    <t>Capacity Available to Bill (kW)</t>
  </si>
  <si>
    <t>Subscription Charges (DB)</t>
  </si>
  <si>
    <t>Subscription Credits (CR)</t>
  </si>
  <si>
    <t>Subscription Credits (DA)</t>
  </si>
  <si>
    <t>ACT</t>
  </si>
  <si>
    <t>FCST</t>
  </si>
  <si>
    <t>YE FCST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</si>
  <si>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</si>
  <si>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</si>
  <si>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</si>
  <si>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</si>
  <si>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</si>
  <si>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</si>
  <si>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</si>
  <si>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</si>
  <si>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</si>
  <si>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</si>
  <si>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</si>
  <si>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</si>
  <si>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2020 Forecast</t>
  </si>
  <si>
    <t>Mo.</t>
  </si>
  <si>
    <t>Type</t>
  </si>
  <si>
    <t>Act Generation</t>
  </si>
  <si>
    <t>Net Subscription Impact
(Col 5+ Col 6)</t>
  </si>
  <si>
    <t xml:space="preserve">Apr 2020:  Bill by Cycle Schedule </t>
  </si>
  <si>
    <t xml:space="preserve">May 2020:  Bill by Cycle Schedule </t>
  </si>
  <si>
    <t xml:space="preserve">Jun 2020:  Bill by Cycle Schedule </t>
  </si>
  <si>
    <t xml:space="preserve">Jul 2020:  Bill by Cycle Schedule </t>
  </si>
  <si>
    <t>Aug 2020: Bill by Cycle Schedule</t>
  </si>
  <si>
    <t>Sep 2020: Bill by Cycle Schedule</t>
  </si>
  <si>
    <t>Oct 2020: Bill by Cycle Schedule</t>
  </si>
  <si>
    <t>June Generation, bills in July</t>
  </si>
  <si>
    <t>Nov 2020: Bill by Cycle Schedule</t>
  </si>
  <si>
    <t>Dec 2020: Bill by Cycle Schedule</t>
  </si>
  <si>
    <t>July Generation, bills in August</t>
  </si>
  <si>
    <t>August Generation, bills in Sept</t>
  </si>
  <si>
    <t>September Generation, bills in Oct</t>
  </si>
  <si>
    <t>October Generation, bills in Nov</t>
  </si>
  <si>
    <t>November Generation, bills in Dec</t>
  </si>
  <si>
    <t>December Generation, bills in Jan</t>
  </si>
  <si>
    <t>Jan 2021: Bill by Cycle Schedule</t>
  </si>
  <si>
    <t>06/2021</t>
  </si>
  <si>
    <t>07/2021</t>
  </si>
  <si>
    <t>08/2021</t>
  </si>
  <si>
    <t>09/2021</t>
  </si>
  <si>
    <t>10/2021</t>
  </si>
  <si>
    <t>11/2021</t>
  </si>
  <si>
    <t>12/2021</t>
  </si>
  <si>
    <t>Generation Month/Yr</t>
  </si>
  <si>
    <t>Billing Month/Yr</t>
  </si>
  <si>
    <t>Row 1</t>
  </si>
  <si>
    <t>Row 2</t>
  </si>
  <si>
    <t>Row 3</t>
  </si>
  <si>
    <t>Row 4</t>
  </si>
  <si>
    <t>Row 5</t>
  </si>
  <si>
    <t>Row 6</t>
  </si>
  <si>
    <t>Row 7</t>
  </si>
  <si>
    <t>Row 8</t>
  </si>
  <si>
    <t>Row 9</t>
  </si>
  <si>
    <t>Row 10</t>
  </si>
  <si>
    <t>Row 11</t>
  </si>
  <si>
    <t>Row 12</t>
  </si>
  <si>
    <t>Row 13</t>
  </si>
  <si>
    <t>Row 14</t>
  </si>
  <si>
    <t>Row 15</t>
  </si>
  <si>
    <t>Row 16</t>
  </si>
  <si>
    <t>Row 17</t>
  </si>
  <si>
    <t>Row 18</t>
  </si>
  <si>
    <t>Row 19</t>
  </si>
  <si>
    <t>Row 20</t>
  </si>
  <si>
    <t>Total Forecasted Subscription Credit</t>
  </si>
  <si>
    <t>Table 4 Credit Rate Per Tariff Sheet 8.934, Assumes Yr 1 Rate Starts With First Billing Period Updating Annually</t>
  </si>
  <si>
    <t>Table 5 - Subscription Credit Forecast, Calculated As: (Table 2 Value * 1000 * Table 3 Value * Table 4 Value)</t>
  </si>
  <si>
    <t>Forecasted Fuel Credit Net of Tax</t>
  </si>
  <si>
    <t>Tax Assumption at 0.072%</t>
  </si>
  <si>
    <t>01/2021</t>
  </si>
  <si>
    <t>Actual</t>
  </si>
  <si>
    <t>Forecast</t>
  </si>
  <si>
    <t>02/2021</t>
  </si>
  <si>
    <t>03/2021</t>
  </si>
  <si>
    <t>04/2021</t>
  </si>
  <si>
    <t>05/2021</t>
  </si>
  <si>
    <t>FY 2021</t>
  </si>
  <si>
    <t>12/2020</t>
  </si>
  <si>
    <t>Table 2 - Forecased Generation in MWh</t>
  </si>
  <si>
    <t>Table 3 - Subscription Level, Assumes 100% monthly subscription fulfillment</t>
  </si>
  <si>
    <t>Monthly Forecasted Generation Total</t>
  </si>
  <si>
    <t>Forecasted Generation, MWh (Table 2, Row 4)</t>
  </si>
  <si>
    <t>Forecasted Subscription Credits (Table 5 Row 20)</t>
  </si>
  <si>
    <t>Table 1 - Summary Total Forecasted Generation and Credits by Month,  Calculations provided Tables 2-5 in rows 1-20</t>
  </si>
  <si>
    <t>6 Sites on Yr 2 Credit Rate; First Billing 2020</t>
  </si>
  <si>
    <t>14 Sites on Yr 1 Credit Rate; First Billing 2021</t>
  </si>
  <si>
    <t>Florida Power &amp; Light Company</t>
  </si>
  <si>
    <t>Docket No. 20210001-EI</t>
  </si>
  <si>
    <t>Page 1 of 1</t>
  </si>
  <si>
    <t xml:space="preserve">Staff’s 3rd Set of Interrogatories </t>
  </si>
  <si>
    <t>Interrogatory No. 7 (Supplemental), Attachment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</si>
</sst>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.0000000"/>
    <numFmt numFmtId="166" formatCode="&quot;$&quot;#,##0"/>
    <numFmt numFmtId="167" formatCode="0.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00">
    <xf numFmtId="0" fontId="0" fillId="0" borderId="0" xfId="0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3" fontId="1" fillId="0" borderId="0" xfId="0" applyNumberFormat="1" applyFont="1"/>
    <xf numFmtId="8" fontId="1" fillId="0" borderId="0" xfId="0" applyNumberFormat="1" applyFont="1"/>
    <xf numFmtId="3" fontId="3" fillId="0" borderId="0" xfId="0" applyNumberFormat="1" applyFont="1"/>
    <xf numFmtId="14" fontId="0" fillId="0" borderId="0" xfId="0" applyNumberFormat="1" applyFill="1"/>
    <xf numFmtId="3" fontId="0" fillId="0" borderId="0" xfId="0" applyNumberFormat="1" applyFill="1"/>
    <xf numFmtId="3" fontId="1" fillId="0" borderId="0" xfId="0" applyNumberFormat="1" applyFont="1" applyFill="1"/>
    <xf numFmtId="164" fontId="0" fillId="0" borderId="0" xfId="0" applyNumberFormat="1" applyFill="1"/>
    <xf numFmtId="8" fontId="0" fillId="0" borderId="0" xfId="0" applyNumberFormat="1" applyFill="1"/>
    <xf numFmtId="0" fontId="0" fillId="0" borderId="0" xfId="0" applyFill="1"/>
    <xf numFmtId="0" fontId="1" fillId="2" borderId="0" xfId="0" applyFont="1" applyFill="1" applyBorder="1" applyAlignment="1">
      <alignment horizontal="center" wrapText="1"/>
    </xf>
    <xf numFmtId="166" fontId="0" fillId="0" borderId="0" xfId="0" applyNumberFormat="1"/>
    <xf numFmtId="0" fontId="1" fillId="2" borderId="0" xfId="0" applyFont="1" applyFill="1" applyAlignment="1"/>
    <xf numFmtId="6" fontId="0" fillId="0" borderId="0" xfId="0" applyNumberFormat="1"/>
    <xf numFmtId="14" fontId="0" fillId="0" borderId="1" xfId="0" applyNumberFormat="1" applyFill="1" applyBorder="1"/>
    <xf numFmtId="3" fontId="0" fillId="0" borderId="1" xfId="0" applyNumberFormat="1" applyFill="1" applyBorder="1"/>
    <xf numFmtId="164" fontId="0" fillId="0" borderId="1" xfId="0" applyNumberFormat="1" applyFill="1" applyBorder="1"/>
    <xf numFmtId="8" fontId="0" fillId="0" borderId="1" xfId="0" applyNumberFormat="1" applyFill="1" applyBorder="1"/>
    <xf numFmtId="0" fontId="4" fillId="0" borderId="0" xfId="0" applyFont="1" applyFill="1"/>
    <xf numFmtId="166" fontId="4" fillId="0" borderId="0" xfId="0" applyNumberFormat="1" applyFont="1" applyFill="1"/>
    <xf numFmtId="6" fontId="4" fillId="0" borderId="0" xfId="0" applyNumberFormat="1" applyFont="1" applyFill="1"/>
    <xf numFmtId="0" fontId="6" fillId="0" borderId="2" xfId="0" applyFont="1" applyFill="1" applyBorder="1" applyAlignment="1">
      <alignment horizontal="center" wrapText="1"/>
    </xf>
    <xf numFmtId="6" fontId="1" fillId="0" borderId="0" xfId="0" applyNumberFormat="1" applyFont="1"/>
    <xf numFmtId="0" fontId="0" fillId="0" borderId="0" xfId="0" applyFont="1" applyBorder="1"/>
    <xf numFmtId="166" fontId="0" fillId="0" borderId="2" xfId="0" applyNumberFormat="1" applyFont="1" applyFill="1" applyBorder="1"/>
    <xf numFmtId="0" fontId="1" fillId="0" borderId="0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0" fontId="0" fillId="0" borderId="0" xfId="0" applyFont="1" applyFill="1" applyBorder="1"/>
    <xf numFmtId="6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right" indent="1"/>
    </xf>
    <xf numFmtId="0" fontId="7" fillId="0" borderId="0" xfId="0" applyFont="1"/>
    <xf numFmtId="3" fontId="1" fillId="0" borderId="1" xfId="0" applyNumberFormat="1" applyFont="1" applyFill="1" applyBorder="1"/>
    <xf numFmtId="0" fontId="4" fillId="0" borderId="1" xfId="0" applyFont="1" applyFill="1" applyBorder="1"/>
    <xf numFmtId="0" fontId="0" fillId="0" borderId="1" xfId="0" applyFill="1" applyBorder="1"/>
    <xf numFmtId="166" fontId="4" fillId="0" borderId="1" xfId="0" applyNumberFormat="1" applyFont="1" applyFill="1" applyBorder="1"/>
    <xf numFmtId="0" fontId="5" fillId="0" borderId="0" xfId="0" applyFont="1" applyFill="1" applyBorder="1"/>
    <xf numFmtId="166" fontId="1" fillId="0" borderId="0" xfId="0" applyNumberFormat="1" applyFont="1" applyFill="1"/>
    <xf numFmtId="6" fontId="1" fillId="0" borderId="0" xfId="0" applyNumberFormat="1" applyFont="1" applyFill="1"/>
    <xf numFmtId="49" fontId="0" fillId="0" borderId="0" xfId="0" applyNumberFormat="1" applyFont="1" applyBorder="1"/>
    <xf numFmtId="0" fontId="1" fillId="0" borderId="0" xfId="0" applyFont="1" applyBorder="1"/>
    <xf numFmtId="3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Fill="1" applyBorder="1"/>
    <xf numFmtId="49" fontId="0" fillId="0" borderId="2" xfId="0" applyNumberFormat="1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3" fillId="0" borderId="3" xfId="0" applyFont="1" applyFill="1" applyBorder="1" applyAlignment="1">
      <alignment horizontal="right" vertical="center" wrapText="1"/>
    </xf>
    <xf numFmtId="166" fontId="1" fillId="0" borderId="3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0" fillId="0" borderId="2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3" fontId="1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/>
    <xf numFmtId="0" fontId="6" fillId="0" borderId="4" xfId="0" applyFont="1" applyFill="1" applyBorder="1" applyAlignment="1">
      <alignment horizontal="center" wrapText="1"/>
    </xf>
    <xf numFmtId="166" fontId="0" fillId="0" borderId="4" xfId="0" applyNumberFormat="1" applyFont="1" applyFill="1" applyBorder="1"/>
    <xf numFmtId="0" fontId="9" fillId="3" borderId="5" xfId="0" applyFont="1" applyFill="1" applyBorder="1" applyAlignment="1">
      <alignment vertical="center"/>
    </xf>
    <xf numFmtId="6" fontId="1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10" fillId="0" borderId="1" xfId="0" applyFont="1" applyFill="1" applyBorder="1"/>
    <xf numFmtId="49" fontId="0" fillId="2" borderId="4" xfId="0" applyNumberFormat="1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6" fontId="1" fillId="2" borderId="2" xfId="0" applyNumberFormat="1" applyFont="1" applyFill="1" applyBorder="1" applyAlignment="1">
      <alignment horizontal="center"/>
    </xf>
    <xf numFmtId="6" fontId="1" fillId="2" borderId="3" xfId="0" applyNumberFormat="1" applyFont="1" applyFill="1" applyBorder="1" applyAlignment="1">
      <alignment horizontal="center"/>
    </xf>
    <xf numFmtId="49" fontId="0" fillId="2" borderId="2" xfId="0" quotePrefix="1" applyNumberFormat="1" applyFont="1" applyFill="1" applyBorder="1" applyAlignment="1">
      <alignment horizontal="center"/>
    </xf>
    <xf numFmtId="49" fontId="0" fillId="2" borderId="4" xfId="0" quotePrefix="1" applyNumberFormat="1" applyFont="1" applyFill="1" applyBorder="1" applyAlignment="1">
      <alignment horizontal="center"/>
    </xf>
    <xf numFmtId="166" fontId="0" fillId="2" borderId="2" xfId="0" applyNumberFormat="1" applyFont="1" applyFill="1" applyBorder="1" applyAlignment="1">
      <alignment horizontal="center"/>
    </xf>
    <xf numFmtId="166" fontId="0" fillId="0" borderId="2" xfId="0" applyNumberFormat="1" applyFont="1" applyFill="1" applyBorder="1" applyAlignment="1">
      <alignment horizontal="center"/>
    </xf>
    <xf numFmtId="167" fontId="0" fillId="0" borderId="2" xfId="0" applyNumberFormat="1" applyFont="1" applyFill="1" applyBorder="1"/>
    <xf numFmtId="6" fontId="1" fillId="0" borderId="0" xfId="0" applyNumberFormat="1" applyFont="1" applyFill="1" applyBorder="1" applyAlignment="1">
      <alignment horizontal="center"/>
    </xf>
    <xf numFmtId="1" fontId="0" fillId="0" borderId="0" xfId="0" applyNumberFormat="1" applyFont="1" applyBorder="1"/>
    <xf numFmtId="6" fontId="1" fillId="0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3" fontId="0" fillId="2" borderId="4" xfId="0" applyNumberFormat="1" applyFont="1" applyFill="1" applyBorder="1" applyAlignment="1">
      <alignment horizontal="center"/>
    </xf>
    <xf numFmtId="3" fontId="0" fillId="0" borderId="4" xfId="0" applyNumberFormat="1" applyFont="1" applyFill="1" applyBorder="1" applyAlignment="1">
      <alignment horizontal="center"/>
    </xf>
    <xf numFmtId="3" fontId="0" fillId="3" borderId="6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3" fontId="0" fillId="3" borderId="7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0" fillId="0" borderId="0" xfId="0" applyNumberFormat="1" applyFont="1" applyFill="1" applyBorder="1"/>
    <xf numFmtId="9" fontId="1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/>
    </xf>
    <xf numFmtId="10" fontId="0" fillId="0" borderId="0" xfId="1" applyNumberFormat="1" applyFont="1" applyFill="1" applyBorder="1"/>
    <xf numFmtId="49" fontId="1" fillId="2" borderId="4" xfId="0" applyNumberFormat="1" applyFont="1" applyFill="1" applyBorder="1" applyAlignment="1">
      <alignment horizontal="center"/>
    </xf>
    <xf numFmtId="49" fontId="1" fillId="2" borderId="4" xfId="0" quotePrefix="1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0" fontId="12" fillId="0" borderId="0" xfId="0" applyFont="1" applyAlignment="1">
      <alignment vertic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7"/>
  <sheetViews>
    <sheetView topLeftCell="A4" zoomScaleNormal="100" workbookViewId="0">
      <selection activeCell="N17" sqref="N17"/>
    </sheetView>
  </sheetViews>
  <sheetFormatPr defaultRowHeight="14.5" x14ac:dyDescent="0.35"/>
  <cols>
    <col min="2" max="2" width="10.1796875" customWidth="1"/>
    <col min="3" max="3" width="14.7265625" customWidth="1"/>
    <col min="4" max="4" width="15.54296875" customWidth="1"/>
    <col min="5" max="5" width="15.1796875" bestFit="1" customWidth="1"/>
    <col min="6" max="6" width="19.26953125" customWidth="1"/>
    <col min="7" max="7" width="17.81640625" customWidth="1"/>
    <col min="8" max="8" width="24.54296875" customWidth="1"/>
    <col min="9" max="9" width="29" bestFit="1" customWidth="1"/>
    <col min="10" max="10" width="8.1796875" bestFit="1" customWidth="1"/>
    <col min="11" max="11" width="8.1796875" customWidth="1"/>
    <col min="12" max="12" width="16" customWidth="1"/>
    <col min="13" max="13" width="17" customWidth="1"/>
    <col min="14" max="14" width="21" customWidth="1"/>
    <col min="15" max="15" width="15.7265625" customWidth="1"/>
  </cols>
  <sheetData>
    <row r="1" spans="2:16" x14ac:dyDescent="0.35">
      <c r="D1" t="s">
        <v>0</v>
      </c>
      <c r="E1" s="1">
        <v>447000</v>
      </c>
    </row>
    <row r="2" spans="2:16" x14ac:dyDescent="0.35">
      <c r="D2" t="s">
        <v>1</v>
      </c>
      <c r="E2" s="1">
        <v>6000</v>
      </c>
    </row>
    <row r="3" spans="2:16" x14ac:dyDescent="0.35">
      <c r="D3" t="s">
        <v>2</v>
      </c>
      <c r="E3" s="2">
        <v>6.76</v>
      </c>
    </row>
    <row r="4" spans="2:16" x14ac:dyDescent="0.35">
      <c r="D4" t="s">
        <v>3</v>
      </c>
      <c r="E4" s="3">
        <v>3.4046800000000002E-2</v>
      </c>
    </row>
    <row r="6" spans="2:16" x14ac:dyDescent="0.35"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K6" s="99" t="s">
        <v>35</v>
      </c>
      <c r="L6" s="99"/>
      <c r="M6" s="99"/>
      <c r="N6" s="99"/>
      <c r="O6" s="20"/>
    </row>
    <row r="7" spans="2:16" ht="45" customHeight="1" x14ac:dyDescent="0.35">
      <c r="B7" s="5"/>
      <c r="C7" s="6" t="s">
        <v>16</v>
      </c>
      <c r="D7" s="6" t="s">
        <v>10</v>
      </c>
      <c r="E7" s="6" t="s">
        <v>38</v>
      </c>
      <c r="F7" s="6" t="s">
        <v>11</v>
      </c>
      <c r="G7" s="6" t="s">
        <v>12</v>
      </c>
      <c r="H7" s="6" t="s">
        <v>39</v>
      </c>
      <c r="K7" s="18" t="s">
        <v>37</v>
      </c>
      <c r="L7" s="18" t="s">
        <v>36</v>
      </c>
      <c r="M7" s="18" t="s">
        <v>17</v>
      </c>
      <c r="N7" s="18" t="s">
        <v>18</v>
      </c>
      <c r="O7" s="18" t="s">
        <v>19</v>
      </c>
    </row>
    <row r="8" spans="2:16" x14ac:dyDescent="0.35">
      <c r="B8" s="7">
        <v>43831</v>
      </c>
      <c r="L8" t="s">
        <v>23</v>
      </c>
      <c r="M8" s="19"/>
      <c r="N8" s="21"/>
      <c r="O8" s="19"/>
    </row>
    <row r="9" spans="2:16" x14ac:dyDescent="0.35">
      <c r="B9" s="7">
        <v>43862</v>
      </c>
      <c r="L9" t="s">
        <v>24</v>
      </c>
      <c r="M9" s="19"/>
      <c r="N9" s="21"/>
      <c r="O9" s="19"/>
    </row>
    <row r="10" spans="2:16" x14ac:dyDescent="0.35">
      <c r="B10" s="7">
        <v>43891</v>
      </c>
      <c r="C10" s="1">
        <f>$E$1-$E$2</f>
        <v>441000</v>
      </c>
      <c r="D10" s="13">
        <v>97251860.148654819</v>
      </c>
      <c r="E10" s="11">
        <v>87751093</v>
      </c>
      <c r="F10" s="2">
        <f>C10*$E$3</f>
        <v>2981160</v>
      </c>
      <c r="G10" s="8">
        <f>-(C10/$E$1*D10*$E$4)</f>
        <v>-3266670.140403057</v>
      </c>
      <c r="H10" s="8">
        <f>F10+G10</f>
        <v>-285510.14040305698</v>
      </c>
      <c r="I10" t="s">
        <v>14</v>
      </c>
      <c r="K10" t="s">
        <v>20</v>
      </c>
      <c r="L10" t="s">
        <v>25</v>
      </c>
      <c r="M10" s="19">
        <v>2961866.96</v>
      </c>
      <c r="N10" s="21">
        <v>-2928475.56</v>
      </c>
      <c r="O10" s="19"/>
      <c r="P10" t="s">
        <v>40</v>
      </c>
    </row>
    <row r="11" spans="2:16" x14ac:dyDescent="0.35">
      <c r="B11" s="7">
        <v>43922</v>
      </c>
      <c r="C11" s="1">
        <f>$E$1-$E$2</f>
        <v>441000</v>
      </c>
      <c r="D11" s="13">
        <v>103803140.77433127</v>
      </c>
      <c r="E11" s="11">
        <v>84816018</v>
      </c>
      <c r="F11" s="2">
        <f t="shared" ref="F11:F19" si="0">C11*$E$3</f>
        <v>2981160</v>
      </c>
      <c r="G11" s="8">
        <f>-(C11/$E$1*E11*$E$4)</f>
        <v>-2848952.7398753883</v>
      </c>
      <c r="H11" s="8">
        <f t="shared" ref="H11:H19" si="1">F11+G11</f>
        <v>132207.26012461167</v>
      </c>
      <c r="I11" t="s">
        <v>15</v>
      </c>
      <c r="K11" t="s">
        <v>20</v>
      </c>
      <c r="L11" t="s">
        <v>26</v>
      </c>
      <c r="M11" s="19">
        <v>2972277.36</v>
      </c>
      <c r="N11" s="21">
        <v>-2840576.43</v>
      </c>
      <c r="O11" s="19"/>
      <c r="P11" t="s">
        <v>41</v>
      </c>
    </row>
    <row r="12" spans="2:16" x14ac:dyDescent="0.35">
      <c r="B12" s="12">
        <v>43952</v>
      </c>
      <c r="C12" s="13">
        <f t="shared" ref="C12:C13" si="2">$E$1-$E$2</f>
        <v>441000</v>
      </c>
      <c r="D12" s="13">
        <v>90658753.355632275</v>
      </c>
      <c r="E12" s="14">
        <f>44681915.25+48731618.25</f>
        <v>93413533.5</v>
      </c>
      <c r="F12" s="15">
        <f t="shared" si="0"/>
        <v>2981160</v>
      </c>
      <c r="G12" s="16">
        <f>-(C12/$E$1*E12*$E$4)</f>
        <v>-3137741.5313964207</v>
      </c>
      <c r="H12" s="16">
        <f t="shared" si="1"/>
        <v>-156581.53139642067</v>
      </c>
      <c r="I12" s="17" t="s">
        <v>13</v>
      </c>
      <c r="J12" s="17"/>
      <c r="K12" s="17" t="s">
        <v>20</v>
      </c>
      <c r="L12" t="s">
        <v>27</v>
      </c>
      <c r="M12" s="19">
        <v>2963976.08</v>
      </c>
      <c r="N12" s="21">
        <v>-3119331.25</v>
      </c>
      <c r="O12" s="19"/>
      <c r="P12" t="s">
        <v>42</v>
      </c>
    </row>
    <row r="13" spans="2:16" x14ac:dyDescent="0.35">
      <c r="B13" s="12">
        <v>43983</v>
      </c>
      <c r="C13" s="13">
        <f t="shared" si="2"/>
        <v>441000</v>
      </c>
      <c r="D13" s="13">
        <v>94700236.691665411</v>
      </c>
      <c r="E13" s="14">
        <v>81009652.510000005</v>
      </c>
      <c r="F13" s="15">
        <f>C13*$E$3</f>
        <v>2981160</v>
      </c>
      <c r="G13" s="16">
        <f>-(C13/$E$1*E13*$E$4)</f>
        <v>-2721097.6996670323</v>
      </c>
      <c r="H13" s="16">
        <f t="shared" si="1"/>
        <v>260062.30033296766</v>
      </c>
      <c r="I13" s="17" t="s">
        <v>47</v>
      </c>
      <c r="J13" s="17"/>
      <c r="K13" s="26" t="s">
        <v>20</v>
      </c>
      <c r="L13" s="17" t="s">
        <v>28</v>
      </c>
      <c r="M13" s="27">
        <v>3000121.8</v>
      </c>
      <c r="N13" s="28">
        <v>-2738394.96</v>
      </c>
      <c r="O13" s="19"/>
      <c r="P13" t="s">
        <v>43</v>
      </c>
    </row>
    <row r="14" spans="2:16" x14ac:dyDescent="0.35">
      <c r="B14" s="12">
        <v>44013</v>
      </c>
      <c r="C14" s="13">
        <v>447000</v>
      </c>
      <c r="D14" s="13" t="e">
        <f>SUM('2021 AE Updated Forecast'!#REF!)*1000</f>
        <v>#REF!</v>
      </c>
      <c r="E14" s="14">
        <v>85221801.020000011</v>
      </c>
      <c r="F14" s="15">
        <f t="shared" si="0"/>
        <v>3021720</v>
      </c>
      <c r="G14" s="16">
        <f>-(C14/$E$1*E14*$E$4)</f>
        <v>-2901529.6149677364</v>
      </c>
      <c r="H14" s="16">
        <f t="shared" si="1"/>
        <v>120190.38503226358</v>
      </c>
      <c r="I14" s="17" t="s">
        <v>50</v>
      </c>
      <c r="K14" s="26" t="s">
        <v>20</v>
      </c>
      <c r="L14" s="17" t="s">
        <v>29</v>
      </c>
      <c r="M14" s="27">
        <v>3004049.36</v>
      </c>
      <c r="N14" s="28">
        <v>-2884481.31</v>
      </c>
      <c r="O14" s="19"/>
      <c r="P14" t="s">
        <v>44</v>
      </c>
    </row>
    <row r="15" spans="2:16" x14ac:dyDescent="0.35">
      <c r="B15" s="12">
        <v>44044</v>
      </c>
      <c r="C15" s="13">
        <f t="shared" ref="C15:C19" si="3">$E$1</f>
        <v>447000</v>
      </c>
      <c r="D15" s="13" t="e">
        <f>SUM('2021 AE Updated Forecast'!#REF!)*1000</f>
        <v>#REF!</v>
      </c>
      <c r="E15" s="14">
        <v>82570020.770000011</v>
      </c>
      <c r="F15" s="15">
        <f t="shared" si="0"/>
        <v>3021720</v>
      </c>
      <c r="G15" s="16">
        <f>-(C15/$E$1*E15*$E$4)</f>
        <v>-2811244.9831520366</v>
      </c>
      <c r="H15" s="16">
        <f t="shared" si="1"/>
        <v>210475.01684796344</v>
      </c>
      <c r="I15" s="17" t="s">
        <v>51</v>
      </c>
      <c r="K15" s="26" t="s">
        <v>20</v>
      </c>
      <c r="L15" s="17" t="s">
        <v>30</v>
      </c>
      <c r="M15" s="27">
        <v>2998722.48</v>
      </c>
      <c r="N15" s="28">
        <v>-2789851</v>
      </c>
      <c r="O15" s="19"/>
      <c r="P15" t="s">
        <v>45</v>
      </c>
    </row>
    <row r="16" spans="2:16" x14ac:dyDescent="0.35">
      <c r="B16" s="12">
        <v>44075</v>
      </c>
      <c r="C16" s="13">
        <f t="shared" si="3"/>
        <v>447000</v>
      </c>
      <c r="D16" s="13" t="e">
        <f>SUM('2021 AE Updated Forecast'!#REF!)*1000</f>
        <v>#REF!</v>
      </c>
      <c r="E16" s="14">
        <v>69870236.629999995</v>
      </c>
      <c r="F16" s="15">
        <f>C16*$E$3</f>
        <v>3021720</v>
      </c>
      <c r="G16" s="16" t="e">
        <f t="shared" ref="G16:G19" si="4">-(C16/$E$1*D16*$E$4)</f>
        <v>#REF!</v>
      </c>
      <c r="H16" s="16" t="e">
        <f>F16+G16</f>
        <v>#REF!</v>
      </c>
      <c r="I16" s="17" t="s">
        <v>52</v>
      </c>
      <c r="K16" s="26" t="s">
        <v>20</v>
      </c>
      <c r="L16" s="17" t="s">
        <v>31</v>
      </c>
      <c r="M16" s="27">
        <v>2994396.08</v>
      </c>
      <c r="N16" s="28">
        <v>-2357422.2799999998</v>
      </c>
      <c r="O16" s="19"/>
      <c r="P16" t="s">
        <v>46</v>
      </c>
    </row>
    <row r="17" spans="2:16" x14ac:dyDescent="0.35">
      <c r="B17" s="12">
        <v>44105</v>
      </c>
      <c r="C17" s="13">
        <f t="shared" si="3"/>
        <v>447000</v>
      </c>
      <c r="D17" s="13" t="e">
        <f>SUM('2021 AE Updated Forecast'!#REF!)*1000</f>
        <v>#REF!</v>
      </c>
      <c r="E17" s="14">
        <v>67385319.75</v>
      </c>
      <c r="F17" s="15">
        <f t="shared" si="0"/>
        <v>3021720</v>
      </c>
      <c r="G17" s="16" t="e">
        <f t="shared" si="4"/>
        <v>#REF!</v>
      </c>
      <c r="H17" s="16" t="e">
        <f t="shared" si="1"/>
        <v>#REF!</v>
      </c>
      <c r="I17" s="17" t="s">
        <v>53</v>
      </c>
      <c r="K17" s="26" t="s">
        <v>20</v>
      </c>
      <c r="L17" s="17" t="s">
        <v>32</v>
      </c>
      <c r="M17" s="27">
        <v>2988007.88</v>
      </c>
      <c r="N17" s="28">
        <v>-2268684.33</v>
      </c>
      <c r="O17" s="19"/>
      <c r="P17" t="s">
        <v>48</v>
      </c>
    </row>
    <row r="18" spans="2:16" x14ac:dyDescent="0.35">
      <c r="B18" s="12">
        <v>44136</v>
      </c>
      <c r="C18" s="13">
        <f t="shared" si="3"/>
        <v>447000</v>
      </c>
      <c r="D18" s="13" t="e">
        <f>SUM('2021 AE Updated Forecast'!#REF!)*1000</f>
        <v>#REF!</v>
      </c>
      <c r="E18" s="14">
        <v>59756823.000000007</v>
      </c>
      <c r="F18" s="15">
        <f t="shared" si="0"/>
        <v>3021720</v>
      </c>
      <c r="G18" s="16" t="e">
        <f t="shared" si="4"/>
        <v>#REF!</v>
      </c>
      <c r="H18" s="16" t="e">
        <f t="shared" si="1"/>
        <v>#REF!</v>
      </c>
      <c r="I18" s="17" t="s">
        <v>54</v>
      </c>
      <c r="K18" s="26" t="s">
        <v>20</v>
      </c>
      <c r="L18" s="17" t="s">
        <v>33</v>
      </c>
      <c r="M18" s="27">
        <v>2978821.04</v>
      </c>
      <c r="N18" s="28">
        <v>-2005665.3</v>
      </c>
      <c r="O18" s="19"/>
      <c r="P18" t="s">
        <v>49</v>
      </c>
    </row>
    <row r="19" spans="2:16" x14ac:dyDescent="0.35">
      <c r="B19" s="22">
        <v>44166</v>
      </c>
      <c r="C19" s="23">
        <f t="shared" si="3"/>
        <v>447000</v>
      </c>
      <c r="D19" s="23" t="e">
        <f>SUM('2021 AE Updated Forecast'!#REF!)*1000</f>
        <v>#REF!</v>
      </c>
      <c r="E19" s="39">
        <f>(30384.718875+36311.207625)*1000</f>
        <v>66695926.5</v>
      </c>
      <c r="F19" s="24">
        <f t="shared" si="0"/>
        <v>3021720</v>
      </c>
      <c r="G19" s="25" t="e">
        <f t="shared" si="4"/>
        <v>#REF!</v>
      </c>
      <c r="H19" s="25" t="e">
        <f t="shared" si="1"/>
        <v>#REF!</v>
      </c>
      <c r="I19" s="17" t="s">
        <v>55</v>
      </c>
      <c r="K19" s="40" t="s">
        <v>21</v>
      </c>
      <c r="L19" s="41" t="s">
        <v>34</v>
      </c>
      <c r="M19" s="42">
        <v>2975096.28</v>
      </c>
      <c r="N19" s="28">
        <v>-2235560.5099999998</v>
      </c>
      <c r="O19" s="19"/>
      <c r="P19" t="s">
        <v>56</v>
      </c>
    </row>
    <row r="20" spans="2:16" x14ac:dyDescent="0.35">
      <c r="C20" s="1"/>
      <c r="D20" s="9" t="e">
        <f>SUM(D8:D19)</f>
        <v>#REF!</v>
      </c>
      <c r="E20" s="9">
        <f>SUM(E8:E19)</f>
        <v>778490424.67999995</v>
      </c>
      <c r="F20" s="37">
        <f>SUM(F8:F19)</f>
        <v>30054960</v>
      </c>
      <c r="G20" s="10" t="e">
        <f>SUM(G10:G19)</f>
        <v>#REF!</v>
      </c>
      <c r="H20" s="10" t="e">
        <f>SUM(H10:H19)</f>
        <v>#REF!</v>
      </c>
      <c r="K20" s="43" t="s">
        <v>22</v>
      </c>
      <c r="L20" s="43"/>
      <c r="M20" s="44">
        <f>SUM(M10:M19)</f>
        <v>29837335.319999997</v>
      </c>
      <c r="N20" s="45">
        <f>SUM(N10:N19)</f>
        <v>-26168442.93</v>
      </c>
      <c r="O20" s="19"/>
    </row>
    <row r="24" spans="2:16" x14ac:dyDescent="0.35">
      <c r="E24" s="38"/>
      <c r="F24" s="21"/>
      <c r="G24" s="21"/>
    </row>
    <row r="25" spans="2:16" x14ac:dyDescent="0.35">
      <c r="E25" s="38"/>
      <c r="F25" s="21"/>
      <c r="G25" s="21"/>
    </row>
    <row r="26" spans="2:16" x14ac:dyDescent="0.35">
      <c r="F26" s="21"/>
      <c r="G26" s="21"/>
      <c r="H26" s="21"/>
    </row>
    <row r="27" spans="2:16" x14ac:dyDescent="0.35">
      <c r="F27" s="21"/>
      <c r="G27" s="21"/>
      <c r="H27" s="21"/>
    </row>
    <row r="28" spans="2:16" x14ac:dyDescent="0.35">
      <c r="F28" s="21"/>
      <c r="G28" s="21"/>
      <c r="H28" s="21"/>
    </row>
    <row r="29" spans="2:16" x14ac:dyDescent="0.35">
      <c r="F29" s="21"/>
      <c r="G29" s="21"/>
      <c r="H29" s="21"/>
    </row>
    <row r="30" spans="2:16" x14ac:dyDescent="0.35">
      <c r="F30" s="21"/>
      <c r="G30" s="21"/>
    </row>
    <row r="31" spans="2:16" x14ac:dyDescent="0.35">
      <c r="F31" s="21"/>
      <c r="G31" s="21"/>
    </row>
    <row r="32" spans="2:16" x14ac:dyDescent="0.35">
      <c r="F32" s="21"/>
      <c r="G32" s="21"/>
    </row>
    <row r="33" spans="6:7" x14ac:dyDescent="0.35">
      <c r="F33" s="21"/>
      <c r="G33" s="21"/>
    </row>
    <row r="34" spans="6:7" x14ac:dyDescent="0.35">
      <c r="F34" s="21"/>
      <c r="G34" s="21"/>
    </row>
    <row r="35" spans="6:7" x14ac:dyDescent="0.35">
      <c r="F35" s="21"/>
      <c r="G35" s="21"/>
    </row>
    <row r="36" spans="6:7" x14ac:dyDescent="0.35">
      <c r="F36" s="30"/>
      <c r="G36" s="30"/>
    </row>
    <row r="37" spans="6:7" x14ac:dyDescent="0.35">
      <c r="F37" s="30"/>
    </row>
  </sheetData>
  <mergeCells count="1">
    <mergeCell ref="K6:N6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Q37"/>
  <sheetViews>
    <sheetView tabSelected="1" zoomScale="80" zoomScaleNormal="80" workbookViewId="0"/>
  </sheetViews>
  <sheetFormatPr defaultColWidth="9.1796875" defaultRowHeight="14.5" x14ac:dyDescent="0.35"/>
  <cols>
    <col min="1" max="1" width="9.1796875" style="31"/>
    <col min="2" max="2" width="45.26953125" style="31" customWidth="1"/>
    <col min="3" max="3" width="15.26953125" style="31" bestFit="1" customWidth="1"/>
    <col min="4" max="4" width="15.7265625" style="31" bestFit="1" customWidth="1"/>
    <col min="5" max="5" width="15.26953125" style="31" bestFit="1" customWidth="1"/>
    <col min="6" max="7" width="15.7265625" style="31" bestFit="1" customWidth="1"/>
    <col min="8" max="8" width="14.453125" style="31" bestFit="1" customWidth="1"/>
    <col min="9" max="12" width="15.7265625" style="31" bestFit="1" customWidth="1"/>
    <col min="13" max="13" width="15.26953125" style="31" bestFit="1" customWidth="1"/>
    <col min="14" max="14" width="15.7265625" style="31" bestFit="1" customWidth="1"/>
    <col min="15" max="15" width="17.36328125" style="31" customWidth="1"/>
    <col min="16" max="16" width="12.54296875" style="31" bestFit="1" customWidth="1"/>
    <col min="17" max="16384" width="9.1796875" style="31"/>
  </cols>
  <sheetData>
    <row r="1" spans="2:17" ht="15" x14ac:dyDescent="0.35">
      <c r="B1" s="98"/>
      <c r="L1" s="98" t="s">
        <v>108</v>
      </c>
      <c r="M1" s="98"/>
    </row>
    <row r="2" spans="2:17" ht="15" x14ac:dyDescent="0.35">
      <c r="B2" s="98"/>
      <c r="L2" s="98" t="s">
        <v>109</v>
      </c>
      <c r="M2" s="98"/>
    </row>
    <row r="3" spans="2:17" ht="15" x14ac:dyDescent="0.35">
      <c r="L3" s="98" t="s">
        <v>111</v>
      </c>
      <c r="M3" s="98"/>
    </row>
    <row r="4" spans="2:17" ht="15" x14ac:dyDescent="0.35">
      <c r="L4" s="98" t="s">
        <v>112</v>
      </c>
      <c r="M4" s="98"/>
    </row>
    <row r="5" spans="2:17" ht="15" x14ac:dyDescent="0.35">
      <c r="B5" s="98"/>
      <c r="L5" s="98" t="s">
        <v>110</v>
      </c>
      <c r="M5" s="98"/>
    </row>
    <row r="6" spans="2:17" ht="32.5" customHeight="1" x14ac:dyDescent="0.35"/>
    <row r="7" spans="2:17" s="51" customFormat="1" ht="25" customHeight="1" x14ac:dyDescent="0.35">
      <c r="B7" s="61" t="s">
        <v>105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4"/>
    </row>
    <row r="8" spans="2:17" s="35" customFormat="1" ht="21" customHeight="1" x14ac:dyDescent="0.45">
      <c r="B8" s="65"/>
      <c r="C8" s="81" t="s">
        <v>92</v>
      </c>
      <c r="D8" s="81" t="s">
        <v>92</v>
      </c>
      <c r="E8" s="81" t="s">
        <v>92</v>
      </c>
      <c r="F8" s="81" t="s">
        <v>92</v>
      </c>
      <c r="G8" s="81" t="s">
        <v>92</v>
      </c>
      <c r="H8" s="81" t="s">
        <v>92</v>
      </c>
      <c r="I8" s="81" t="s">
        <v>92</v>
      </c>
      <c r="J8" s="82" t="s">
        <v>93</v>
      </c>
      <c r="K8" s="82" t="s">
        <v>93</v>
      </c>
      <c r="L8" s="82" t="s">
        <v>93</v>
      </c>
      <c r="M8" s="82" t="s">
        <v>93</v>
      </c>
      <c r="N8" s="82" t="s">
        <v>93</v>
      </c>
      <c r="O8" s="82" t="s">
        <v>93</v>
      </c>
    </row>
    <row r="9" spans="2:17" s="46" customFormat="1" x14ac:dyDescent="0.35">
      <c r="B9" s="97" t="s">
        <v>65</v>
      </c>
      <c r="C9" s="92" t="s">
        <v>91</v>
      </c>
      <c r="D9" s="93" t="s">
        <v>94</v>
      </c>
      <c r="E9" s="93" t="s">
        <v>95</v>
      </c>
      <c r="F9" s="93" t="s">
        <v>96</v>
      </c>
      <c r="G9" s="93" t="s">
        <v>97</v>
      </c>
      <c r="H9" s="93" t="s">
        <v>57</v>
      </c>
      <c r="I9" s="92" t="s">
        <v>58</v>
      </c>
      <c r="J9" s="94" t="s">
        <v>59</v>
      </c>
      <c r="K9" s="94" t="s">
        <v>60</v>
      </c>
      <c r="L9" s="94" t="s">
        <v>61</v>
      </c>
      <c r="M9" s="94" t="s">
        <v>62</v>
      </c>
      <c r="N9" s="94" t="s">
        <v>63</v>
      </c>
      <c r="O9" s="95" t="s">
        <v>98</v>
      </c>
    </row>
    <row r="10" spans="2:17" s="46" customFormat="1" x14ac:dyDescent="0.35">
      <c r="B10" s="55" t="s">
        <v>64</v>
      </c>
      <c r="C10" s="71" t="s">
        <v>99</v>
      </c>
      <c r="D10" s="66" t="s">
        <v>91</v>
      </c>
      <c r="E10" s="72" t="s">
        <v>94</v>
      </c>
      <c r="F10" s="72" t="s">
        <v>95</v>
      </c>
      <c r="G10" s="72" t="s">
        <v>96</v>
      </c>
      <c r="H10" s="72" t="s">
        <v>97</v>
      </c>
      <c r="I10" s="67" t="s">
        <v>57</v>
      </c>
      <c r="J10" s="50" t="s">
        <v>58</v>
      </c>
      <c r="K10" s="50" t="s">
        <v>59</v>
      </c>
      <c r="L10" s="50" t="s">
        <v>60</v>
      </c>
      <c r="M10" s="50" t="s">
        <v>61</v>
      </c>
      <c r="N10" s="50" t="s">
        <v>62</v>
      </c>
      <c r="O10" s="50"/>
    </row>
    <row r="11" spans="2:17" x14ac:dyDescent="0.35">
      <c r="B11" s="63" t="s">
        <v>103</v>
      </c>
      <c r="C11" s="68"/>
      <c r="D11" s="68"/>
      <c r="E11" s="68"/>
      <c r="F11" s="68"/>
      <c r="G11" s="68"/>
      <c r="H11" s="68"/>
      <c r="I11" s="68"/>
      <c r="J11" s="34">
        <f t="shared" ref="J11:N11" si="0">J20</f>
        <v>266880.8295202055</v>
      </c>
      <c r="K11" s="34">
        <f t="shared" si="0"/>
        <v>258610.69192728208</v>
      </c>
      <c r="L11" s="34">
        <f t="shared" si="0"/>
        <v>232404.52052162809</v>
      </c>
      <c r="M11" s="34">
        <f t="shared" si="0"/>
        <v>229646.02313307443</v>
      </c>
      <c r="N11" s="34">
        <f t="shared" si="0"/>
        <v>193441.97199789406</v>
      </c>
      <c r="O11" s="34"/>
    </row>
    <row r="12" spans="2:17" x14ac:dyDescent="0.35">
      <c r="B12" s="64" t="s">
        <v>104</v>
      </c>
      <c r="C12" s="73">
        <v>2235560.5099999998</v>
      </c>
      <c r="D12" s="73">
        <v>3810387.35</v>
      </c>
      <c r="E12" s="73">
        <v>3864776.02</v>
      </c>
      <c r="F12" s="73">
        <v>5611949.4400000004</v>
      </c>
      <c r="G12" s="73">
        <v>7447390.7800000003</v>
      </c>
      <c r="H12" s="73">
        <v>9168219</v>
      </c>
      <c r="I12" s="73">
        <v>7793046.2199999997</v>
      </c>
      <c r="J12" s="74">
        <f t="shared" ref="J12:N12" si="1">J36</f>
        <v>9132779.0614637267</v>
      </c>
      <c r="K12" s="74">
        <f t="shared" si="1"/>
        <v>8849771.3250899259</v>
      </c>
      <c r="L12" s="74">
        <f t="shared" si="1"/>
        <v>7952984.6434651744</v>
      </c>
      <c r="M12" s="74">
        <f t="shared" si="1"/>
        <v>7858587.6527312351</v>
      </c>
      <c r="N12" s="74">
        <f t="shared" si="1"/>
        <v>6619669.1408922104</v>
      </c>
      <c r="O12" s="74">
        <f>SUM(C12:N12)</f>
        <v>80345121.143642277</v>
      </c>
    </row>
    <row r="13" spans="2:17" x14ac:dyDescent="0.35">
      <c r="B13" s="63" t="s">
        <v>90</v>
      </c>
      <c r="C13" s="69">
        <f t="shared" ref="C13:I13" si="2">-C12*0.072%</f>
        <v>-1609.6035671999996</v>
      </c>
      <c r="D13" s="69">
        <f t="shared" si="2"/>
        <v>-2743.4788919999996</v>
      </c>
      <c r="E13" s="69">
        <f t="shared" si="2"/>
        <v>-2782.6387344</v>
      </c>
      <c r="F13" s="69">
        <f t="shared" si="2"/>
        <v>-4040.6035968000001</v>
      </c>
      <c r="G13" s="69">
        <f t="shared" si="2"/>
        <v>-5362.1213615999995</v>
      </c>
      <c r="H13" s="69">
        <f t="shared" si="2"/>
        <v>-6601.1176799999994</v>
      </c>
      <c r="I13" s="69">
        <f t="shared" si="2"/>
        <v>-5610.9932783999993</v>
      </c>
      <c r="J13" s="62">
        <f>-J12*0.072%</f>
        <v>-6575.600924253883</v>
      </c>
      <c r="K13" s="62">
        <f t="shared" ref="K13:N13" si="3">-K12*0.072%</f>
        <v>-6371.8353540647458</v>
      </c>
      <c r="L13" s="62">
        <f t="shared" si="3"/>
        <v>-5726.1489432949247</v>
      </c>
      <c r="M13" s="62">
        <f t="shared" si="3"/>
        <v>-5658.1831099664887</v>
      </c>
      <c r="N13" s="62">
        <f t="shared" si="3"/>
        <v>-4766.1617814423907</v>
      </c>
      <c r="O13" s="62">
        <f>SUM(C13:N13)</f>
        <v>-57848.487223422424</v>
      </c>
    </row>
    <row r="14" spans="2:17" ht="15" thickBot="1" x14ac:dyDescent="0.4">
      <c r="B14" s="96" t="s">
        <v>89</v>
      </c>
      <c r="C14" s="70">
        <f t="shared" ref="C14:I14" si="4">SUM(C12:C13)</f>
        <v>2233950.9064328</v>
      </c>
      <c r="D14" s="70">
        <f t="shared" si="4"/>
        <v>3807643.8711080002</v>
      </c>
      <c r="E14" s="70">
        <f t="shared" si="4"/>
        <v>3861993.3812656002</v>
      </c>
      <c r="F14" s="70">
        <f t="shared" si="4"/>
        <v>5607908.8364032004</v>
      </c>
      <c r="G14" s="70">
        <f t="shared" si="4"/>
        <v>7442028.6586384</v>
      </c>
      <c r="H14" s="70">
        <f t="shared" si="4"/>
        <v>9161617.8823199999</v>
      </c>
      <c r="I14" s="70">
        <f t="shared" si="4"/>
        <v>7787435.2267215997</v>
      </c>
      <c r="J14" s="78">
        <f>SUM(J12:J13)</f>
        <v>9126203.4605394732</v>
      </c>
      <c r="K14" s="78">
        <f t="shared" ref="K14:O14" si="5">SUM(K12:K13)</f>
        <v>8843399.4897358604</v>
      </c>
      <c r="L14" s="78">
        <f t="shared" si="5"/>
        <v>7947258.4945218796</v>
      </c>
      <c r="M14" s="78">
        <f t="shared" si="5"/>
        <v>7852929.469621269</v>
      </c>
      <c r="N14" s="78">
        <f t="shared" si="5"/>
        <v>6614902.9791107681</v>
      </c>
      <c r="O14" s="78">
        <f t="shared" si="5"/>
        <v>80287272.65641886</v>
      </c>
    </row>
    <row r="15" spans="2:17" s="35" customFormat="1" ht="15" thickTop="1" x14ac:dyDescent="0.35">
      <c r="B15" s="90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Q15" s="91"/>
    </row>
    <row r="16" spans="2:17" x14ac:dyDescent="0.35">
      <c r="B16" s="33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7" s="51" customFormat="1" ht="25" customHeight="1" x14ac:dyDescent="0.35">
      <c r="A17" s="51" t="s">
        <v>66</v>
      </c>
      <c r="B17" s="61" t="s">
        <v>100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5"/>
    </row>
    <row r="18" spans="1:17" x14ac:dyDescent="0.35">
      <c r="A18" s="51" t="s">
        <v>67</v>
      </c>
      <c r="B18" s="29" t="s">
        <v>106</v>
      </c>
      <c r="C18" s="48"/>
      <c r="D18" s="48"/>
      <c r="E18" s="48"/>
      <c r="F18" s="48"/>
      <c r="G18" s="48"/>
      <c r="H18" s="48"/>
      <c r="I18" s="48"/>
      <c r="J18" s="48">
        <v>80064.248856061648</v>
      </c>
      <c r="K18" s="48">
        <v>77583.207578184622</v>
      </c>
      <c r="L18" s="48">
        <v>69721.356156488429</v>
      </c>
      <c r="M18" s="48">
        <v>68893.806939922331</v>
      </c>
      <c r="N18" s="48">
        <v>58032.591599368214</v>
      </c>
    </row>
    <row r="19" spans="1:17" x14ac:dyDescent="0.35">
      <c r="A19" s="51" t="s">
        <v>68</v>
      </c>
      <c r="B19" s="29" t="s">
        <v>107</v>
      </c>
      <c r="C19" s="48"/>
      <c r="D19" s="48"/>
      <c r="E19" s="48"/>
      <c r="F19" s="48"/>
      <c r="G19" s="48"/>
      <c r="H19" s="48"/>
      <c r="I19" s="48"/>
      <c r="J19" s="48">
        <v>186816.58066414384</v>
      </c>
      <c r="K19" s="48">
        <v>181027.48434909745</v>
      </c>
      <c r="L19" s="48">
        <v>162683.16436513964</v>
      </c>
      <c r="M19" s="48">
        <v>160752.2161931521</v>
      </c>
      <c r="N19" s="48">
        <v>135409.38039852583</v>
      </c>
    </row>
    <row r="20" spans="1:17" s="54" customFormat="1" ht="24" customHeight="1" thickBot="1" x14ac:dyDescent="0.4">
      <c r="A20" s="51" t="s">
        <v>69</v>
      </c>
      <c r="B20" s="52" t="s">
        <v>102</v>
      </c>
      <c r="C20" s="57"/>
      <c r="D20" s="57"/>
      <c r="E20" s="57"/>
      <c r="F20" s="57"/>
      <c r="G20" s="57"/>
      <c r="H20" s="57"/>
      <c r="I20" s="57"/>
      <c r="J20" s="57">
        <f>SUM(J18:J19)</f>
        <v>266880.8295202055</v>
      </c>
      <c r="K20" s="57">
        <f>SUM(K18:K19)</f>
        <v>258610.69192728208</v>
      </c>
      <c r="L20" s="57">
        <f>SUM(L18:L19)</f>
        <v>232404.52052162809</v>
      </c>
      <c r="M20" s="57">
        <f>SUM(M18:M19)</f>
        <v>229646.02313307443</v>
      </c>
      <c r="N20" s="57">
        <f>SUM(N18:N19)</f>
        <v>193441.97199789406</v>
      </c>
      <c r="O20" s="86"/>
      <c r="P20" s="86"/>
      <c r="Q20" s="87"/>
    </row>
    <row r="21" spans="1:17" s="54" customFormat="1" ht="12.5" customHeight="1" thickTop="1" x14ac:dyDescent="0.35">
      <c r="A21" s="51" t="s">
        <v>70</v>
      </c>
      <c r="B21" s="79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6"/>
      <c r="P21" s="86"/>
      <c r="Q21" s="87"/>
    </row>
    <row r="22" spans="1:17" x14ac:dyDescent="0.35">
      <c r="A22" s="51" t="s">
        <v>71</v>
      </c>
      <c r="J22" s="77"/>
      <c r="K22" s="77"/>
      <c r="L22" s="77"/>
      <c r="M22" s="77"/>
      <c r="N22" s="77"/>
      <c r="O22" s="88"/>
      <c r="P22" s="89"/>
      <c r="Q22" s="35"/>
    </row>
    <row r="23" spans="1:17" s="51" customFormat="1" ht="25" customHeight="1" x14ac:dyDescent="0.35">
      <c r="A23" s="51" t="s">
        <v>72</v>
      </c>
      <c r="B23" s="61" t="s">
        <v>101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5"/>
    </row>
    <row r="24" spans="1:17" x14ac:dyDescent="0.35">
      <c r="A24" s="51" t="s">
        <v>73</v>
      </c>
      <c r="B24" s="29" t="str">
        <f>B18</f>
        <v>6 Sites on Yr 2 Credit Rate; First Billing 2020</v>
      </c>
      <c r="C24" s="49"/>
      <c r="D24" s="49"/>
      <c r="E24" s="49"/>
      <c r="F24" s="49"/>
      <c r="G24" s="49"/>
      <c r="H24" s="49"/>
      <c r="I24" s="49"/>
      <c r="J24" s="49">
        <v>1</v>
      </c>
      <c r="K24" s="49">
        <v>1</v>
      </c>
      <c r="L24" s="49">
        <v>1</v>
      </c>
      <c r="M24" s="49">
        <v>1</v>
      </c>
      <c r="N24" s="49">
        <v>1</v>
      </c>
    </row>
    <row r="25" spans="1:17" x14ac:dyDescent="0.35">
      <c r="A25" s="51" t="s">
        <v>74</v>
      </c>
      <c r="B25" s="29" t="str">
        <f>B19</f>
        <v>14 Sites on Yr 1 Credit Rate; First Billing 2021</v>
      </c>
      <c r="C25" s="49"/>
      <c r="D25" s="49"/>
      <c r="E25" s="49"/>
      <c r="F25" s="49"/>
      <c r="G25" s="49"/>
      <c r="H25" s="49"/>
      <c r="I25" s="49"/>
      <c r="J25" s="49">
        <v>1</v>
      </c>
      <c r="K25" s="49">
        <v>1</v>
      </c>
      <c r="L25" s="49">
        <v>1</v>
      </c>
      <c r="M25" s="49">
        <v>1</v>
      </c>
      <c r="N25" s="49">
        <v>1</v>
      </c>
    </row>
    <row r="26" spans="1:17" x14ac:dyDescent="0.35">
      <c r="A26" s="51" t="s">
        <v>75</v>
      </c>
    </row>
    <row r="27" spans="1:17" x14ac:dyDescent="0.35">
      <c r="A27" s="51" t="s">
        <v>76</v>
      </c>
    </row>
    <row r="28" spans="1:17" s="51" customFormat="1" ht="25" customHeight="1" x14ac:dyDescent="0.35">
      <c r="A28" s="51" t="s">
        <v>77</v>
      </c>
      <c r="B28" s="61" t="s">
        <v>87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5"/>
    </row>
    <row r="29" spans="1:17" x14ac:dyDescent="0.35">
      <c r="A29" s="51" t="s">
        <v>78</v>
      </c>
      <c r="B29" s="29" t="str">
        <f>B24</f>
        <v>6 Sites on Yr 2 Credit Rate; First Billing 2020</v>
      </c>
      <c r="C29" s="58"/>
      <c r="D29" s="58"/>
      <c r="E29" s="58"/>
      <c r="F29" s="58"/>
      <c r="G29" s="58"/>
      <c r="H29" s="58"/>
      <c r="I29" s="58"/>
      <c r="J29" s="75">
        <v>3.4625595599999996E-2</v>
      </c>
      <c r="K29" s="75">
        <v>3.4625595599999996E-2</v>
      </c>
      <c r="L29" s="75">
        <v>3.4625595599999996E-2</v>
      </c>
      <c r="M29" s="75">
        <v>3.4625595599999996E-2</v>
      </c>
      <c r="N29" s="75">
        <v>3.4625595599999996E-2</v>
      </c>
    </row>
    <row r="30" spans="1:17" x14ac:dyDescent="0.35">
      <c r="A30" s="51" t="s">
        <v>79</v>
      </c>
      <c r="B30" s="29" t="str">
        <f>B25</f>
        <v>14 Sites on Yr 1 Credit Rate; First Billing 2021</v>
      </c>
      <c r="C30" s="58"/>
      <c r="D30" s="58"/>
      <c r="E30" s="58"/>
      <c r="F30" s="58"/>
      <c r="G30" s="58"/>
      <c r="H30" s="58"/>
      <c r="I30" s="58"/>
      <c r="J30" s="75">
        <v>3.4046800000000002E-2</v>
      </c>
      <c r="K30" s="75">
        <v>3.4046800000000002E-2</v>
      </c>
      <c r="L30" s="75">
        <v>3.4046800000000002E-2</v>
      </c>
      <c r="M30" s="75">
        <v>3.4046800000000002E-2</v>
      </c>
      <c r="N30" s="75">
        <v>3.4046800000000002E-2</v>
      </c>
    </row>
    <row r="31" spans="1:17" s="47" customFormat="1" x14ac:dyDescent="0.35">
      <c r="A31" s="51" t="s">
        <v>80</v>
      </c>
      <c r="B31" s="56"/>
    </row>
    <row r="32" spans="1:17" x14ac:dyDescent="0.35">
      <c r="A32" s="51" t="s">
        <v>81</v>
      </c>
    </row>
    <row r="33" spans="1:14" s="51" customFormat="1" ht="25" customHeight="1" x14ac:dyDescent="0.35">
      <c r="A33" s="51" t="s">
        <v>82</v>
      </c>
      <c r="B33" s="61" t="s">
        <v>88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5"/>
    </row>
    <row r="34" spans="1:14" x14ac:dyDescent="0.35">
      <c r="A34" s="51" t="s">
        <v>83</v>
      </c>
      <c r="B34" s="59" t="str">
        <f>B29</f>
        <v>6 Sites on Yr 2 Credit Rate; First Billing 2020</v>
      </c>
      <c r="C34" s="60"/>
      <c r="D34" s="60"/>
      <c r="E34" s="60"/>
      <c r="F34" s="60"/>
      <c r="G34" s="60"/>
      <c r="H34" s="60"/>
      <c r="I34" s="60"/>
      <c r="J34" s="60">
        <f t="shared" ref="J34:N35" si="6">J18*1000*J24*J29</f>
        <v>2772272.3029077533</v>
      </c>
      <c r="K34" s="60">
        <f t="shared" si="6"/>
        <v>2686364.7709530755</v>
      </c>
      <c r="L34" s="60">
        <f t="shared" si="6"/>
        <v>2414143.4829581385</v>
      </c>
      <c r="M34" s="60">
        <f t="shared" si="6"/>
        <v>2385489.0984462239</v>
      </c>
      <c r="N34" s="60">
        <f t="shared" si="6"/>
        <v>2009413.0483396808</v>
      </c>
    </row>
    <row r="35" spans="1:14" x14ac:dyDescent="0.35">
      <c r="A35" s="51" t="s">
        <v>84</v>
      </c>
      <c r="B35" s="29" t="str">
        <f>B30</f>
        <v>14 Sites on Yr 1 Credit Rate; First Billing 2021</v>
      </c>
      <c r="C35" s="32"/>
      <c r="D35" s="32"/>
      <c r="E35" s="32"/>
      <c r="F35" s="32"/>
      <c r="G35" s="32"/>
      <c r="H35" s="32"/>
      <c r="I35" s="32"/>
      <c r="J35" s="60">
        <f t="shared" si="6"/>
        <v>6360506.7585559729</v>
      </c>
      <c r="K35" s="60">
        <f t="shared" si="6"/>
        <v>6163406.5541368509</v>
      </c>
      <c r="L35" s="60">
        <f t="shared" si="6"/>
        <v>5538841.1605070364</v>
      </c>
      <c r="M35" s="60">
        <f t="shared" si="6"/>
        <v>5473098.5542850113</v>
      </c>
      <c r="N35" s="60">
        <f t="shared" si="6"/>
        <v>4610256.0925525296</v>
      </c>
    </row>
    <row r="36" spans="1:14" s="54" customFormat="1" ht="24" customHeight="1" thickBot="1" x14ac:dyDescent="0.4">
      <c r="A36" s="51" t="s">
        <v>85</v>
      </c>
      <c r="B36" s="52" t="s">
        <v>86</v>
      </c>
      <c r="C36" s="53"/>
      <c r="D36" s="53"/>
      <c r="E36" s="53"/>
      <c r="F36" s="53"/>
      <c r="G36" s="53"/>
      <c r="H36" s="53"/>
      <c r="I36" s="53"/>
      <c r="J36" s="53">
        <f>SUM(J34:J35)</f>
        <v>9132779.0614637267</v>
      </c>
      <c r="K36" s="53">
        <f>SUM(K34:K35)</f>
        <v>8849771.3250899259</v>
      </c>
      <c r="L36" s="53">
        <f>SUM(L34:L35)</f>
        <v>7952984.6434651744</v>
      </c>
      <c r="M36" s="53">
        <f>SUM(M34:M35)</f>
        <v>7858587.6527312351</v>
      </c>
      <c r="N36" s="53">
        <f>SUM(N34:N35)</f>
        <v>6619669.1408922104</v>
      </c>
    </row>
    <row r="37" spans="1:14" ht="15" thickTop="1" x14ac:dyDescent="0.35"/>
  </sheetData>
  <phoneticPr fontId="8" type="noConversion"/>
  <pageMargins left="0.4" right="0.2" top="1" bottom="0.5" header="0.55000000000000004" footer="0.3"/>
  <pageSetup scale="50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Billing Estimates</vt:lpstr>
      <vt:lpstr>2021 AE Updated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2021-09-03T16:07:40Z</dcterms:created>
  <dcterms:modified xsi:type="dcterms:W3CDTF">2021-09-03T16:07:47Z</dcterms:modified>
  <cp:category/>
</cp:coreProperties>
</file>